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6 주식\00 연구\"/>
    </mc:Choice>
  </mc:AlternateContent>
  <xr:revisionPtr revIDLastSave="0" documentId="13_ncr:1_{283DD9FF-A43F-4CB1-9097-0C9D2159D2BE}" xr6:coauthVersionLast="47" xr6:coauthVersionMax="47" xr10:uidLastSave="{00000000-0000-0000-0000-000000000000}"/>
  <bookViews>
    <workbookView xWindow="-120" yWindow="-120" windowWidth="29040" windowHeight="15720" firstSheet="5" activeTab="9" xr2:uid="{0B83BB5C-464E-4F8A-A935-557A68DE3870}"/>
  </bookViews>
  <sheets>
    <sheet name="2008년 금융위기" sheetId="6" r:id="rId1"/>
    <sheet name="2010년 4월 위기" sheetId="7" r:id="rId2"/>
    <sheet name="2011년 미국 신용등급 위기" sheetId="3" r:id="rId3"/>
    <sheet name="2015년 8월 위기" sheetId="8" r:id="rId4"/>
    <sheet name="2015년 11월 위기" sheetId="9" r:id="rId5"/>
    <sheet name="2018년 10월 금리인상 위기" sheetId="2" r:id="rId6"/>
    <sheet name="2020년 3월 코로나 위기" sheetId="1" r:id="rId7"/>
    <sheet name="2021년 1월 리오프닝 위기" sheetId="10" r:id="rId8"/>
    <sheet name="2022년 인플레이션 위기 1월" sheetId="4" r:id="rId9"/>
    <sheet name="2022년 인플레이션 위기 3월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C12" i="10"/>
  <c r="C14" i="1"/>
  <c r="C16" i="2"/>
  <c r="C15" i="9"/>
  <c r="C12" i="8"/>
  <c r="C13" i="8"/>
  <c r="C13" i="3"/>
  <c r="C12" i="7"/>
  <c r="C11" i="6"/>
  <c r="C14" i="11"/>
  <c r="C5" i="11"/>
  <c r="C13" i="11" s="1"/>
  <c r="H12" i="11"/>
  <c r="H11" i="11"/>
  <c r="H10" i="11"/>
  <c r="H9" i="11"/>
  <c r="H8" i="11"/>
  <c r="H7" i="11"/>
  <c r="H6" i="11"/>
  <c r="H5" i="11"/>
  <c r="H4" i="11"/>
  <c r="H3" i="11"/>
  <c r="L3" i="11"/>
  <c r="M3" i="11"/>
  <c r="L4" i="11"/>
  <c r="M4" i="11"/>
  <c r="L5" i="11"/>
  <c r="M5" i="11"/>
  <c r="L6" i="11"/>
  <c r="M6" i="11"/>
  <c r="L7" i="11"/>
  <c r="M7" i="11"/>
  <c r="L8" i="11"/>
  <c r="M8" i="11"/>
  <c r="L9" i="11"/>
  <c r="M9" i="11"/>
  <c r="L10" i="11"/>
  <c r="M10" i="11"/>
  <c r="L11" i="11"/>
  <c r="M11" i="11"/>
  <c r="L12" i="11"/>
  <c r="M12" i="11"/>
  <c r="C11" i="10"/>
  <c r="C13" i="1"/>
  <c r="M12" i="10"/>
  <c r="L12" i="10"/>
  <c r="H12" i="10"/>
  <c r="M11" i="10"/>
  <c r="L11" i="10"/>
  <c r="H11" i="10"/>
  <c r="M10" i="10"/>
  <c r="L10" i="10"/>
  <c r="H10" i="10"/>
  <c r="M9" i="10"/>
  <c r="L9" i="10"/>
  <c r="H9" i="10"/>
  <c r="M8" i="10"/>
  <c r="L8" i="10"/>
  <c r="H8" i="10"/>
  <c r="M7" i="10"/>
  <c r="L7" i="10"/>
  <c r="H7" i="10"/>
  <c r="M6" i="10"/>
  <c r="L6" i="10"/>
  <c r="H6" i="10"/>
  <c r="M5" i="10"/>
  <c r="L5" i="10"/>
  <c r="H5" i="10"/>
  <c r="M4" i="10"/>
  <c r="L4" i="10"/>
  <c r="H4" i="10"/>
  <c r="M3" i="10"/>
  <c r="L3" i="10"/>
  <c r="H3" i="10"/>
  <c r="C14" i="9"/>
  <c r="M12" i="9"/>
  <c r="L12" i="9"/>
  <c r="H12" i="9"/>
  <c r="M11" i="9"/>
  <c r="L11" i="9"/>
  <c r="H11" i="9"/>
  <c r="M10" i="9"/>
  <c r="L10" i="9"/>
  <c r="H10" i="9"/>
  <c r="M9" i="9"/>
  <c r="L9" i="9"/>
  <c r="H9" i="9"/>
  <c r="M8" i="9"/>
  <c r="L8" i="9"/>
  <c r="H8" i="9"/>
  <c r="M7" i="9"/>
  <c r="L7" i="9"/>
  <c r="H7" i="9"/>
  <c r="M6" i="9"/>
  <c r="L6" i="9"/>
  <c r="H6" i="9"/>
  <c r="M5" i="9"/>
  <c r="L5" i="9"/>
  <c r="H5" i="9"/>
  <c r="M4" i="9"/>
  <c r="L4" i="9"/>
  <c r="H4" i="9"/>
  <c r="M3" i="9"/>
  <c r="L3" i="9"/>
  <c r="H3" i="9"/>
  <c r="M12" i="8"/>
  <c r="L12" i="8"/>
  <c r="H12" i="8"/>
  <c r="M11" i="8"/>
  <c r="L11" i="8"/>
  <c r="H11" i="8"/>
  <c r="M10" i="8"/>
  <c r="L10" i="8"/>
  <c r="H10" i="8"/>
  <c r="M9" i="8"/>
  <c r="L9" i="8"/>
  <c r="H9" i="8"/>
  <c r="M8" i="8"/>
  <c r="L8" i="8"/>
  <c r="H8" i="8"/>
  <c r="M7" i="8"/>
  <c r="L7" i="8"/>
  <c r="H7" i="8"/>
  <c r="M6" i="8"/>
  <c r="L6" i="8"/>
  <c r="H6" i="8"/>
  <c r="M5" i="8"/>
  <c r="L5" i="8"/>
  <c r="H5" i="8"/>
  <c r="M4" i="8"/>
  <c r="L4" i="8"/>
  <c r="H4" i="8"/>
  <c r="M3" i="8"/>
  <c r="L3" i="8"/>
  <c r="H3" i="8"/>
  <c r="C11" i="7"/>
  <c r="H4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I3" i="7"/>
  <c r="H3" i="7"/>
  <c r="C10" i="6"/>
  <c r="M12" i="6"/>
  <c r="L12" i="6"/>
  <c r="H12" i="6"/>
  <c r="M11" i="6"/>
  <c r="L11" i="6"/>
  <c r="H11" i="6"/>
  <c r="M10" i="6"/>
  <c r="L10" i="6"/>
  <c r="H10" i="6"/>
  <c r="M9" i="6"/>
  <c r="L9" i="6"/>
  <c r="H9" i="6"/>
  <c r="M8" i="6"/>
  <c r="L8" i="6"/>
  <c r="H8" i="6"/>
  <c r="M7" i="6"/>
  <c r="L7" i="6"/>
  <c r="H7" i="6"/>
  <c r="M6" i="6"/>
  <c r="L6" i="6"/>
  <c r="H6" i="6"/>
  <c r="M5" i="6"/>
  <c r="L5" i="6"/>
  <c r="H5" i="6"/>
  <c r="M4" i="6"/>
  <c r="L4" i="6"/>
  <c r="H4" i="6"/>
  <c r="M3" i="6"/>
  <c r="L3" i="6"/>
  <c r="H3" i="6"/>
  <c r="C12" i="3"/>
  <c r="C15" i="2"/>
  <c r="C11" i="4"/>
  <c r="M12" i="4"/>
  <c r="L12" i="4"/>
  <c r="H12" i="4"/>
  <c r="M11" i="4"/>
  <c r="L11" i="4"/>
  <c r="H11" i="4"/>
  <c r="M10" i="4"/>
  <c r="L10" i="4"/>
  <c r="H10" i="4"/>
  <c r="M9" i="4"/>
  <c r="L9" i="4"/>
  <c r="H9" i="4"/>
  <c r="M8" i="4"/>
  <c r="L8" i="4"/>
  <c r="H8" i="4"/>
  <c r="M7" i="4"/>
  <c r="L7" i="4"/>
  <c r="H7" i="4"/>
  <c r="M6" i="4"/>
  <c r="L6" i="4"/>
  <c r="H6" i="4"/>
  <c r="M5" i="4"/>
  <c r="L5" i="4"/>
  <c r="H5" i="4"/>
  <c r="M4" i="4"/>
  <c r="L4" i="4"/>
  <c r="H4" i="4"/>
  <c r="M3" i="4"/>
  <c r="L3" i="4"/>
  <c r="H3" i="4"/>
  <c r="H12" i="3"/>
  <c r="H11" i="3"/>
  <c r="H10" i="3"/>
  <c r="H9" i="3"/>
  <c r="H8" i="3"/>
  <c r="H7" i="3"/>
  <c r="H6" i="3"/>
  <c r="H5" i="3"/>
  <c r="H4" i="3"/>
  <c r="H3" i="3"/>
  <c r="M12" i="2"/>
  <c r="L12" i="2"/>
  <c r="H12" i="2"/>
  <c r="M11" i="2"/>
  <c r="L11" i="2"/>
  <c r="H11" i="2"/>
  <c r="M10" i="2"/>
  <c r="L10" i="2"/>
  <c r="H10" i="2"/>
  <c r="M9" i="2"/>
  <c r="L9" i="2"/>
  <c r="H9" i="2"/>
  <c r="M8" i="2"/>
  <c r="L8" i="2"/>
  <c r="H8" i="2"/>
  <c r="M7" i="2"/>
  <c r="L7" i="2"/>
  <c r="H7" i="2"/>
  <c r="M6" i="2"/>
  <c r="L6" i="2"/>
  <c r="H6" i="2"/>
  <c r="M5" i="2"/>
  <c r="L5" i="2"/>
  <c r="H5" i="2"/>
  <c r="M4" i="2"/>
  <c r="L4" i="2"/>
  <c r="H4" i="2"/>
  <c r="M3" i="2"/>
  <c r="L3" i="2"/>
  <c r="H3" i="2"/>
  <c r="C13" i="4" l="1"/>
  <c r="C17" i="2"/>
  <c r="C15" i="11"/>
  <c r="C15" i="1"/>
  <c r="C13" i="10"/>
  <c r="C16" i="9"/>
  <c r="C14" i="8"/>
  <c r="C13" i="7"/>
  <c r="C12" i="6"/>
  <c r="C14" i="3"/>
  <c r="M12" i="1" l="1"/>
  <c r="L12" i="1"/>
  <c r="H12" i="1"/>
  <c r="M11" i="1"/>
  <c r="L11" i="1"/>
  <c r="H11" i="1"/>
  <c r="M10" i="1"/>
  <c r="L10" i="1"/>
  <c r="H10" i="1"/>
  <c r="M9" i="1"/>
  <c r="L9" i="1"/>
  <c r="H9" i="1"/>
  <c r="M8" i="1"/>
  <c r="L8" i="1"/>
  <c r="H8" i="1"/>
  <c r="M7" i="1"/>
  <c r="L7" i="1"/>
  <c r="H7" i="1"/>
  <c r="M6" i="1"/>
  <c r="L6" i="1"/>
  <c r="H6" i="1"/>
  <c r="M5" i="1"/>
  <c r="L5" i="1"/>
  <c r="H5" i="1"/>
  <c r="M4" i="1"/>
  <c r="L4" i="1"/>
  <c r="H4" i="1"/>
  <c r="M3" i="1"/>
  <c r="L3" i="1"/>
  <c r="H3" i="1"/>
</calcChain>
</file>

<file path=xl/sharedStrings.xml><?xml version="1.0" encoding="utf-8"?>
<sst xmlns="http://schemas.openxmlformats.org/spreadsheetml/2006/main" count="229" uniqueCount="79">
  <si>
    <t>날짜</t>
    <phoneticPr fontId="1" type="noConversion"/>
  </si>
  <si>
    <t>이벤트</t>
    <phoneticPr fontId="1" type="noConversion"/>
  </si>
  <si>
    <t>주가</t>
    <phoneticPr fontId="1" type="noConversion"/>
  </si>
  <si>
    <t>현금</t>
    <phoneticPr fontId="1" type="noConversion"/>
  </si>
  <si>
    <t>말뚝박기</t>
    <phoneticPr fontId="1" type="noConversion"/>
  </si>
  <si>
    <t>리밸런싱</t>
    <phoneticPr fontId="1" type="noConversion"/>
  </si>
  <si>
    <t>애플</t>
    <phoneticPr fontId="1" type="noConversion"/>
  </si>
  <si>
    <t>전고점</t>
    <phoneticPr fontId="1" type="noConversion"/>
  </si>
  <si>
    <t>V자 반등 리밸런싱 발생 누적 5%구간 상승</t>
    <phoneticPr fontId="1" type="noConversion"/>
  </si>
  <si>
    <t>V자 반등 리밸런싱 발생 누적 10%구간 상승</t>
    <phoneticPr fontId="1" type="noConversion"/>
  </si>
  <si>
    <t>애플 전고점</t>
    <phoneticPr fontId="1" type="noConversion"/>
  </si>
  <si>
    <t>엑손모밀</t>
    <phoneticPr fontId="1" type="noConversion"/>
  </si>
  <si>
    <t>엑손모빌</t>
    <phoneticPr fontId="1" type="noConversion"/>
  </si>
  <si>
    <t>엑손모빌 전고점</t>
    <phoneticPr fontId="1" type="noConversion"/>
  </si>
  <si>
    <t>애플 전고점 81.80 달러</t>
    <phoneticPr fontId="1" type="noConversion"/>
  </si>
  <si>
    <t>누적 2.5% 하락</t>
    <phoneticPr fontId="1" type="noConversion"/>
  </si>
  <si>
    <t>누적 5.0% 하락</t>
    <phoneticPr fontId="1" type="noConversion"/>
  </si>
  <si>
    <t>누적 7.5% 하락</t>
    <phoneticPr fontId="1" type="noConversion"/>
  </si>
  <si>
    <t>누적 17.5% 하락</t>
    <phoneticPr fontId="1" type="noConversion"/>
  </si>
  <si>
    <t>애플 전고점 182.01달러</t>
    <phoneticPr fontId="1" type="noConversion"/>
  </si>
  <si>
    <t>애플 누적 -5% 하락</t>
    <phoneticPr fontId="1" type="noConversion"/>
  </si>
  <si>
    <t>애플 누적 -10% 하락</t>
    <phoneticPr fontId="1" type="noConversion"/>
  </si>
  <si>
    <t>애플 누적 -7.5% 하락</t>
    <phoneticPr fontId="1" type="noConversion"/>
  </si>
  <si>
    <t>애플 누적 -15% 하락</t>
    <phoneticPr fontId="1" type="noConversion"/>
  </si>
  <si>
    <t>누적 -15% 하락</t>
    <phoneticPr fontId="1" type="noConversion"/>
  </si>
  <si>
    <t>누적 -20% 하락</t>
    <phoneticPr fontId="1" type="noConversion"/>
  </si>
  <si>
    <t>누적 -25% 하락</t>
    <phoneticPr fontId="1" type="noConversion"/>
  </si>
  <si>
    <t>차이</t>
    <phoneticPr fontId="1" type="noConversion"/>
  </si>
  <si>
    <t>리밸런싱 누적 2.5% 하락</t>
    <phoneticPr fontId="1" type="noConversion"/>
  </si>
  <si>
    <t>누적 -10% 하락</t>
    <phoneticPr fontId="1" type="noConversion"/>
  </si>
  <si>
    <t>누적 -30% 하락</t>
    <phoneticPr fontId="1" type="noConversion"/>
  </si>
  <si>
    <t>누적 -35% 하락</t>
    <phoneticPr fontId="1" type="noConversion"/>
  </si>
  <si>
    <t>누적 -40% 하락</t>
    <phoneticPr fontId="1" type="noConversion"/>
  </si>
  <si>
    <t>V자 반등 리밸런싱 발생</t>
    <phoneticPr fontId="1" type="noConversion"/>
  </si>
  <si>
    <t xml:space="preserve">나스닥 -3% 발생 (-5.08%) 말뚝박기 시작 누적 12.5% 하락                                           </t>
    <phoneticPr fontId="1" type="noConversion"/>
  </si>
  <si>
    <t>누적 20% 하락  엑손모빌 최저점</t>
    <phoneticPr fontId="1" type="noConversion"/>
  </si>
  <si>
    <t>엑손모빌 81.18달러 전고점</t>
    <phoneticPr fontId="1" type="noConversion"/>
  </si>
  <si>
    <t>누적 -2.5% 하락</t>
    <phoneticPr fontId="1" type="noConversion"/>
  </si>
  <si>
    <t>누적 -5.0% 하락, 나스닥 -3% 발생 말뚝박기로 전환</t>
    <phoneticPr fontId="1" type="noConversion"/>
  </si>
  <si>
    <t>누적 15% 상승, V자 반등 리밸런싱, 미국 의회 구제 법안 통과</t>
    <phoneticPr fontId="1" type="noConversion"/>
  </si>
  <si>
    <t>나스닥 8거래일 상승 공황 끝</t>
    <phoneticPr fontId="1" type="noConversion"/>
  </si>
  <si>
    <t>누적 5% 하락</t>
    <phoneticPr fontId="1" type="noConversion"/>
  </si>
  <si>
    <t>누적 10% 하락</t>
    <phoneticPr fontId="1" type="noConversion"/>
  </si>
  <si>
    <t>누적 12.5% 하락</t>
    <phoneticPr fontId="1" type="noConversion"/>
  </si>
  <si>
    <t>누적 15% 하락</t>
    <phoneticPr fontId="1" type="noConversion"/>
  </si>
  <si>
    <t>V자 반등</t>
    <phoneticPr fontId="1" type="noConversion"/>
  </si>
  <si>
    <t>엑손모빌 69.29달러 전고점</t>
    <phoneticPr fontId="1" type="noConversion"/>
  </si>
  <si>
    <t>누적 2.5% 하락, -3% 발생</t>
    <phoneticPr fontId="1" type="noConversion"/>
  </si>
  <si>
    <t>애플 누적 -2.5% 하락</t>
    <phoneticPr fontId="1" type="noConversion"/>
  </si>
  <si>
    <t>애플 누적 -12.5% 하락</t>
    <phoneticPr fontId="1" type="noConversion"/>
  </si>
  <si>
    <t>애플 누적 -17.5% 하락</t>
    <phoneticPr fontId="1" type="noConversion"/>
  </si>
  <si>
    <t>애플 누적 -17.5% 하락, -3% 발생</t>
    <phoneticPr fontId="1" type="noConversion"/>
  </si>
  <si>
    <t>애플 누적 -20% 하락</t>
    <phoneticPr fontId="1" type="noConversion"/>
  </si>
  <si>
    <t>애플 누적 -20% 하락, -3% 발생</t>
    <phoneticPr fontId="1" type="noConversion"/>
  </si>
  <si>
    <t>애플 누적 -22.5% 하락</t>
    <phoneticPr fontId="1" type="noConversion"/>
  </si>
  <si>
    <t>누적 -17.5% 하락 -3% 발생 말뚝박기 시작</t>
    <phoneticPr fontId="1" type="noConversion"/>
  </si>
  <si>
    <t>누적 -7.5% 하락</t>
    <phoneticPr fontId="1" type="noConversion"/>
  </si>
  <si>
    <t>누적 2.5% 하락, 나스닥 -3% 발생, 애플 말뚝박기 시작</t>
    <phoneticPr fontId="1" type="noConversion"/>
  </si>
  <si>
    <t>애플 누적 -15% 하락. -3% 발생</t>
    <phoneticPr fontId="1" type="noConversion"/>
  </si>
  <si>
    <t xml:space="preserve">   </t>
    <phoneticPr fontId="1" type="noConversion"/>
  </si>
  <si>
    <t>누적 - 5% 하락, -3% 발생 말뚝박기 시작</t>
    <phoneticPr fontId="1" type="noConversion"/>
  </si>
  <si>
    <t>8거래일 상승 공황 끝</t>
    <phoneticPr fontId="1" type="noConversion"/>
  </si>
  <si>
    <t>애플 전고점 178.96달러</t>
    <phoneticPr fontId="1" type="noConversion"/>
  </si>
  <si>
    <t>애플 누적 -10% 하락, 나스닥 -3% 발생 - 말뚝박기 전환</t>
    <phoneticPr fontId="1" type="noConversion"/>
  </si>
  <si>
    <t>현금비율</t>
    <phoneticPr fontId="1" type="noConversion"/>
  </si>
  <si>
    <t>리밸런싱</t>
    <phoneticPr fontId="1" type="noConversion"/>
  </si>
  <si>
    <t>주식비율</t>
    <phoneticPr fontId="1" type="noConversion"/>
  </si>
  <si>
    <t>주식비율</t>
    <phoneticPr fontId="1" type="noConversion"/>
  </si>
  <si>
    <t>애플 누적 -15% 하락</t>
    <phoneticPr fontId="1" type="noConversion"/>
  </si>
  <si>
    <t>애플 누적 -20% 하락</t>
    <phoneticPr fontId="1" type="noConversion"/>
  </si>
  <si>
    <t>애플 누적 -25% 하락</t>
    <phoneticPr fontId="1" type="noConversion"/>
  </si>
  <si>
    <t>8월 12일 이후 한달+1일 경과</t>
    <phoneticPr fontId="1" type="noConversion"/>
  </si>
  <si>
    <t>공황 끝 두 달+1일</t>
    <phoneticPr fontId="1" type="noConversion"/>
  </si>
  <si>
    <t>한달 +1일</t>
    <phoneticPr fontId="1" type="noConversion"/>
  </si>
  <si>
    <t>공황끝 두달+1일</t>
    <phoneticPr fontId="1" type="noConversion"/>
  </si>
  <si>
    <t>한달+1일</t>
    <phoneticPr fontId="1" type="noConversion"/>
  </si>
  <si>
    <t>공황 끝, 두달+1일</t>
    <phoneticPr fontId="1" type="noConversion"/>
  </si>
  <si>
    <t>리밸런싱+말뚝박기+V자 반등 평단가</t>
    <phoneticPr fontId="1" type="noConversion"/>
  </si>
  <si>
    <t>리밸런싱+말뚝박기+기간 매뉴얼 평단가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</si>
</sst>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%"/>
    <numFmt numFmtId="179" formatCode="0.000_);[Red]\(0.000\)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31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31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>
      <alignment vertical="center"/>
    </xf>
    <xf numFmtId="31" fontId="2" fillId="0" borderId="0" xfId="0" applyNumberFormat="1" applyFont="1">
      <alignment vertical="center"/>
    </xf>
    <xf numFmtId="3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31" fontId="2" fillId="0" borderId="1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A27B-13DD-4875-A2B4-76C287F4A2EA}">
  <dimension ref="A1:M29"/>
  <sheetViews>
    <sheetView zoomScaleNormal="100" workbookViewId="0">
      <selection activeCell="C12" sqref="C12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  <col min="6" max="6" width="4.25" customWidth="1"/>
    <col min="10" max="10" width="6.125" customWidth="1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11</v>
      </c>
      <c r="I1" s="3" t="s">
        <v>4</v>
      </c>
      <c r="K1" s="5"/>
      <c r="L1" s="4" t="s">
        <v>12</v>
      </c>
      <c r="M1" s="3" t="s">
        <v>5</v>
      </c>
    </row>
    <row r="2" spans="1:13" x14ac:dyDescent="0.3">
      <c r="A2" s="6">
        <v>39688</v>
      </c>
      <c r="B2" s="14" t="s">
        <v>36</v>
      </c>
      <c r="C2" s="2">
        <v>81.180000000000007</v>
      </c>
      <c r="D2" s="7"/>
      <c r="E2" s="7"/>
      <c r="G2" s="3" t="s">
        <v>7</v>
      </c>
      <c r="H2" s="2">
        <v>81.180000000000007</v>
      </c>
      <c r="I2" s="8">
        <v>0</v>
      </c>
      <c r="K2" s="5" t="s">
        <v>7</v>
      </c>
      <c r="L2" s="2">
        <v>81.180000000000007</v>
      </c>
      <c r="M2" s="9"/>
    </row>
    <row r="3" spans="1:13" x14ac:dyDescent="0.3">
      <c r="A3" s="6">
        <v>39693</v>
      </c>
      <c r="B3" s="14" t="s">
        <v>37</v>
      </c>
      <c r="C3" s="2">
        <v>77.319999999999993</v>
      </c>
      <c r="D3" s="7">
        <v>0.1</v>
      </c>
      <c r="E3" s="7"/>
      <c r="G3" s="10">
        <v>-0.05</v>
      </c>
      <c r="H3" s="11">
        <f>H2*0.95</f>
        <v>77.121000000000009</v>
      </c>
      <c r="I3" s="7">
        <v>0.1</v>
      </c>
      <c r="K3" s="5">
        <v>-2.5000000000000001E-2</v>
      </c>
      <c r="L3" s="11">
        <f>L2*0.975</f>
        <v>79.150500000000008</v>
      </c>
      <c r="M3" s="7">
        <f t="shared" ref="M3:M5" si="0">K3*-4</f>
        <v>0.1</v>
      </c>
    </row>
    <row r="4" spans="1:13" x14ac:dyDescent="0.3">
      <c r="A4" s="6">
        <v>39695</v>
      </c>
      <c r="B4" s="14" t="s">
        <v>38</v>
      </c>
      <c r="C4" s="2">
        <v>76.14</v>
      </c>
      <c r="D4" s="7">
        <v>0.9</v>
      </c>
      <c r="E4" s="7">
        <v>0.1</v>
      </c>
      <c r="G4" s="10">
        <v>-0.1</v>
      </c>
      <c r="H4" s="11">
        <f>H2*0.9</f>
        <v>73.062000000000012</v>
      </c>
      <c r="I4" s="7">
        <v>0.2</v>
      </c>
      <c r="K4" s="5">
        <v>-0.05</v>
      </c>
      <c r="L4" s="11">
        <f>L2*0.95</f>
        <v>77.121000000000009</v>
      </c>
      <c r="M4" s="7">
        <f t="shared" si="0"/>
        <v>0.2</v>
      </c>
    </row>
    <row r="5" spans="1:13" x14ac:dyDescent="0.3">
      <c r="A5" s="6">
        <v>39730</v>
      </c>
      <c r="B5" s="14" t="s">
        <v>24</v>
      </c>
      <c r="C5" s="2">
        <v>68</v>
      </c>
      <c r="D5" s="7">
        <v>0.7</v>
      </c>
      <c r="E5" s="7">
        <v>0.3</v>
      </c>
      <c r="G5" s="10">
        <v>-0.15</v>
      </c>
      <c r="H5" s="11">
        <f>H2*0.85</f>
        <v>69.003</v>
      </c>
      <c r="I5" s="7">
        <v>0.3</v>
      </c>
      <c r="K5" s="5">
        <v>-7.4999999999999997E-2</v>
      </c>
      <c r="L5" s="11">
        <f>L2*0.925</f>
        <v>75.091500000000011</v>
      </c>
      <c r="M5" s="7">
        <f t="shared" si="0"/>
        <v>0.3</v>
      </c>
    </row>
    <row r="6" spans="1:13" x14ac:dyDescent="0.3">
      <c r="A6" s="6">
        <v>39731</v>
      </c>
      <c r="B6" s="14" t="s">
        <v>25</v>
      </c>
      <c r="C6" s="2">
        <v>56.51</v>
      </c>
      <c r="D6" s="7">
        <v>0.6</v>
      </c>
      <c r="E6" s="7">
        <v>0.4</v>
      </c>
      <c r="G6" s="10">
        <v>-0.2</v>
      </c>
      <c r="H6" s="11">
        <f>H2*0.8</f>
        <v>64.944000000000003</v>
      </c>
      <c r="I6" s="7">
        <v>0.4</v>
      </c>
      <c r="K6" s="5">
        <v>-0.1</v>
      </c>
      <c r="L6" s="11">
        <f>L2*0.9</f>
        <v>73.062000000000012</v>
      </c>
      <c r="M6" s="7">
        <f>K6*-4</f>
        <v>0.4</v>
      </c>
    </row>
    <row r="7" spans="1:13" x14ac:dyDescent="0.3">
      <c r="A7" s="6">
        <v>39734</v>
      </c>
      <c r="B7" s="14" t="s">
        <v>39</v>
      </c>
      <c r="C7" s="2">
        <v>73.08</v>
      </c>
      <c r="D7" s="7"/>
      <c r="E7" s="7">
        <v>1</v>
      </c>
      <c r="G7" s="10">
        <v>-0.25</v>
      </c>
      <c r="H7" s="11">
        <f>H2*0.75</f>
        <v>60.885000000000005</v>
      </c>
      <c r="I7" s="7">
        <v>0.5</v>
      </c>
      <c r="K7" s="5">
        <v>-0.125</v>
      </c>
      <c r="L7" s="11">
        <f>L2*0.875</f>
        <v>71.032499999999999</v>
      </c>
      <c r="M7" s="7">
        <f>K7*-4</f>
        <v>0.5</v>
      </c>
    </row>
    <row r="8" spans="1:13" x14ac:dyDescent="0.3">
      <c r="A8" s="6">
        <v>40011</v>
      </c>
      <c r="B8" s="14" t="s">
        <v>40</v>
      </c>
      <c r="C8" s="2">
        <v>68.52</v>
      </c>
      <c r="D8" s="1"/>
      <c r="E8" s="7"/>
      <c r="G8" s="10">
        <v>-0.3</v>
      </c>
      <c r="H8" s="11">
        <f>H2*0.7</f>
        <v>56.826000000000001</v>
      </c>
      <c r="I8" s="7">
        <v>0.6</v>
      </c>
      <c r="K8" s="5">
        <v>-0.15</v>
      </c>
      <c r="L8" s="11">
        <f>L2*0.85</f>
        <v>69.003</v>
      </c>
      <c r="M8" s="7">
        <f t="shared" ref="M8:M12" si="1">K8*-4</f>
        <v>0.6</v>
      </c>
    </row>
    <row r="9" spans="1:13" x14ac:dyDescent="0.3">
      <c r="A9" s="6"/>
      <c r="B9" s="14"/>
      <c r="C9" s="2"/>
      <c r="D9" s="1"/>
      <c r="E9" s="7"/>
      <c r="G9" s="10">
        <v>-0.35</v>
      </c>
      <c r="H9" s="11">
        <f>H2*0.65</f>
        <v>52.767000000000003</v>
      </c>
      <c r="I9" s="7">
        <v>0.7</v>
      </c>
      <c r="K9" s="5">
        <v>-0.17499999999999999</v>
      </c>
      <c r="L9" s="11">
        <f>L2*0.825</f>
        <v>66.973500000000001</v>
      </c>
      <c r="M9" s="7">
        <f t="shared" si="1"/>
        <v>0.7</v>
      </c>
    </row>
    <row r="10" spans="1:13" x14ac:dyDescent="0.3">
      <c r="A10" s="6"/>
      <c r="B10" s="1" t="s">
        <v>77</v>
      </c>
      <c r="C10" s="2">
        <f>C3*10%+C5*20%+C6*30%+C7*40%</f>
        <v>67.516999999999996</v>
      </c>
      <c r="D10" s="7"/>
      <c r="E10" s="1"/>
      <c r="G10" s="10">
        <v>-0.4</v>
      </c>
      <c r="H10" s="11">
        <f>H2*0.6</f>
        <v>48.708000000000006</v>
      </c>
      <c r="I10" s="7">
        <v>0.8</v>
      </c>
      <c r="K10" s="5">
        <v>-0.2</v>
      </c>
      <c r="L10" s="11">
        <f>L2*0.8</f>
        <v>64.944000000000003</v>
      </c>
      <c r="M10" s="7">
        <f t="shared" si="1"/>
        <v>0.8</v>
      </c>
    </row>
    <row r="11" spans="1:13" x14ac:dyDescent="0.3">
      <c r="A11" s="1"/>
      <c r="B11" s="1" t="s">
        <v>78</v>
      </c>
      <c r="C11" s="2">
        <f>C3*10%+C5*20%+C6*30%+C8*40%</f>
        <v>65.692999999999998</v>
      </c>
      <c r="D11" s="7"/>
      <c r="E11" s="1"/>
      <c r="G11" s="10">
        <v>-0.45</v>
      </c>
      <c r="H11" s="11">
        <f>H2*0.55</f>
        <v>44.649000000000008</v>
      </c>
      <c r="I11" s="7">
        <v>0.9</v>
      </c>
      <c r="K11" s="5">
        <v>-0.22500000000000001</v>
      </c>
      <c r="L11" s="11">
        <f>L2*0.775</f>
        <v>62.914500000000004</v>
      </c>
      <c r="M11" s="7">
        <f t="shared" si="1"/>
        <v>0.9</v>
      </c>
    </row>
    <row r="12" spans="1:13" x14ac:dyDescent="0.3">
      <c r="A12" s="1"/>
      <c r="B12" s="1" t="s">
        <v>27</v>
      </c>
      <c r="C12" s="21">
        <f>(C11-C10)/C11</f>
        <v>-2.7765515351711723E-2</v>
      </c>
      <c r="D12" s="7"/>
      <c r="E12" s="1"/>
      <c r="G12" s="10">
        <v>-0.5</v>
      </c>
      <c r="H12" s="11">
        <f>H2*0.5</f>
        <v>40.590000000000003</v>
      </c>
      <c r="I12" s="7">
        <v>1</v>
      </c>
      <c r="K12" s="5">
        <v>-0.25</v>
      </c>
      <c r="L12" s="11">
        <f>L2*0.75</f>
        <v>60.885000000000005</v>
      </c>
      <c r="M12" s="7">
        <f t="shared" si="1"/>
        <v>1</v>
      </c>
    </row>
    <row r="15" spans="1:13" x14ac:dyDescent="0.3">
      <c r="A15" s="27"/>
      <c r="B15" s="28"/>
      <c r="C15" s="28"/>
      <c r="D15" s="28"/>
      <c r="E15" s="28"/>
      <c r="F15" s="29"/>
    </row>
    <row r="16" spans="1:13" x14ac:dyDescent="0.3">
      <c r="A16" s="27"/>
      <c r="B16" s="28"/>
      <c r="C16" s="28"/>
      <c r="D16" s="28"/>
      <c r="E16" s="28"/>
      <c r="F16" s="29"/>
    </row>
    <row r="17" spans="1:6" x14ac:dyDescent="0.3">
      <c r="A17" s="27"/>
      <c r="B17" s="28"/>
      <c r="C17" s="28"/>
      <c r="D17" s="28"/>
      <c r="E17" s="28"/>
      <c r="F17" s="29"/>
    </row>
    <row r="18" spans="1:6" x14ac:dyDescent="0.3">
      <c r="A18" s="27"/>
      <c r="B18" s="28"/>
      <c r="C18" s="28"/>
      <c r="D18" s="28"/>
      <c r="E18" s="28"/>
      <c r="F18" s="29"/>
    </row>
    <row r="19" spans="1:6" x14ac:dyDescent="0.3">
      <c r="A19" s="27"/>
      <c r="B19" s="28"/>
      <c r="C19" s="28"/>
      <c r="D19" s="28"/>
      <c r="E19" s="28"/>
      <c r="F19" s="29"/>
    </row>
    <row r="20" spans="1:6" x14ac:dyDescent="0.3">
      <c r="A20" s="27"/>
      <c r="B20" s="28"/>
      <c r="C20" s="28"/>
      <c r="D20" s="28"/>
      <c r="E20" s="28"/>
      <c r="F20" s="29"/>
    </row>
    <row r="21" spans="1:6" x14ac:dyDescent="0.3">
      <c r="A21" s="27"/>
      <c r="B21" s="28"/>
      <c r="C21" s="28"/>
      <c r="D21" s="28"/>
      <c r="E21" s="28"/>
      <c r="F21" s="29"/>
    </row>
    <row r="22" spans="1:6" x14ac:dyDescent="0.3">
      <c r="A22" s="27"/>
      <c r="B22" s="28"/>
      <c r="C22" s="28"/>
      <c r="D22" s="28"/>
      <c r="E22" s="28"/>
      <c r="F22" s="29"/>
    </row>
    <row r="23" spans="1:6" x14ac:dyDescent="0.3">
      <c r="A23" s="27"/>
      <c r="B23" s="28"/>
      <c r="C23" s="28"/>
      <c r="D23" s="28"/>
      <c r="E23" s="28"/>
      <c r="F23" s="29"/>
    </row>
    <row r="24" spans="1:6" x14ac:dyDescent="0.3">
      <c r="A24" s="27"/>
      <c r="B24" s="28"/>
      <c r="C24" s="28"/>
      <c r="D24" s="28"/>
      <c r="E24" s="28"/>
      <c r="F24" s="29"/>
    </row>
    <row r="25" spans="1:6" x14ac:dyDescent="0.3">
      <c r="A25" s="27"/>
      <c r="B25" s="28"/>
      <c r="C25" s="28"/>
      <c r="D25" s="28"/>
      <c r="E25" s="28"/>
      <c r="F25" s="29"/>
    </row>
    <row r="26" spans="1:6" x14ac:dyDescent="0.3">
      <c r="A26" s="27"/>
      <c r="B26" s="28"/>
      <c r="C26" s="28"/>
      <c r="D26" s="28"/>
      <c r="E26" s="28"/>
      <c r="F26" s="29"/>
    </row>
    <row r="27" spans="1:6" x14ac:dyDescent="0.3">
      <c r="A27" s="27"/>
      <c r="B27" s="28"/>
      <c r="C27" s="28"/>
      <c r="D27" s="28"/>
      <c r="E27" s="28"/>
      <c r="F27" s="29"/>
    </row>
    <row r="28" spans="1:6" x14ac:dyDescent="0.3">
      <c r="A28" s="27"/>
      <c r="B28" s="28"/>
      <c r="C28" s="28"/>
      <c r="D28" s="28"/>
      <c r="E28" s="28"/>
      <c r="F28" s="29"/>
    </row>
    <row r="29" spans="1:6" x14ac:dyDescent="0.3">
      <c r="A29" s="27"/>
      <c r="B29" s="28"/>
      <c r="C29" s="28"/>
      <c r="D29" s="28"/>
      <c r="E29" s="28"/>
      <c r="F29" s="29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DECD-7FD8-4AC3-9E04-5D45DC956452}">
  <dimension ref="A1:M15"/>
  <sheetViews>
    <sheetView tabSelected="1" workbookViewId="0">
      <selection activeCell="F17" sqref="F17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67</v>
      </c>
      <c r="G1" s="3" t="s">
        <v>4</v>
      </c>
      <c r="H1" s="4" t="s">
        <v>6</v>
      </c>
      <c r="I1" s="3" t="s">
        <v>66</v>
      </c>
      <c r="K1" s="5" t="s">
        <v>65</v>
      </c>
      <c r="L1" s="4" t="s">
        <v>6</v>
      </c>
      <c r="M1" s="3" t="s">
        <v>64</v>
      </c>
    </row>
    <row r="2" spans="1:13" x14ac:dyDescent="0.3">
      <c r="A2" s="6">
        <v>44649</v>
      </c>
      <c r="B2" s="14" t="s">
        <v>62</v>
      </c>
      <c r="C2" s="2">
        <v>178.96</v>
      </c>
      <c r="D2" s="7"/>
      <c r="E2" s="7"/>
      <c r="G2" s="3" t="s">
        <v>7</v>
      </c>
      <c r="H2" s="2">
        <v>182.01</v>
      </c>
      <c r="I2" s="8">
        <v>0</v>
      </c>
      <c r="K2" s="5" t="s">
        <v>7</v>
      </c>
      <c r="L2" s="2">
        <v>178.96</v>
      </c>
      <c r="M2" s="9"/>
    </row>
    <row r="3" spans="1:13" x14ac:dyDescent="0.3">
      <c r="A3" s="6">
        <v>44652</v>
      </c>
      <c r="B3" s="14" t="s">
        <v>15</v>
      </c>
      <c r="C3" s="2">
        <v>174.31</v>
      </c>
      <c r="D3" s="7">
        <v>0.9</v>
      </c>
      <c r="E3" s="7">
        <v>0.1</v>
      </c>
      <c r="G3" s="10">
        <v>-0.05</v>
      </c>
      <c r="H3" s="11">
        <f>H2*0.95</f>
        <v>172.90949999999998</v>
      </c>
      <c r="I3" s="7">
        <v>0.1</v>
      </c>
      <c r="K3" s="5">
        <v>-2.5000000000000001E-2</v>
      </c>
      <c r="L3" s="11">
        <f>L2*0.975</f>
        <v>174.48599999999999</v>
      </c>
      <c r="M3" s="7">
        <f t="shared" ref="M3:M5" si="0">K3*-4</f>
        <v>0.1</v>
      </c>
    </row>
    <row r="4" spans="1:13" x14ac:dyDescent="0.3">
      <c r="A4" s="6">
        <v>44662</v>
      </c>
      <c r="B4" s="14" t="s">
        <v>20</v>
      </c>
      <c r="C4" s="2">
        <v>165.75</v>
      </c>
      <c r="D4" s="7">
        <v>0.8</v>
      </c>
      <c r="E4" s="7">
        <v>0.2</v>
      </c>
      <c r="G4" s="10">
        <v>-0.1</v>
      </c>
      <c r="H4" s="11">
        <f>H2*0.9</f>
        <v>163.809</v>
      </c>
      <c r="I4" s="7">
        <v>0.2</v>
      </c>
      <c r="K4" s="5">
        <v>-0.05</v>
      </c>
      <c r="L4" s="11">
        <f>L2*0.95</f>
        <v>170.012</v>
      </c>
      <c r="M4" s="7">
        <f t="shared" si="0"/>
        <v>0.2</v>
      </c>
    </row>
    <row r="5" spans="1:13" x14ac:dyDescent="0.3">
      <c r="A5" s="6">
        <v>44665</v>
      </c>
      <c r="B5" s="14" t="s">
        <v>22</v>
      </c>
      <c r="C5" s="11">
        <f>C2*0.925</f>
        <v>165.53800000000001</v>
      </c>
      <c r="D5" s="7">
        <v>0.7</v>
      </c>
      <c r="E5" s="7">
        <v>0.3</v>
      </c>
      <c r="G5" s="10">
        <v>-0.15</v>
      </c>
      <c r="H5" s="11">
        <f>H2*0.85</f>
        <v>154.70849999999999</v>
      </c>
      <c r="I5" s="7">
        <v>0.3</v>
      </c>
      <c r="K5" s="5">
        <v>-7.4999999999999997E-2</v>
      </c>
      <c r="L5" s="11">
        <f>L2*0.925</f>
        <v>165.53800000000001</v>
      </c>
      <c r="M5" s="7">
        <f t="shared" si="0"/>
        <v>0.3</v>
      </c>
    </row>
    <row r="6" spans="1:13" x14ac:dyDescent="0.3">
      <c r="A6" s="6">
        <v>44677</v>
      </c>
      <c r="B6" s="19" t="s">
        <v>63</v>
      </c>
      <c r="C6" s="2">
        <v>156.80000000000001</v>
      </c>
      <c r="D6" s="7">
        <v>0.8</v>
      </c>
      <c r="E6" s="7">
        <v>0.2</v>
      </c>
      <c r="G6" s="10">
        <v>-0.2</v>
      </c>
      <c r="H6" s="11">
        <f>H2*0.8</f>
        <v>145.608</v>
      </c>
      <c r="I6" s="7">
        <v>0.4</v>
      </c>
      <c r="K6" s="5">
        <v>-0.1</v>
      </c>
      <c r="L6" s="11">
        <f>L2*0.9</f>
        <v>161.06400000000002</v>
      </c>
      <c r="M6" s="7">
        <f>K6*-4</f>
        <v>0.4</v>
      </c>
    </row>
    <row r="7" spans="1:13" x14ac:dyDescent="0.3">
      <c r="A7" s="6">
        <v>44687</v>
      </c>
      <c r="B7" s="19" t="s">
        <v>68</v>
      </c>
      <c r="C7" s="2">
        <v>154.18</v>
      </c>
      <c r="D7" s="7">
        <v>0.7</v>
      </c>
      <c r="E7" s="7">
        <v>0.3</v>
      </c>
      <c r="G7" s="10">
        <v>-0.25</v>
      </c>
      <c r="H7" s="11">
        <f>H2*0.75</f>
        <v>136.50749999999999</v>
      </c>
      <c r="I7" s="7">
        <v>0.5</v>
      </c>
      <c r="K7" s="5">
        <v>-0.125</v>
      </c>
      <c r="L7" s="11">
        <f>L2*0.875</f>
        <v>156.59</v>
      </c>
      <c r="M7" s="7">
        <f>K7*-4</f>
        <v>0.5</v>
      </c>
    </row>
    <row r="8" spans="1:13" x14ac:dyDescent="0.3">
      <c r="A8" s="6">
        <v>44693</v>
      </c>
      <c r="B8" s="19" t="s">
        <v>69</v>
      </c>
      <c r="C8" s="2">
        <v>138.80000000000001</v>
      </c>
      <c r="D8" s="7">
        <v>0.6</v>
      </c>
      <c r="E8" s="7">
        <v>0.4</v>
      </c>
      <c r="G8" s="10">
        <v>-0.3</v>
      </c>
      <c r="H8" s="11">
        <f>H2*0.7</f>
        <v>127.40699999999998</v>
      </c>
      <c r="I8" s="7">
        <v>0.6</v>
      </c>
      <c r="K8" s="5">
        <v>-0.15</v>
      </c>
      <c r="L8" s="11">
        <f>L2*0.85</f>
        <v>152.11600000000001</v>
      </c>
      <c r="M8" s="7">
        <f t="shared" ref="M8:M12" si="1">K8*-4</f>
        <v>0.6</v>
      </c>
    </row>
    <row r="9" spans="1:13" x14ac:dyDescent="0.3">
      <c r="A9" s="6">
        <v>44701</v>
      </c>
      <c r="B9" s="19" t="s">
        <v>70</v>
      </c>
      <c r="C9" s="2">
        <v>132.61000000000001</v>
      </c>
      <c r="D9" s="7">
        <v>0.5</v>
      </c>
      <c r="E9" s="7">
        <v>0.5</v>
      </c>
      <c r="G9" s="10">
        <v>-0.35</v>
      </c>
      <c r="H9" s="11">
        <f>H2*0.65</f>
        <v>118.3065</v>
      </c>
      <c r="I9" s="7">
        <v>0.7</v>
      </c>
      <c r="K9" s="5">
        <v>-0.17499999999999999</v>
      </c>
      <c r="L9" s="11">
        <f>L2*0.825</f>
        <v>147.642</v>
      </c>
      <c r="M9" s="7">
        <f t="shared" si="1"/>
        <v>0.7</v>
      </c>
    </row>
    <row r="10" spans="1:13" x14ac:dyDescent="0.3">
      <c r="A10" s="6">
        <v>44763</v>
      </c>
      <c r="B10" s="14" t="s">
        <v>9</v>
      </c>
      <c r="C10" s="2">
        <v>155.35</v>
      </c>
      <c r="D10" s="7">
        <v>0</v>
      </c>
      <c r="E10" s="7">
        <v>1</v>
      </c>
      <c r="G10" s="10">
        <v>-0.4</v>
      </c>
      <c r="H10" s="11">
        <f>H2*0.6</f>
        <v>109.20599999999999</v>
      </c>
      <c r="I10" s="7">
        <v>0.8</v>
      </c>
      <c r="K10" s="5">
        <v>-0.2</v>
      </c>
      <c r="L10" s="11">
        <f>L2*0.8</f>
        <v>143.16800000000001</v>
      </c>
      <c r="M10" s="7">
        <f t="shared" si="1"/>
        <v>0.8</v>
      </c>
    </row>
    <row r="11" spans="1:13" x14ac:dyDescent="0.3">
      <c r="A11" s="6">
        <v>44790</v>
      </c>
      <c r="B11" s="14" t="s">
        <v>76</v>
      </c>
      <c r="C11" s="2">
        <v>174.55</v>
      </c>
      <c r="D11" s="7"/>
      <c r="E11" s="7"/>
      <c r="G11" s="10">
        <v>-0.45</v>
      </c>
      <c r="H11" s="11">
        <f>H2*0.55</f>
        <v>100.10550000000001</v>
      </c>
      <c r="I11" s="7">
        <v>0.9</v>
      </c>
      <c r="K11" s="5">
        <v>-0.22500000000000001</v>
      </c>
      <c r="L11" s="11">
        <f>L2*0.775</f>
        <v>138.69400000000002</v>
      </c>
      <c r="M11" s="7">
        <f t="shared" si="1"/>
        <v>0.9</v>
      </c>
    </row>
    <row r="12" spans="1:13" x14ac:dyDescent="0.3">
      <c r="A12" s="3"/>
      <c r="B12" s="14"/>
      <c r="C12" s="2"/>
      <c r="D12" s="1"/>
      <c r="E12" s="1"/>
      <c r="G12" s="10">
        <v>-0.5</v>
      </c>
      <c r="H12" s="11">
        <f>H2*0.5</f>
        <v>91.004999999999995</v>
      </c>
      <c r="I12" s="7">
        <v>1</v>
      </c>
      <c r="K12" s="5">
        <v>-0.25</v>
      </c>
      <c r="L12" s="11">
        <f>L2*0.75</f>
        <v>134.22</v>
      </c>
      <c r="M12" s="7">
        <f t="shared" si="1"/>
        <v>1</v>
      </c>
    </row>
    <row r="13" spans="1:13" x14ac:dyDescent="0.3">
      <c r="A13" s="1"/>
      <c r="B13" s="1" t="s">
        <v>77</v>
      </c>
      <c r="C13" s="2">
        <f>C3*6.67%+C4*6.67%+C5*6.67%+C7*10%+C8*10%+C9*10%+C10*50%</f>
        <v>153.95738660000001</v>
      </c>
      <c r="D13" s="1"/>
      <c r="E13" s="1"/>
    </row>
    <row r="14" spans="1:13" x14ac:dyDescent="0.3">
      <c r="A14" s="1"/>
      <c r="B14" s="1" t="s">
        <v>78</v>
      </c>
      <c r="C14" s="2">
        <f>C4*6.67%+C5*6.67%+C6*6.67%+C8*10%+C9*10%+C10*10%+C11*50%</f>
        <v>162.5064696</v>
      </c>
      <c r="D14" s="1"/>
      <c r="E14" s="1"/>
    </row>
    <row r="15" spans="1:13" x14ac:dyDescent="0.3">
      <c r="A15" s="1"/>
      <c r="B15" s="14" t="s">
        <v>27</v>
      </c>
      <c r="C15" s="21">
        <f>(C14-C13)/C14</f>
        <v>5.260764707425529E-2</v>
      </c>
      <c r="D15" s="1"/>
      <c r="E15" s="1"/>
      <c r="F15" t="s">
        <v>59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B3A1-4BFA-47B2-B52F-B64CFFD96533}">
  <dimension ref="A1:I13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  <col min="6" max="6" width="4.25" customWidth="1"/>
  </cols>
  <sheetData>
    <row r="1" spans="1:9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5"/>
      <c r="H1" s="4" t="s">
        <v>12</v>
      </c>
      <c r="I1" s="3" t="s">
        <v>4</v>
      </c>
    </row>
    <row r="2" spans="1:9" x14ac:dyDescent="0.3">
      <c r="A2" s="6">
        <v>40294</v>
      </c>
      <c r="B2" s="24" t="s">
        <v>46</v>
      </c>
      <c r="C2" s="2">
        <v>69.290000000000006</v>
      </c>
      <c r="D2" s="7"/>
      <c r="E2" s="7"/>
      <c r="G2" s="5" t="s">
        <v>7</v>
      </c>
      <c r="H2" s="2">
        <v>69.290000000000006</v>
      </c>
      <c r="I2" s="9"/>
    </row>
    <row r="3" spans="1:9" x14ac:dyDescent="0.3">
      <c r="A3" s="6">
        <v>40302</v>
      </c>
      <c r="B3" s="24" t="s">
        <v>47</v>
      </c>
      <c r="C3" s="2">
        <v>66.47</v>
      </c>
      <c r="D3" s="7">
        <v>0.9</v>
      </c>
      <c r="E3" s="7">
        <v>0.1</v>
      </c>
      <c r="G3" s="5">
        <v>-2.5000000000000001E-2</v>
      </c>
      <c r="H3" s="11">
        <f>H2*0.975</f>
        <v>67.557749999999999</v>
      </c>
      <c r="I3" s="7">
        <f t="shared" ref="I3:I5" si="0">G3*-4</f>
        <v>0.1</v>
      </c>
    </row>
    <row r="4" spans="1:9" x14ac:dyDescent="0.3">
      <c r="A4" s="6">
        <v>40304</v>
      </c>
      <c r="B4" s="24" t="s">
        <v>41</v>
      </c>
      <c r="C4" s="2">
        <v>63.89</v>
      </c>
      <c r="D4" s="7">
        <v>0.7</v>
      </c>
      <c r="E4" s="7">
        <v>0.3</v>
      </c>
      <c r="G4" s="5">
        <v>-0.05</v>
      </c>
      <c r="H4" s="11">
        <f>H2*0.95</f>
        <v>65.825500000000005</v>
      </c>
      <c r="I4" s="7">
        <f t="shared" si="0"/>
        <v>0.2</v>
      </c>
    </row>
    <row r="5" spans="1:9" x14ac:dyDescent="0.3">
      <c r="A5" s="6">
        <v>40318</v>
      </c>
      <c r="B5" s="24" t="s">
        <v>42</v>
      </c>
      <c r="C5" s="2">
        <v>60.33</v>
      </c>
      <c r="D5" s="7">
        <v>0.5</v>
      </c>
      <c r="E5" s="7">
        <v>0.5</v>
      </c>
      <c r="G5" s="5">
        <v>-7.4999999999999997E-2</v>
      </c>
      <c r="H5" s="11">
        <f>H2*0.925</f>
        <v>64.093250000000012</v>
      </c>
      <c r="I5" s="7">
        <f t="shared" si="0"/>
        <v>0.3</v>
      </c>
    </row>
    <row r="6" spans="1:9" x14ac:dyDescent="0.3">
      <c r="A6" s="6">
        <v>40357</v>
      </c>
      <c r="B6" s="24" t="s">
        <v>43</v>
      </c>
      <c r="C6" s="2">
        <v>58.47</v>
      </c>
      <c r="D6" s="7">
        <v>0.4</v>
      </c>
      <c r="E6" s="7">
        <v>0.6</v>
      </c>
      <c r="G6" s="5">
        <v>-0.1</v>
      </c>
      <c r="H6" s="11">
        <f>H2*0.9</f>
        <v>62.361000000000004</v>
      </c>
      <c r="I6" s="7">
        <f>G6*-4</f>
        <v>0.4</v>
      </c>
    </row>
    <row r="7" spans="1:9" x14ac:dyDescent="0.3">
      <c r="A7" s="6">
        <v>40359</v>
      </c>
      <c r="B7" s="24" t="s">
        <v>44</v>
      </c>
      <c r="C7" s="2">
        <v>56.92</v>
      </c>
      <c r="D7" s="7">
        <v>0.3</v>
      </c>
      <c r="E7" s="7">
        <v>0.7</v>
      </c>
      <c r="G7" s="5">
        <v>-0.125</v>
      </c>
      <c r="H7" s="11">
        <f>H2*0.875</f>
        <v>60.628750000000004</v>
      </c>
      <c r="I7" s="7">
        <f>G7*-4</f>
        <v>0.5</v>
      </c>
    </row>
    <row r="8" spans="1:9" x14ac:dyDescent="0.3">
      <c r="A8" s="6">
        <v>40386</v>
      </c>
      <c r="B8" s="24" t="s">
        <v>45</v>
      </c>
      <c r="C8" s="2">
        <v>60.81</v>
      </c>
      <c r="D8" s="7"/>
      <c r="E8" s="7">
        <v>1</v>
      </c>
      <c r="G8" s="5">
        <v>-0.15</v>
      </c>
      <c r="H8" s="11">
        <f>H2*0.85</f>
        <v>58.896500000000003</v>
      </c>
      <c r="I8" s="7">
        <f t="shared" ref="I8:I12" si="1">G8*-4</f>
        <v>0.6</v>
      </c>
    </row>
    <row r="9" spans="1:9" x14ac:dyDescent="0.3">
      <c r="A9" s="6">
        <v>40434</v>
      </c>
      <c r="B9" s="24" t="s">
        <v>71</v>
      </c>
      <c r="C9" s="2">
        <v>61</v>
      </c>
      <c r="D9" s="7"/>
      <c r="E9" s="7"/>
      <c r="G9" s="5">
        <v>-0.17499999999999999</v>
      </c>
      <c r="H9" s="11">
        <f>H2*0.825</f>
        <v>57.164250000000003</v>
      </c>
      <c r="I9" s="7">
        <f t="shared" si="1"/>
        <v>0.7</v>
      </c>
    </row>
    <row r="10" spans="1:9" x14ac:dyDescent="0.3">
      <c r="A10" s="6"/>
      <c r="B10" s="24"/>
      <c r="C10" s="2"/>
      <c r="D10" s="1"/>
      <c r="E10" s="7"/>
      <c r="G10" s="5">
        <v>-0.2</v>
      </c>
      <c r="H10" s="11">
        <f>H2*0.8</f>
        <v>55.432000000000009</v>
      </c>
      <c r="I10" s="7">
        <f t="shared" si="1"/>
        <v>0.8</v>
      </c>
    </row>
    <row r="11" spans="1:9" x14ac:dyDescent="0.3">
      <c r="A11" s="6"/>
      <c r="B11" s="1" t="s">
        <v>77</v>
      </c>
      <c r="C11" s="2">
        <f>C3*10%+C4*20%+C5*20%+C6*10%+C7*10%+C8*30%</f>
        <v>61.272999999999996</v>
      </c>
      <c r="D11" s="7"/>
      <c r="E11" s="1"/>
      <c r="G11" s="5">
        <v>-0.22500000000000001</v>
      </c>
      <c r="H11" s="11">
        <f>H2*0.775</f>
        <v>53.699750000000009</v>
      </c>
      <c r="I11" s="7">
        <f t="shared" si="1"/>
        <v>0.9</v>
      </c>
    </row>
    <row r="12" spans="1:9" x14ac:dyDescent="0.3">
      <c r="A12" s="1"/>
      <c r="B12" s="1" t="s">
        <v>78</v>
      </c>
      <c r="C12" s="2">
        <f>C3*10%+C4*20%+C5*20%+C6*10%+C7*10%+C9*30%</f>
        <v>61.33</v>
      </c>
      <c r="D12" s="7"/>
      <c r="E12" s="1"/>
      <c r="G12" s="5">
        <v>-0.25</v>
      </c>
      <c r="H12" s="11">
        <f>H2*0.75</f>
        <v>51.967500000000001</v>
      </c>
      <c r="I12" s="7">
        <f t="shared" si="1"/>
        <v>1</v>
      </c>
    </row>
    <row r="13" spans="1:9" x14ac:dyDescent="0.3">
      <c r="A13" s="1"/>
      <c r="B13" s="25" t="s">
        <v>27</v>
      </c>
      <c r="C13" s="21">
        <f>(C12-C11)/C12</f>
        <v>9.293983368661693E-4</v>
      </c>
      <c r="D13" s="7"/>
      <c r="E13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37BF-55C2-4BAF-9AE9-1C2AAD4CAEEA}">
  <dimension ref="A1:I14"/>
  <sheetViews>
    <sheetView zoomScaleNormal="100" workbookViewId="0">
      <selection activeCell="C14" sqref="C14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9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11</v>
      </c>
      <c r="I1" s="3" t="s">
        <v>4</v>
      </c>
    </row>
    <row r="2" spans="1:9" x14ac:dyDescent="0.3">
      <c r="A2" s="6">
        <v>40746</v>
      </c>
      <c r="B2" s="14" t="s">
        <v>13</v>
      </c>
      <c r="C2" s="2">
        <v>85.22</v>
      </c>
      <c r="D2" s="7"/>
      <c r="E2" s="7"/>
      <c r="G2" s="5" t="s">
        <v>7</v>
      </c>
      <c r="H2" s="2">
        <v>85.22</v>
      </c>
      <c r="I2" s="9"/>
    </row>
    <row r="3" spans="1:9" x14ac:dyDescent="0.3">
      <c r="A3" s="6">
        <v>40752</v>
      </c>
      <c r="B3" s="14" t="s">
        <v>15</v>
      </c>
      <c r="C3" s="2">
        <v>81.459999999999994</v>
      </c>
      <c r="D3" s="7">
        <v>0.1</v>
      </c>
      <c r="E3" s="7"/>
      <c r="G3" s="5">
        <v>-2.5000000000000001E-2</v>
      </c>
      <c r="H3" s="11">
        <f>H2*0.975</f>
        <v>83.089500000000001</v>
      </c>
      <c r="I3" s="7">
        <v>0.1</v>
      </c>
    </row>
    <row r="4" spans="1:9" x14ac:dyDescent="0.3">
      <c r="A4" s="6">
        <v>40753</v>
      </c>
      <c r="B4" s="14" t="s">
        <v>16</v>
      </c>
      <c r="C4" s="2">
        <v>79.790000000000006</v>
      </c>
      <c r="D4" s="7">
        <v>0.2</v>
      </c>
      <c r="E4" s="7"/>
      <c r="G4" s="5">
        <v>-0.05</v>
      </c>
      <c r="H4" s="11">
        <f>H2*0.95</f>
        <v>80.958999999999989</v>
      </c>
      <c r="I4" s="7">
        <v>0.2</v>
      </c>
    </row>
    <row r="5" spans="1:9" x14ac:dyDescent="0.3">
      <c r="A5" s="6">
        <v>40757</v>
      </c>
      <c r="B5" s="14" t="s">
        <v>17</v>
      </c>
      <c r="C5" s="2">
        <v>77.84</v>
      </c>
      <c r="D5" s="7">
        <v>0.3</v>
      </c>
      <c r="E5" s="7"/>
      <c r="G5" s="5">
        <v>-7.4999999999999997E-2</v>
      </c>
      <c r="H5" s="11">
        <f>H2*0.925</f>
        <v>78.828500000000005</v>
      </c>
      <c r="I5" s="7">
        <v>0.3</v>
      </c>
    </row>
    <row r="6" spans="1:9" x14ac:dyDescent="0.3">
      <c r="A6" s="6">
        <v>40759</v>
      </c>
      <c r="B6" s="19" t="s">
        <v>34</v>
      </c>
      <c r="C6" s="2">
        <v>73.84</v>
      </c>
      <c r="D6" s="7">
        <v>0.5</v>
      </c>
      <c r="E6" s="7">
        <v>0.5</v>
      </c>
      <c r="G6" s="5">
        <v>-0.1</v>
      </c>
      <c r="H6" s="11">
        <f>H2*0.9</f>
        <v>76.698000000000008</v>
      </c>
      <c r="I6" s="7">
        <v>0.4</v>
      </c>
    </row>
    <row r="7" spans="1:9" x14ac:dyDescent="0.3">
      <c r="A7" s="6">
        <v>40763</v>
      </c>
      <c r="B7" s="14" t="s">
        <v>18</v>
      </c>
      <c r="C7" s="2">
        <v>70.19</v>
      </c>
      <c r="D7" s="7">
        <v>0.3</v>
      </c>
      <c r="E7" s="7">
        <v>0.7</v>
      </c>
      <c r="G7" s="5">
        <v>-0.125</v>
      </c>
      <c r="H7" s="11">
        <f>H2*0.875</f>
        <v>74.567499999999995</v>
      </c>
      <c r="I7" s="7">
        <v>0.5</v>
      </c>
    </row>
    <row r="8" spans="1:9" x14ac:dyDescent="0.3">
      <c r="A8" s="6">
        <v>40765</v>
      </c>
      <c r="B8" s="19" t="s">
        <v>35</v>
      </c>
      <c r="C8" s="2">
        <v>67.459999999999994</v>
      </c>
      <c r="D8" s="7">
        <v>0.2</v>
      </c>
      <c r="E8" s="7">
        <v>0.8</v>
      </c>
      <c r="G8" s="5">
        <v>-0.15</v>
      </c>
      <c r="H8" s="11">
        <f>H2*0.85</f>
        <v>72.436999999999998</v>
      </c>
      <c r="I8" s="7">
        <v>0.6</v>
      </c>
    </row>
    <row r="9" spans="1:9" x14ac:dyDescent="0.3">
      <c r="A9" s="6">
        <v>40770</v>
      </c>
      <c r="B9" s="14" t="s">
        <v>8</v>
      </c>
      <c r="C9" s="2">
        <v>74.290000000000006</v>
      </c>
      <c r="D9" s="7"/>
      <c r="E9" s="7">
        <v>1</v>
      </c>
      <c r="G9" s="5">
        <v>-0.17499999999999999</v>
      </c>
      <c r="H9" s="11">
        <f>H2*0.825</f>
        <v>70.3065</v>
      </c>
      <c r="I9" s="7">
        <v>0.7</v>
      </c>
    </row>
    <row r="10" spans="1:9" x14ac:dyDescent="0.3">
      <c r="A10" s="6">
        <v>40835</v>
      </c>
      <c r="B10" s="14" t="s">
        <v>72</v>
      </c>
      <c r="C10" s="2">
        <v>78.430000000000007</v>
      </c>
      <c r="D10" s="7"/>
      <c r="E10" s="7"/>
      <c r="G10" s="5">
        <v>-0.2</v>
      </c>
      <c r="H10" s="11">
        <f>H2*0.8</f>
        <v>68.176000000000002</v>
      </c>
      <c r="I10" s="7">
        <v>0.8</v>
      </c>
    </row>
    <row r="11" spans="1:9" x14ac:dyDescent="0.3">
      <c r="A11" s="6"/>
      <c r="B11" s="14"/>
      <c r="C11" s="2"/>
      <c r="D11" s="7"/>
      <c r="E11" s="7"/>
      <c r="G11" s="5">
        <v>-0.22500000000000001</v>
      </c>
      <c r="H11" s="11">
        <f>H2*0.775</f>
        <v>66.045500000000004</v>
      </c>
      <c r="I11" s="7">
        <v>0.9</v>
      </c>
    </row>
    <row r="12" spans="1:9" x14ac:dyDescent="0.3">
      <c r="A12" s="6"/>
      <c r="B12" s="1" t="s">
        <v>77</v>
      </c>
      <c r="C12" s="2">
        <f>C3*10%+C4*10%+C5*10%+C6*20%+C7*20%+C8*10%+C9*20%</f>
        <v>74.319000000000003</v>
      </c>
      <c r="D12" s="7"/>
      <c r="E12" s="1"/>
      <c r="G12" s="5">
        <v>-0.25</v>
      </c>
      <c r="H12" s="11">
        <f>H2*0.75</f>
        <v>63.914999999999999</v>
      </c>
      <c r="I12" s="7">
        <v>1</v>
      </c>
    </row>
    <row r="13" spans="1:9" x14ac:dyDescent="0.3">
      <c r="A13" s="1"/>
      <c r="B13" s="1" t="s">
        <v>78</v>
      </c>
      <c r="C13" s="2">
        <f>C3*10%+C4*10%+C5*10%+C6*20%+C7*20%+C8*10%+C10*20%</f>
        <v>75.147000000000006</v>
      </c>
      <c r="D13" s="7"/>
      <c r="E13" s="1"/>
    </row>
    <row r="14" spans="1:9" x14ac:dyDescent="0.3">
      <c r="A14" s="1"/>
      <c r="B14" s="1" t="s">
        <v>27</v>
      </c>
      <c r="C14" s="21">
        <f>(C13-C12)/C13</f>
        <v>1.101840392830057E-2</v>
      </c>
      <c r="D14" s="7"/>
      <c r="E14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529C-708F-40D3-848F-23882E3A8B34}">
  <dimension ref="A1:M14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38.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42205</v>
      </c>
      <c r="B2" s="14"/>
      <c r="C2" s="2">
        <v>33.020000000000003</v>
      </c>
      <c r="D2" s="7"/>
      <c r="E2" s="7"/>
      <c r="G2" s="5" t="s">
        <v>7</v>
      </c>
      <c r="H2" s="2">
        <v>33.020000000000003</v>
      </c>
      <c r="I2" s="9"/>
      <c r="K2" s="5" t="s">
        <v>7</v>
      </c>
      <c r="L2" s="2">
        <v>33.020000000000003</v>
      </c>
      <c r="M2" s="9"/>
    </row>
    <row r="3" spans="1:13" x14ac:dyDescent="0.3">
      <c r="A3" s="6">
        <v>42207</v>
      </c>
      <c r="B3" s="14" t="s">
        <v>20</v>
      </c>
      <c r="C3" s="2">
        <v>31.3</v>
      </c>
      <c r="D3" s="7">
        <v>0.2</v>
      </c>
      <c r="E3" s="7"/>
      <c r="G3" s="5">
        <v>-2.5000000000000001E-2</v>
      </c>
      <c r="H3" s="11">
        <f>H2*0.975</f>
        <v>32.194500000000005</v>
      </c>
      <c r="I3" s="7">
        <v>0.1</v>
      </c>
      <c r="K3" s="5">
        <v>-2.5000000000000001E-2</v>
      </c>
      <c r="L3" s="11">
        <f>L2*0.975</f>
        <v>32.194500000000005</v>
      </c>
      <c r="M3" s="7">
        <f t="shared" ref="M3:M5" si="0">K3*-4</f>
        <v>0.1</v>
      </c>
    </row>
    <row r="4" spans="1:13" x14ac:dyDescent="0.3">
      <c r="A4" s="6">
        <v>42216</v>
      </c>
      <c r="B4" s="14" t="s">
        <v>22</v>
      </c>
      <c r="C4" s="2">
        <v>30.32</v>
      </c>
      <c r="D4" s="7">
        <v>0.3</v>
      </c>
      <c r="E4" s="7"/>
      <c r="G4" s="5">
        <v>-0.05</v>
      </c>
      <c r="H4" s="11">
        <f>H2*0.95</f>
        <v>31.369</v>
      </c>
      <c r="I4" s="7">
        <v>0.2</v>
      </c>
      <c r="K4" s="5">
        <v>-0.05</v>
      </c>
      <c r="L4" s="11">
        <f>L2*0.95</f>
        <v>31.369</v>
      </c>
      <c r="M4" s="7">
        <f t="shared" si="0"/>
        <v>0.2</v>
      </c>
    </row>
    <row r="5" spans="1:13" x14ac:dyDescent="0.3">
      <c r="A5" s="6">
        <v>42219</v>
      </c>
      <c r="B5" s="19" t="s">
        <v>21</v>
      </c>
      <c r="C5" s="2">
        <v>29.61</v>
      </c>
      <c r="D5" s="7">
        <v>0.4</v>
      </c>
      <c r="E5" s="7"/>
      <c r="G5" s="5">
        <v>-7.4999999999999997E-2</v>
      </c>
      <c r="H5" s="11">
        <f>H2*0.925</f>
        <v>30.543500000000005</v>
      </c>
      <c r="I5" s="7">
        <v>0.3</v>
      </c>
      <c r="K5" s="5">
        <v>-7.4999999999999997E-2</v>
      </c>
      <c r="L5" s="11">
        <f>L2*0.925</f>
        <v>30.543500000000005</v>
      </c>
      <c r="M5" s="7">
        <f t="shared" si="0"/>
        <v>0.3</v>
      </c>
    </row>
    <row r="6" spans="1:13" x14ac:dyDescent="0.3">
      <c r="A6" s="6">
        <v>42220</v>
      </c>
      <c r="B6" s="14" t="s">
        <v>49</v>
      </c>
      <c r="C6" s="2">
        <v>28.66</v>
      </c>
      <c r="D6" s="7">
        <v>0.5</v>
      </c>
      <c r="E6" s="7"/>
      <c r="G6" s="5">
        <v>-0.1</v>
      </c>
      <c r="H6" s="11">
        <f>H2*0.9</f>
        <v>29.718000000000004</v>
      </c>
      <c r="I6" s="7">
        <v>0.4</v>
      </c>
      <c r="K6" s="5">
        <v>-0.1</v>
      </c>
      <c r="L6" s="11">
        <f>L2*0.9</f>
        <v>29.718000000000004</v>
      </c>
      <c r="M6" s="7">
        <f>K6*-4</f>
        <v>0.4</v>
      </c>
    </row>
    <row r="7" spans="1:13" x14ac:dyDescent="0.3">
      <c r="A7" s="6">
        <v>42237</v>
      </c>
      <c r="B7" s="14" t="s">
        <v>51</v>
      </c>
      <c r="C7" s="2">
        <v>26.44</v>
      </c>
      <c r="D7" s="7">
        <v>0.4</v>
      </c>
      <c r="E7" s="7">
        <v>0.6</v>
      </c>
      <c r="G7" s="5">
        <v>-0.125</v>
      </c>
      <c r="H7" s="11">
        <f>H2*0.875</f>
        <v>28.892500000000002</v>
      </c>
      <c r="I7" s="7">
        <v>0.5</v>
      </c>
      <c r="K7" s="5">
        <v>-0.125</v>
      </c>
      <c r="L7" s="11">
        <f>L2*0.875</f>
        <v>28.892500000000002</v>
      </c>
      <c r="M7" s="7">
        <f>K7*-4</f>
        <v>0.5</v>
      </c>
    </row>
    <row r="8" spans="1:13" x14ac:dyDescent="0.3">
      <c r="A8" s="6">
        <v>42240</v>
      </c>
      <c r="B8" s="14" t="s">
        <v>52</v>
      </c>
      <c r="C8" s="2">
        <v>23</v>
      </c>
      <c r="D8" s="7">
        <v>0.5</v>
      </c>
      <c r="E8" s="7">
        <v>0.5</v>
      </c>
      <c r="G8" s="5">
        <v>-0.15</v>
      </c>
      <c r="H8" s="11">
        <f>H2*0.85</f>
        <v>28.067</v>
      </c>
      <c r="I8" s="7">
        <v>0.6</v>
      </c>
      <c r="K8" s="5">
        <v>-0.15</v>
      </c>
      <c r="L8" s="11">
        <f>L2*0.85</f>
        <v>28.067</v>
      </c>
      <c r="M8" s="7">
        <f t="shared" ref="M8:M12" si="1">K8*-4</f>
        <v>0.6</v>
      </c>
    </row>
    <row r="9" spans="1:13" x14ac:dyDescent="0.3">
      <c r="A9" s="6">
        <v>42242</v>
      </c>
      <c r="B9" s="14" t="s">
        <v>45</v>
      </c>
      <c r="C9" s="2">
        <v>27.42</v>
      </c>
      <c r="D9" s="1"/>
      <c r="E9" s="7">
        <v>1</v>
      </c>
      <c r="G9" s="5">
        <v>-0.17499999999999999</v>
      </c>
      <c r="H9" s="11">
        <f>H2*0.825</f>
        <v>27.241500000000002</v>
      </c>
      <c r="I9" s="7">
        <v>0.7</v>
      </c>
      <c r="K9" s="5">
        <v>-0.17499999999999999</v>
      </c>
      <c r="L9" s="11">
        <f>L2*0.825</f>
        <v>27.241500000000002</v>
      </c>
      <c r="M9" s="7">
        <f t="shared" si="1"/>
        <v>0.7</v>
      </c>
    </row>
    <row r="10" spans="1:13" x14ac:dyDescent="0.3">
      <c r="A10" s="6">
        <v>42271</v>
      </c>
      <c r="B10" s="14" t="s">
        <v>73</v>
      </c>
      <c r="C10" s="2">
        <v>28.75</v>
      </c>
      <c r="D10" s="1"/>
      <c r="E10" s="1"/>
      <c r="G10" s="5">
        <v>-0.2</v>
      </c>
      <c r="H10" s="11">
        <f>H2*0.8</f>
        <v>26.416000000000004</v>
      </c>
      <c r="I10" s="7">
        <v>0.8</v>
      </c>
      <c r="K10" s="5">
        <v>-0.2</v>
      </c>
      <c r="L10" s="11">
        <f>L2*0.8</f>
        <v>26.416000000000004</v>
      </c>
      <c r="M10" s="7">
        <f t="shared" si="1"/>
        <v>0.8</v>
      </c>
    </row>
    <row r="11" spans="1:13" x14ac:dyDescent="0.3">
      <c r="A11" s="6"/>
      <c r="B11" s="14"/>
      <c r="C11" s="2"/>
      <c r="D11" s="1"/>
      <c r="E11" s="1"/>
      <c r="G11" s="5">
        <v>-0.22500000000000001</v>
      </c>
      <c r="H11" s="11">
        <f>H2*0.775</f>
        <v>25.590500000000002</v>
      </c>
      <c r="I11" s="7">
        <v>0.9</v>
      </c>
      <c r="K11" s="5">
        <v>-0.22500000000000001</v>
      </c>
      <c r="L11" s="11">
        <f>L2*0.775</f>
        <v>25.590500000000002</v>
      </c>
      <c r="M11" s="7">
        <f t="shared" si="1"/>
        <v>0.9</v>
      </c>
    </row>
    <row r="12" spans="1:13" x14ac:dyDescent="0.3">
      <c r="A12" s="1"/>
      <c r="B12" s="1" t="s">
        <v>77</v>
      </c>
      <c r="C12" s="2">
        <f>C3*20%+C4*10%+C5*10%+C6*10%+C7*10%+C8*40%</f>
        <v>26.963000000000001</v>
      </c>
      <c r="D12" s="1" t="s">
        <v>59</v>
      </c>
      <c r="E12" s="1"/>
      <c r="G12" s="5">
        <v>-0.25</v>
      </c>
      <c r="H12" s="11">
        <f>H2*0.75</f>
        <v>24.765000000000001</v>
      </c>
      <c r="I12" s="7">
        <v>1</v>
      </c>
      <c r="K12" s="5">
        <v>-0.25</v>
      </c>
      <c r="L12" s="11">
        <f>L2*0.75</f>
        <v>24.765000000000001</v>
      </c>
      <c r="M12" s="7">
        <f t="shared" si="1"/>
        <v>1</v>
      </c>
    </row>
    <row r="13" spans="1:13" x14ac:dyDescent="0.3">
      <c r="A13" s="1"/>
      <c r="B13" s="1" t="s">
        <v>78</v>
      </c>
      <c r="C13" s="2">
        <f>C3*20%+C4*10%+C5*10%+C6*10%+C7*10%+C10*40%</f>
        <v>29.263000000000002</v>
      </c>
      <c r="D13" s="1"/>
      <c r="E13" s="1"/>
      <c r="G13" s="22"/>
      <c r="H13" s="23"/>
      <c r="I13" s="13"/>
      <c r="K13" s="22"/>
      <c r="L13" s="23"/>
      <c r="M13" s="13"/>
    </row>
    <row r="14" spans="1:13" x14ac:dyDescent="0.3">
      <c r="A14" s="1"/>
      <c r="B14" s="14" t="s">
        <v>27</v>
      </c>
      <c r="C14" s="21">
        <f>(C13-C12)/C13</f>
        <v>7.8597546389638812E-2</v>
      </c>
      <c r="D14" s="1"/>
      <c r="E14" s="1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E65E-5946-4682-B6A1-94D9B3A4D827}">
  <dimension ref="A1:M16"/>
  <sheetViews>
    <sheetView zoomScaleNormal="100" workbookViewId="0">
      <selection activeCell="C14" sqref="C14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42311</v>
      </c>
      <c r="B2" s="14" t="s">
        <v>7</v>
      </c>
      <c r="C2" s="2">
        <v>30.64</v>
      </c>
      <c r="D2" s="7"/>
      <c r="E2" s="7"/>
      <c r="G2" s="5" t="s">
        <v>7</v>
      </c>
      <c r="H2" s="2">
        <v>30.64</v>
      </c>
      <c r="I2" s="9"/>
      <c r="K2" s="5" t="s">
        <v>7</v>
      </c>
      <c r="L2" s="2">
        <v>30.64</v>
      </c>
      <c r="M2" s="9"/>
    </row>
    <row r="3" spans="1:13" x14ac:dyDescent="0.3">
      <c r="A3" s="6">
        <v>42318</v>
      </c>
      <c r="B3" s="14" t="s">
        <v>48</v>
      </c>
      <c r="C3" s="2">
        <v>29.19</v>
      </c>
      <c r="D3" s="7">
        <v>0.1</v>
      </c>
      <c r="E3" s="7"/>
      <c r="G3" s="5">
        <v>-2.5000000000000001E-2</v>
      </c>
      <c r="H3" s="11">
        <f>H2*0.975</f>
        <v>29.873999999999999</v>
      </c>
      <c r="I3" s="7">
        <v>0.1</v>
      </c>
      <c r="K3" s="5">
        <v>-2.5000000000000001E-2</v>
      </c>
      <c r="L3" s="11">
        <f>L2*0.975</f>
        <v>29.873999999999999</v>
      </c>
      <c r="M3" s="7">
        <f t="shared" ref="M3:M5" si="0">K3*-4</f>
        <v>0.1</v>
      </c>
    </row>
    <row r="4" spans="1:13" x14ac:dyDescent="0.3">
      <c r="A4" s="6">
        <v>42319</v>
      </c>
      <c r="B4" s="14" t="s">
        <v>20</v>
      </c>
      <c r="C4" s="2">
        <v>29.03</v>
      </c>
      <c r="D4" s="7">
        <v>0.2</v>
      </c>
      <c r="E4" s="7"/>
      <c r="G4" s="5">
        <v>-0.05</v>
      </c>
      <c r="H4" s="11">
        <f>H2*0.95</f>
        <v>29.108000000000001</v>
      </c>
      <c r="I4" s="7">
        <v>0.2</v>
      </c>
      <c r="K4" s="5">
        <v>-0.05</v>
      </c>
      <c r="L4" s="11">
        <f>L2*0.95</f>
        <v>29.108000000000001</v>
      </c>
      <c r="M4" s="7">
        <f t="shared" si="0"/>
        <v>0.2</v>
      </c>
    </row>
    <row r="5" spans="1:13" x14ac:dyDescent="0.3">
      <c r="A5" s="6">
        <v>42321</v>
      </c>
      <c r="B5" s="14" t="s">
        <v>22</v>
      </c>
      <c r="C5" s="2">
        <v>28.09</v>
      </c>
      <c r="D5" s="7">
        <v>0.3</v>
      </c>
      <c r="E5" s="7"/>
      <c r="G5" s="5">
        <v>-7.4999999999999997E-2</v>
      </c>
      <c r="H5" s="11">
        <f>H2*0.925</f>
        <v>28.342000000000002</v>
      </c>
      <c r="I5" s="7">
        <v>0.3</v>
      </c>
      <c r="K5" s="5">
        <v>-7.4999999999999997E-2</v>
      </c>
      <c r="L5" s="11">
        <f>L2*0.925</f>
        <v>28.342000000000002</v>
      </c>
      <c r="M5" s="7">
        <f t="shared" si="0"/>
        <v>0.3</v>
      </c>
    </row>
    <row r="6" spans="1:13" x14ac:dyDescent="0.3">
      <c r="A6" s="6">
        <v>42355</v>
      </c>
      <c r="B6" s="19" t="s">
        <v>21</v>
      </c>
      <c r="C6" s="2">
        <v>27.25</v>
      </c>
      <c r="D6" s="7">
        <v>0.4</v>
      </c>
      <c r="E6" s="7"/>
      <c r="G6" s="5">
        <v>-0.1</v>
      </c>
      <c r="H6" s="11">
        <f>H2*0.9</f>
        <v>27.576000000000001</v>
      </c>
      <c r="I6" s="7">
        <v>0.4</v>
      </c>
      <c r="K6" s="5">
        <v>-0.1</v>
      </c>
      <c r="L6" s="11">
        <f>L2*0.9</f>
        <v>27.576000000000001</v>
      </c>
      <c r="M6" s="7">
        <f>K6*-4</f>
        <v>0.4</v>
      </c>
    </row>
    <row r="7" spans="1:13" x14ac:dyDescent="0.3">
      <c r="A7" s="6">
        <v>42356</v>
      </c>
      <c r="B7" s="14" t="s">
        <v>49</v>
      </c>
      <c r="C7" s="2">
        <v>26.51</v>
      </c>
      <c r="D7" s="7">
        <v>0.5</v>
      </c>
      <c r="E7" s="7"/>
      <c r="G7" s="5">
        <v>-0.125</v>
      </c>
      <c r="H7" s="11">
        <f>H2*0.875</f>
        <v>26.810000000000002</v>
      </c>
      <c r="I7" s="7">
        <v>0.5</v>
      </c>
      <c r="K7" s="5">
        <v>-0.125</v>
      </c>
      <c r="L7" s="11">
        <f>L2*0.875</f>
        <v>26.810000000000002</v>
      </c>
      <c r="M7" s="7">
        <f>K7*-4</f>
        <v>0.5</v>
      </c>
    </row>
    <row r="8" spans="1:13" x14ac:dyDescent="0.3">
      <c r="A8" s="6">
        <v>42374</v>
      </c>
      <c r="B8" s="14" t="s">
        <v>50</v>
      </c>
      <c r="C8" s="2">
        <v>25.68</v>
      </c>
      <c r="D8" s="7">
        <v>0.7</v>
      </c>
      <c r="E8" s="7"/>
      <c r="G8" s="5">
        <v>-0.15</v>
      </c>
      <c r="H8" s="11">
        <f>H2*0.85</f>
        <v>26.044</v>
      </c>
      <c r="I8" s="7">
        <v>0.6</v>
      </c>
      <c r="K8" s="5">
        <v>-0.15</v>
      </c>
      <c r="L8" s="11">
        <f>L2*0.85</f>
        <v>26.044</v>
      </c>
      <c r="M8" s="7">
        <f t="shared" ref="M8:M12" si="1">K8*-4</f>
        <v>0.6</v>
      </c>
    </row>
    <row r="9" spans="1:13" x14ac:dyDescent="0.3">
      <c r="A9" s="6">
        <v>42376</v>
      </c>
      <c r="B9" s="14" t="s">
        <v>53</v>
      </c>
      <c r="C9" s="2">
        <v>24.11</v>
      </c>
      <c r="D9" s="7">
        <v>0.2</v>
      </c>
      <c r="E9" s="7">
        <v>0.8</v>
      </c>
      <c r="G9" s="5">
        <v>-0.17499999999999999</v>
      </c>
      <c r="H9" s="11">
        <f>H2*0.825</f>
        <v>25.277999999999999</v>
      </c>
      <c r="I9" s="7">
        <v>0.7</v>
      </c>
      <c r="K9" s="5">
        <v>-0.17499999999999999</v>
      </c>
      <c r="L9" s="11">
        <f>L2*0.825</f>
        <v>25.277999999999999</v>
      </c>
      <c r="M9" s="7">
        <f t="shared" si="1"/>
        <v>0.7</v>
      </c>
    </row>
    <row r="10" spans="1:13" x14ac:dyDescent="0.3">
      <c r="A10" s="6">
        <v>42389</v>
      </c>
      <c r="B10" s="14" t="s">
        <v>54</v>
      </c>
      <c r="C10" s="2">
        <v>23.36</v>
      </c>
      <c r="D10" s="7">
        <v>0.1</v>
      </c>
      <c r="E10" s="7">
        <v>0.9</v>
      </c>
      <c r="G10" s="5">
        <v>-0.2</v>
      </c>
      <c r="H10" s="11">
        <f>H2*0.8</f>
        <v>24.512</v>
      </c>
      <c r="I10" s="7">
        <v>0.8</v>
      </c>
      <c r="K10" s="5">
        <v>-0.2</v>
      </c>
      <c r="L10" s="11">
        <f>L2*0.8</f>
        <v>24.512</v>
      </c>
      <c r="M10" s="7">
        <f t="shared" si="1"/>
        <v>0.8</v>
      </c>
    </row>
    <row r="11" spans="1:13" x14ac:dyDescent="0.3">
      <c r="A11" s="6">
        <v>42436</v>
      </c>
      <c r="B11" s="14" t="s">
        <v>73</v>
      </c>
      <c r="C11" s="2">
        <v>25.47</v>
      </c>
      <c r="D11" s="1"/>
      <c r="E11" s="7"/>
      <c r="G11" s="5">
        <v>-0.22500000000000001</v>
      </c>
      <c r="H11" s="11">
        <f>H2*0.775</f>
        <v>23.746000000000002</v>
      </c>
      <c r="I11" s="7">
        <v>0.9</v>
      </c>
      <c r="K11" s="5">
        <v>-0.22500000000000001</v>
      </c>
      <c r="L11" s="11">
        <f>L2*0.775</f>
        <v>23.746000000000002</v>
      </c>
      <c r="M11" s="7">
        <f t="shared" si="1"/>
        <v>0.9</v>
      </c>
    </row>
    <row r="12" spans="1:13" x14ac:dyDescent="0.3">
      <c r="A12" s="6">
        <v>42444</v>
      </c>
      <c r="B12" s="14" t="s">
        <v>45</v>
      </c>
      <c r="C12" s="2">
        <v>26.14</v>
      </c>
      <c r="D12" s="1"/>
      <c r="E12" s="7">
        <v>1</v>
      </c>
      <c r="G12" s="5">
        <v>-0.25</v>
      </c>
      <c r="H12" s="11">
        <f>H2*0.75</f>
        <v>22.98</v>
      </c>
      <c r="I12" s="7">
        <v>1</v>
      </c>
      <c r="K12" s="5">
        <v>-0.25</v>
      </c>
      <c r="L12" s="11">
        <f>L2*0.75</f>
        <v>22.98</v>
      </c>
      <c r="M12" s="7">
        <f t="shared" si="1"/>
        <v>1</v>
      </c>
    </row>
    <row r="13" spans="1:13" x14ac:dyDescent="0.3">
      <c r="A13" s="6"/>
      <c r="B13" s="14"/>
      <c r="C13" s="2"/>
      <c r="D13" s="1"/>
      <c r="E13" s="1"/>
      <c r="G13" s="22"/>
      <c r="H13" s="23"/>
      <c r="I13" s="13"/>
      <c r="K13" s="22"/>
      <c r="L13" s="23"/>
      <c r="M13" s="13"/>
    </row>
    <row r="14" spans="1:13" x14ac:dyDescent="0.3">
      <c r="A14" s="1"/>
      <c r="B14" s="1" t="s">
        <v>77</v>
      </c>
      <c r="C14" s="2">
        <f>C3*10%+C4*10%+C5*10%+C6*10%+C7*10%+C8*20%+C9*10%+C10*10%+C12*10%</f>
        <v>26.504000000000001</v>
      </c>
      <c r="D14" s="1"/>
      <c r="E14" s="1"/>
    </row>
    <row r="15" spans="1:13" x14ac:dyDescent="0.3">
      <c r="A15" s="1"/>
      <c r="B15" s="1" t="s">
        <v>78</v>
      </c>
      <c r="C15" s="2">
        <f>C3*10%+C4*10%+C5*10%+C6*10%+C7*10%+C8*20%+C9*10%+C10*10%+C11*10%</f>
        <v>26.437000000000001</v>
      </c>
      <c r="D15" s="1"/>
      <c r="E15" s="1"/>
    </row>
    <row r="16" spans="1:13" x14ac:dyDescent="0.3">
      <c r="A16" s="1"/>
      <c r="B16" s="14" t="s">
        <v>27</v>
      </c>
      <c r="C16" s="21">
        <f>(C15-C14)/C15</f>
        <v>-2.5343268903430861E-3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173E-319A-413B-BB63-E13DA80B8078}">
  <dimension ref="A1:M23"/>
  <sheetViews>
    <sheetView zoomScaleNormal="100" workbookViewId="0">
      <selection activeCell="C17" sqref="C17"/>
    </sheetView>
  </sheetViews>
  <sheetFormatPr defaultRowHeight="16.5" x14ac:dyDescent="0.3"/>
  <cols>
    <col min="1" max="1" width="17.125" bestFit="1" customWidth="1"/>
    <col min="2" max="2" width="42.375" style="20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43376</v>
      </c>
      <c r="B2" s="14" t="s">
        <v>10</v>
      </c>
      <c r="C2" s="2">
        <v>58.02</v>
      </c>
      <c r="D2" s="7"/>
      <c r="E2" s="7"/>
      <c r="G2" s="3" t="s">
        <v>7</v>
      </c>
      <c r="H2" s="2">
        <v>58.02</v>
      </c>
      <c r="I2" s="9"/>
      <c r="K2" s="5" t="s">
        <v>7</v>
      </c>
      <c r="L2" s="2">
        <v>58.02</v>
      </c>
      <c r="M2" s="9"/>
    </row>
    <row r="3" spans="1:13" x14ac:dyDescent="0.3">
      <c r="A3" s="6">
        <v>43378</v>
      </c>
      <c r="B3" s="14" t="s">
        <v>28</v>
      </c>
      <c r="C3" s="2">
        <v>56.07</v>
      </c>
      <c r="D3" s="7">
        <v>0.1</v>
      </c>
      <c r="E3" s="7"/>
      <c r="G3" s="10">
        <v>-0.05</v>
      </c>
      <c r="H3" s="11">
        <f>H2*0.95</f>
        <v>55.119</v>
      </c>
      <c r="I3" s="7">
        <v>0.1</v>
      </c>
      <c r="K3" s="5">
        <v>-2.5000000000000001E-2</v>
      </c>
      <c r="L3" s="11">
        <f>L2*0.975</f>
        <v>56.569500000000005</v>
      </c>
      <c r="M3" s="7">
        <f t="shared" ref="M3:M5" si="0">K3*-4</f>
        <v>0.1</v>
      </c>
    </row>
    <row r="4" spans="1:13" x14ac:dyDescent="0.3">
      <c r="A4" s="6">
        <v>43383</v>
      </c>
      <c r="B4" s="19" t="s">
        <v>60</v>
      </c>
      <c r="C4" s="2">
        <v>54.09</v>
      </c>
      <c r="D4" s="7">
        <v>0.9</v>
      </c>
      <c r="E4" s="7">
        <v>0.1</v>
      </c>
      <c r="G4" s="10">
        <v>-0.1</v>
      </c>
      <c r="H4" s="11">
        <f>H2*0.9</f>
        <v>52.218000000000004</v>
      </c>
      <c r="I4" s="7">
        <v>0.2</v>
      </c>
      <c r="K4" s="5">
        <v>-0.05</v>
      </c>
      <c r="L4" s="11">
        <f>L2*0.95</f>
        <v>55.119</v>
      </c>
      <c r="M4" s="7">
        <f t="shared" si="0"/>
        <v>0.2</v>
      </c>
    </row>
    <row r="5" spans="1:13" x14ac:dyDescent="0.3">
      <c r="A5" s="6">
        <v>43406</v>
      </c>
      <c r="B5" s="19" t="s">
        <v>29</v>
      </c>
      <c r="C5" s="2">
        <v>51.87</v>
      </c>
      <c r="D5" s="7">
        <v>0.8</v>
      </c>
      <c r="E5" s="7">
        <v>0.2</v>
      </c>
      <c r="G5" s="10">
        <v>-0.15</v>
      </c>
      <c r="H5" s="11">
        <f>H2*0.85</f>
        <v>49.317</v>
      </c>
      <c r="I5" s="7">
        <v>0.3</v>
      </c>
      <c r="K5" s="5">
        <v>-7.4999999999999997E-2</v>
      </c>
      <c r="L5" s="11">
        <f>L2*0.925</f>
        <v>53.668500000000009</v>
      </c>
      <c r="M5" s="7">
        <f t="shared" si="0"/>
        <v>0.3</v>
      </c>
    </row>
    <row r="6" spans="1:13" x14ac:dyDescent="0.3">
      <c r="A6" s="6">
        <v>43416</v>
      </c>
      <c r="B6" s="14" t="s">
        <v>24</v>
      </c>
      <c r="C6" s="2">
        <v>48.54</v>
      </c>
      <c r="D6" s="7">
        <v>0.7</v>
      </c>
      <c r="E6" s="7">
        <v>0.3</v>
      </c>
      <c r="G6" s="10">
        <v>-0.2</v>
      </c>
      <c r="H6" s="11">
        <f>H2*0.8</f>
        <v>46.416000000000004</v>
      </c>
      <c r="I6" s="7">
        <v>0.4</v>
      </c>
      <c r="K6" s="5">
        <v>-0.1</v>
      </c>
      <c r="L6" s="11">
        <f>L2*0.9</f>
        <v>52.218000000000004</v>
      </c>
      <c r="M6" s="7">
        <f>K6*-4</f>
        <v>0.4</v>
      </c>
    </row>
    <row r="7" spans="1:13" x14ac:dyDescent="0.3">
      <c r="A7" s="6">
        <v>43424</v>
      </c>
      <c r="B7" s="14" t="s">
        <v>25</v>
      </c>
      <c r="C7" s="2">
        <v>44.24</v>
      </c>
      <c r="D7" s="7">
        <v>0.6</v>
      </c>
      <c r="E7" s="7">
        <v>0.4</v>
      </c>
      <c r="G7" s="10">
        <v>-0.25</v>
      </c>
      <c r="H7" s="11">
        <f>H2*0.75</f>
        <v>43.515000000000001</v>
      </c>
      <c r="I7" s="7">
        <v>0.5</v>
      </c>
      <c r="K7" s="5">
        <v>-0.125</v>
      </c>
      <c r="L7" s="11">
        <f>L2*0.875</f>
        <v>50.767500000000005</v>
      </c>
      <c r="M7" s="7">
        <f>K7*-4</f>
        <v>0.5</v>
      </c>
    </row>
    <row r="8" spans="1:13" x14ac:dyDescent="0.3">
      <c r="A8" s="6">
        <v>43427</v>
      </c>
      <c r="B8" s="14" t="s">
        <v>26</v>
      </c>
      <c r="C8" s="2">
        <v>43.07</v>
      </c>
      <c r="D8" s="7">
        <v>0.5</v>
      </c>
      <c r="E8" s="7">
        <v>0.5</v>
      </c>
      <c r="G8" s="10">
        <v>-0.3</v>
      </c>
      <c r="H8" s="11">
        <f>H2*0.7</f>
        <v>40.613999999999997</v>
      </c>
      <c r="I8" s="7">
        <v>0.6</v>
      </c>
      <c r="K8" s="5">
        <v>-0.15</v>
      </c>
      <c r="L8" s="11">
        <f>L2*0.85</f>
        <v>49.317</v>
      </c>
      <c r="M8" s="7">
        <f t="shared" ref="M8:M12" si="1">K8*-4</f>
        <v>0.6</v>
      </c>
    </row>
    <row r="9" spans="1:13" x14ac:dyDescent="0.3">
      <c r="A9" s="6">
        <v>43453</v>
      </c>
      <c r="B9" s="14" t="s">
        <v>30</v>
      </c>
      <c r="C9" s="2">
        <v>40.22</v>
      </c>
      <c r="D9" s="7">
        <v>0.4</v>
      </c>
      <c r="E9" s="7">
        <v>0.6</v>
      </c>
      <c r="G9" s="10">
        <v>-0.35</v>
      </c>
      <c r="H9" s="11">
        <f>H2*0.65</f>
        <v>37.713000000000001</v>
      </c>
      <c r="I9" s="7">
        <v>0.7</v>
      </c>
      <c r="K9" s="5">
        <v>-0.17499999999999999</v>
      </c>
      <c r="L9" s="11">
        <f>L2*0.825</f>
        <v>47.866500000000002</v>
      </c>
      <c r="M9" s="7">
        <f t="shared" si="1"/>
        <v>0.7</v>
      </c>
    </row>
    <row r="10" spans="1:13" x14ac:dyDescent="0.3">
      <c r="A10" s="6">
        <v>43455</v>
      </c>
      <c r="B10" s="14" t="s">
        <v>31</v>
      </c>
      <c r="C10" s="2">
        <v>37.68</v>
      </c>
      <c r="D10" s="7">
        <v>0.3</v>
      </c>
      <c r="E10" s="7">
        <v>0.7</v>
      </c>
      <c r="G10" s="10">
        <v>-0.4</v>
      </c>
      <c r="H10" s="11">
        <f>H2*0.6</f>
        <v>34.811999999999998</v>
      </c>
      <c r="I10" s="7">
        <v>0.8</v>
      </c>
      <c r="K10" s="5">
        <v>-0.2</v>
      </c>
      <c r="L10" s="11">
        <f>L2*0.8</f>
        <v>46.416000000000004</v>
      </c>
      <c r="M10" s="7">
        <f t="shared" si="1"/>
        <v>0.8</v>
      </c>
    </row>
    <row r="11" spans="1:13" x14ac:dyDescent="0.3">
      <c r="A11" s="6">
        <v>43468</v>
      </c>
      <c r="B11" s="19" t="s">
        <v>32</v>
      </c>
      <c r="C11" s="2">
        <v>35.549999999999997</v>
      </c>
      <c r="D11" s="7">
        <v>0.2</v>
      </c>
      <c r="E11" s="7">
        <v>0.8</v>
      </c>
      <c r="G11" s="10">
        <v>-0.45</v>
      </c>
      <c r="H11" s="11">
        <f>H2*0.55</f>
        <v>31.911000000000005</v>
      </c>
      <c r="I11" s="7">
        <v>0.9</v>
      </c>
      <c r="K11" s="5">
        <v>-0.22500000000000001</v>
      </c>
      <c r="L11" s="11">
        <f>L2*0.775</f>
        <v>44.965500000000006</v>
      </c>
      <c r="M11" s="7">
        <f t="shared" si="1"/>
        <v>0.9</v>
      </c>
    </row>
    <row r="12" spans="1:13" x14ac:dyDescent="0.3">
      <c r="A12" s="6">
        <v>43495</v>
      </c>
      <c r="B12" s="19" t="s">
        <v>33</v>
      </c>
      <c r="C12" s="2">
        <v>41.31</v>
      </c>
      <c r="D12" s="7"/>
      <c r="E12" s="7">
        <v>1</v>
      </c>
      <c r="G12" s="10">
        <v>-0.5</v>
      </c>
      <c r="H12" s="11">
        <f>H2*0.5</f>
        <v>29.01</v>
      </c>
      <c r="I12" s="7">
        <v>1</v>
      </c>
      <c r="K12" s="5">
        <v>-0.25</v>
      </c>
      <c r="L12" s="11">
        <f>L2*0.75</f>
        <v>43.515000000000001</v>
      </c>
      <c r="M12" s="7">
        <f t="shared" si="1"/>
        <v>1</v>
      </c>
    </row>
    <row r="13" spans="1:13" x14ac:dyDescent="0.3">
      <c r="A13" s="30">
        <v>43500</v>
      </c>
      <c r="B13" s="19" t="s">
        <v>74</v>
      </c>
      <c r="C13" s="2">
        <v>42.81</v>
      </c>
      <c r="D13" s="7"/>
      <c r="E13" s="7"/>
    </row>
    <row r="14" spans="1:13" x14ac:dyDescent="0.3">
      <c r="A14" s="26"/>
      <c r="B14" s="19"/>
      <c r="C14" s="2"/>
      <c r="D14" s="7"/>
      <c r="E14" s="7"/>
    </row>
    <row r="15" spans="1:13" x14ac:dyDescent="0.3">
      <c r="A15" s="6"/>
      <c r="B15" s="1" t="s">
        <v>77</v>
      </c>
      <c r="C15" s="2">
        <f>C4*10%+C5*10%+C6*10%+C7*10%+C8*10%+C9*10%+C10*10%+C11*10%+C12*20%</f>
        <v>43.787999999999997</v>
      </c>
      <c r="D15" s="7"/>
      <c r="E15" s="1"/>
    </row>
    <row r="16" spans="1:13" x14ac:dyDescent="0.3">
      <c r="A16" s="1"/>
      <c r="B16" s="1" t="s">
        <v>78</v>
      </c>
      <c r="C16" s="2">
        <f>C4*10%+C5*10%+C6*10%+C7*10%+C8*10%+C9*10%+C10*10%+C11*10%+C13*20%</f>
        <v>44.087999999999994</v>
      </c>
      <c r="D16" s="7"/>
      <c r="E16" s="1"/>
    </row>
    <row r="17" spans="1:5" x14ac:dyDescent="0.3">
      <c r="A17" s="1"/>
      <c r="B17" s="1" t="s">
        <v>27</v>
      </c>
      <c r="C17" s="21">
        <f>(C16-C15)/C16</f>
        <v>6.804572672836082E-3</v>
      </c>
      <c r="D17" s="7"/>
      <c r="E17" s="1"/>
    </row>
    <row r="18" spans="1:5" x14ac:dyDescent="0.3">
      <c r="D18" s="13"/>
    </row>
    <row r="19" spans="1:5" x14ac:dyDescent="0.3">
      <c r="D19" s="13"/>
    </row>
    <row r="20" spans="1:5" x14ac:dyDescent="0.3">
      <c r="D20" s="13"/>
    </row>
    <row r="21" spans="1:5" x14ac:dyDescent="0.3">
      <c r="D21" s="13"/>
    </row>
    <row r="22" spans="1:5" x14ac:dyDescent="0.3">
      <c r="D22" s="13"/>
    </row>
    <row r="23" spans="1:5" x14ac:dyDescent="0.3">
      <c r="D23" s="1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8E16-9C1A-45B8-92D5-8EE45BC06A26}">
  <dimension ref="A1:M15"/>
  <sheetViews>
    <sheetView zoomScaleNormal="100" workbookViewId="0">
      <selection activeCell="C14" sqref="C14"/>
    </sheetView>
  </sheetViews>
  <sheetFormatPr defaultRowHeight="16.5" x14ac:dyDescent="0.3"/>
  <cols>
    <col min="1" max="1" width="17.125" bestFit="1" customWidth="1"/>
    <col min="2" max="2" width="40.25" bestFit="1" customWidth="1"/>
    <col min="3" max="3" width="9" style="12"/>
  </cols>
  <sheetData>
    <row r="1" spans="1:13" s="18" customFormat="1" x14ac:dyDescent="0.3">
      <c r="A1" s="3" t="s">
        <v>0</v>
      </c>
      <c r="B1" s="3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43873</v>
      </c>
      <c r="B2" s="1" t="s">
        <v>14</v>
      </c>
      <c r="C2" s="2">
        <v>81.8</v>
      </c>
      <c r="D2" s="7"/>
      <c r="E2" s="7"/>
      <c r="G2" s="3" t="s">
        <v>7</v>
      </c>
      <c r="H2" s="2">
        <v>81.8</v>
      </c>
      <c r="I2" s="8">
        <v>0</v>
      </c>
      <c r="K2" s="5" t="s">
        <v>7</v>
      </c>
      <c r="L2" s="2">
        <v>81.8</v>
      </c>
      <c r="M2" s="9"/>
    </row>
    <row r="3" spans="1:13" x14ac:dyDescent="0.3">
      <c r="A3" s="6">
        <v>43879</v>
      </c>
      <c r="B3" s="1" t="s">
        <v>37</v>
      </c>
      <c r="C3" s="2">
        <v>79.75</v>
      </c>
      <c r="D3" s="7">
        <v>0.1</v>
      </c>
      <c r="E3" s="7"/>
      <c r="G3" s="10">
        <v>-0.05</v>
      </c>
      <c r="H3" s="11">
        <f>H2*0.95</f>
        <v>77.709999999999994</v>
      </c>
      <c r="I3" s="7">
        <v>0.1</v>
      </c>
      <c r="K3" s="5">
        <v>-2.5000000000000001E-2</v>
      </c>
      <c r="L3" s="11">
        <f>L2*0.975</f>
        <v>79.754999999999995</v>
      </c>
      <c r="M3" s="7">
        <f t="shared" ref="M3:M5" si="0">K3*-4</f>
        <v>0.1</v>
      </c>
    </row>
    <row r="4" spans="1:13" x14ac:dyDescent="0.3">
      <c r="A4" s="6">
        <v>43885</v>
      </c>
      <c r="B4" s="1" t="s">
        <v>56</v>
      </c>
      <c r="C4" s="2">
        <v>74.540000000000006</v>
      </c>
      <c r="D4" s="7">
        <v>0.3</v>
      </c>
      <c r="E4" s="7"/>
      <c r="G4" s="10">
        <v>-0.1</v>
      </c>
      <c r="H4" s="11">
        <f>H2*0.9</f>
        <v>73.62</v>
      </c>
      <c r="I4" s="7">
        <v>0.2</v>
      </c>
      <c r="K4" s="5">
        <v>-0.05</v>
      </c>
      <c r="L4" s="11">
        <f>L2*0.95</f>
        <v>77.709999999999994</v>
      </c>
      <c r="M4" s="7">
        <f t="shared" si="0"/>
        <v>0.2</v>
      </c>
    </row>
    <row r="5" spans="1:13" x14ac:dyDescent="0.3">
      <c r="A5" s="6">
        <v>43886</v>
      </c>
      <c r="B5" s="1" t="s">
        <v>29</v>
      </c>
      <c r="C5" s="2">
        <v>72.02</v>
      </c>
      <c r="D5" s="7">
        <v>0.4</v>
      </c>
      <c r="E5" s="7"/>
      <c r="G5" s="10">
        <v>-0.15</v>
      </c>
      <c r="H5" s="11">
        <f>H2*0.85</f>
        <v>69.53</v>
      </c>
      <c r="I5" s="7">
        <v>0.3</v>
      </c>
      <c r="K5" s="5">
        <v>-7.4999999999999997E-2</v>
      </c>
      <c r="L5" s="11">
        <f>L2*0.925</f>
        <v>75.665000000000006</v>
      </c>
      <c r="M5" s="7">
        <f t="shared" si="0"/>
        <v>0.3</v>
      </c>
    </row>
    <row r="6" spans="1:13" x14ac:dyDescent="0.3">
      <c r="A6" s="6">
        <v>43888</v>
      </c>
      <c r="B6" s="6" t="s">
        <v>55</v>
      </c>
      <c r="C6" s="2">
        <v>68.38</v>
      </c>
      <c r="D6" s="7">
        <v>0.7</v>
      </c>
      <c r="E6" s="7">
        <v>0.3</v>
      </c>
      <c r="G6" s="10">
        <v>-0.2</v>
      </c>
      <c r="H6" s="11">
        <f>H2*0.8</f>
        <v>65.44</v>
      </c>
      <c r="I6" s="7">
        <v>0.4</v>
      </c>
      <c r="K6" s="5">
        <v>-0.1</v>
      </c>
      <c r="L6" s="11">
        <f>L2*0.9</f>
        <v>73.62</v>
      </c>
      <c r="M6" s="7">
        <f>K6*-4</f>
        <v>0.4</v>
      </c>
    </row>
    <row r="7" spans="1:13" x14ac:dyDescent="0.3">
      <c r="A7" s="6">
        <v>43902</v>
      </c>
      <c r="B7" s="9" t="s">
        <v>25</v>
      </c>
      <c r="C7" s="2">
        <v>62.06</v>
      </c>
      <c r="D7" s="7">
        <v>0.6</v>
      </c>
      <c r="E7" s="7">
        <v>0.4</v>
      </c>
      <c r="G7" s="10">
        <v>-0.25</v>
      </c>
      <c r="H7" s="11">
        <f>H2*0.75</f>
        <v>61.349999999999994</v>
      </c>
      <c r="I7" s="7">
        <v>0.5</v>
      </c>
      <c r="K7" s="5">
        <v>-0.125</v>
      </c>
      <c r="L7" s="11">
        <f>L2*0.875</f>
        <v>71.575000000000003</v>
      </c>
      <c r="M7" s="7">
        <f>K7*-4</f>
        <v>0.5</v>
      </c>
    </row>
    <row r="8" spans="1:13" x14ac:dyDescent="0.3">
      <c r="A8" s="6">
        <v>43906</v>
      </c>
      <c r="B8" s="1" t="s">
        <v>26</v>
      </c>
      <c r="C8" s="2">
        <v>60.55</v>
      </c>
      <c r="D8" s="7">
        <v>0.5</v>
      </c>
      <c r="E8" s="7">
        <v>0.5</v>
      </c>
      <c r="G8" s="10">
        <v>-0.3</v>
      </c>
      <c r="H8" s="11">
        <f>H2*0.7</f>
        <v>57.259999999999991</v>
      </c>
      <c r="I8" s="7">
        <v>0.6</v>
      </c>
      <c r="K8" s="5">
        <v>-0.15</v>
      </c>
      <c r="L8" s="11">
        <f>L2*0.85</f>
        <v>69.53</v>
      </c>
      <c r="M8" s="7">
        <f t="shared" ref="M8:M12" si="1">K8*-4</f>
        <v>0.6</v>
      </c>
    </row>
    <row r="9" spans="1:13" x14ac:dyDescent="0.3">
      <c r="A9" s="6">
        <v>43913</v>
      </c>
      <c r="B9" s="1" t="s">
        <v>31</v>
      </c>
      <c r="C9" s="2">
        <v>53.15</v>
      </c>
      <c r="D9" s="7">
        <v>0.3</v>
      </c>
      <c r="E9" s="7">
        <v>0.7</v>
      </c>
      <c r="G9" s="10">
        <v>-0.35</v>
      </c>
      <c r="H9" s="11">
        <f>H2*0.65</f>
        <v>53.17</v>
      </c>
      <c r="I9" s="7">
        <v>0.7</v>
      </c>
      <c r="K9" s="5">
        <v>-0.17499999999999999</v>
      </c>
      <c r="L9" s="11">
        <f>L2*0.825</f>
        <v>67.484999999999999</v>
      </c>
      <c r="M9" s="7">
        <f t="shared" si="1"/>
        <v>0.7</v>
      </c>
    </row>
    <row r="10" spans="1:13" x14ac:dyDescent="0.3">
      <c r="A10" s="6">
        <v>43914</v>
      </c>
      <c r="B10" s="14" t="s">
        <v>9</v>
      </c>
      <c r="C10" s="2">
        <v>61.72</v>
      </c>
      <c r="D10" s="7">
        <v>0</v>
      </c>
      <c r="E10" s="7">
        <v>1</v>
      </c>
      <c r="G10" s="10">
        <v>-0.4</v>
      </c>
      <c r="H10" s="11">
        <f>H2*0.6</f>
        <v>49.08</v>
      </c>
      <c r="I10" s="7">
        <v>0.8</v>
      </c>
      <c r="K10" s="5">
        <v>-0.2</v>
      </c>
      <c r="L10" s="11">
        <f>L2*0.8</f>
        <v>65.44</v>
      </c>
      <c r="M10" s="7">
        <f t="shared" si="1"/>
        <v>0.8</v>
      </c>
    </row>
    <row r="11" spans="1:13" x14ac:dyDescent="0.3">
      <c r="A11" s="30">
        <v>44005</v>
      </c>
      <c r="B11" s="14" t="s">
        <v>61</v>
      </c>
      <c r="C11" s="2">
        <v>91.63</v>
      </c>
      <c r="D11" s="7"/>
      <c r="E11" s="7"/>
      <c r="G11" s="10">
        <v>-0.45</v>
      </c>
      <c r="H11" s="11">
        <f>H2*0.55</f>
        <v>44.99</v>
      </c>
      <c r="I11" s="7">
        <v>0.9</v>
      </c>
      <c r="K11" s="5">
        <v>-0.22500000000000001</v>
      </c>
      <c r="L11" s="11">
        <f>L2*0.775</f>
        <v>63.395000000000003</v>
      </c>
      <c r="M11" s="7">
        <f t="shared" si="1"/>
        <v>0.9</v>
      </c>
    </row>
    <row r="12" spans="1:13" x14ac:dyDescent="0.3">
      <c r="A12" s="30"/>
      <c r="B12" s="14"/>
      <c r="C12" s="2"/>
      <c r="D12" s="7"/>
      <c r="E12" s="7"/>
      <c r="G12" s="10">
        <v>-0.5</v>
      </c>
      <c r="H12" s="11">
        <f>H2*0.5</f>
        <v>40.9</v>
      </c>
      <c r="I12" s="7">
        <v>1</v>
      </c>
      <c r="K12" s="5">
        <v>-0.25</v>
      </c>
      <c r="L12" s="11">
        <f>L2*0.75</f>
        <v>61.349999999999994</v>
      </c>
      <c r="M12" s="7">
        <f t="shared" si="1"/>
        <v>1</v>
      </c>
    </row>
    <row r="13" spans="1:13" x14ac:dyDescent="0.3">
      <c r="A13" s="6"/>
      <c r="B13" s="1" t="s">
        <v>77</v>
      </c>
      <c r="C13" s="2">
        <f>((C3*10%+C4*20%+C5*10%+C6*60%)+(C6*30%+C7*10%+C8*10%+C9*20%+C10*30%))/2</f>
        <v>66.516999999999996</v>
      </c>
      <c r="D13" s="7"/>
      <c r="E13" s="1"/>
    </row>
    <row r="14" spans="1:13" x14ac:dyDescent="0.3">
      <c r="A14" s="1"/>
      <c r="B14" s="1" t="s">
        <v>78</v>
      </c>
      <c r="C14" s="2">
        <f>((C3*10%+C4*20%+C5*10%+C6*60%)+(C6*30%+C7*10%+C8*10%+C9*20%+C11*30%))/2</f>
        <v>71.003500000000003</v>
      </c>
      <c r="D14" s="7"/>
      <c r="E14" s="1"/>
    </row>
    <row r="15" spans="1:13" x14ac:dyDescent="0.3">
      <c r="A15" s="1"/>
      <c r="B15" s="1" t="s">
        <v>27</v>
      </c>
      <c r="C15" s="21">
        <f>(C14-C13)/C14</f>
        <v>6.3187025991676554E-2</v>
      </c>
      <c r="D15" s="7"/>
      <c r="E15" s="1"/>
    </row>
  </sheetData>
  <phoneticPr fontId="1" type="noConversion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EF38-F11F-43B7-AAEA-8546E80CAD36}">
  <dimension ref="A1:M13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44222</v>
      </c>
      <c r="B2" s="14" t="s">
        <v>7</v>
      </c>
      <c r="C2" s="2">
        <v>143.16</v>
      </c>
      <c r="D2" s="7"/>
      <c r="E2" s="7"/>
      <c r="G2" s="5" t="s">
        <v>7</v>
      </c>
      <c r="H2" s="2">
        <v>143.16</v>
      </c>
      <c r="I2" s="9"/>
      <c r="K2" s="5" t="s">
        <v>7</v>
      </c>
      <c r="L2" s="2">
        <v>143.16</v>
      </c>
      <c r="M2" s="9"/>
    </row>
    <row r="3" spans="1:13" x14ac:dyDescent="0.3">
      <c r="A3" s="6">
        <v>44224</v>
      </c>
      <c r="B3" s="14" t="s">
        <v>48</v>
      </c>
      <c r="C3" s="2">
        <v>137.09</v>
      </c>
      <c r="D3" s="7">
        <v>0.1</v>
      </c>
      <c r="E3" s="7"/>
      <c r="G3" s="5">
        <v>-2.5000000000000001E-2</v>
      </c>
      <c r="H3" s="11">
        <f>H2*0.975</f>
        <v>139.58099999999999</v>
      </c>
      <c r="I3" s="7">
        <v>0.1</v>
      </c>
      <c r="K3" s="5">
        <v>-2.5000000000000001E-2</v>
      </c>
      <c r="L3" s="11">
        <f>L2*0.975</f>
        <v>139.58099999999999</v>
      </c>
      <c r="M3" s="7">
        <f t="shared" ref="M3:M5" si="0">K3*-4</f>
        <v>0.1</v>
      </c>
    </row>
    <row r="4" spans="1:13" x14ac:dyDescent="0.3">
      <c r="A4" s="6">
        <v>44225</v>
      </c>
      <c r="B4" s="14" t="s">
        <v>22</v>
      </c>
      <c r="C4" s="2">
        <v>131.96</v>
      </c>
      <c r="D4" s="7">
        <v>0.3</v>
      </c>
      <c r="E4" s="7"/>
      <c r="G4" s="5">
        <v>-0.05</v>
      </c>
      <c r="H4" s="11">
        <f>H2*0.95</f>
        <v>136.00199999999998</v>
      </c>
      <c r="I4" s="7">
        <v>0.2</v>
      </c>
      <c r="K4" s="5">
        <v>-0.05</v>
      </c>
      <c r="L4" s="11">
        <f>L2*0.95</f>
        <v>136.00199999999998</v>
      </c>
      <c r="M4" s="7">
        <f t="shared" si="0"/>
        <v>0.2</v>
      </c>
    </row>
    <row r="5" spans="1:13" x14ac:dyDescent="0.3">
      <c r="A5" s="6">
        <v>44249</v>
      </c>
      <c r="B5" s="19" t="s">
        <v>21</v>
      </c>
      <c r="C5" s="2">
        <v>126</v>
      </c>
      <c r="D5" s="7">
        <v>0.4</v>
      </c>
      <c r="E5" s="7"/>
      <c r="G5" s="5">
        <v>-7.4999999999999997E-2</v>
      </c>
      <c r="H5" s="11">
        <f>H2*0.925</f>
        <v>132.423</v>
      </c>
      <c r="I5" s="7">
        <v>0.3</v>
      </c>
      <c r="K5" s="5">
        <v>-7.4999999999999997E-2</v>
      </c>
      <c r="L5" s="11">
        <f>L2*0.925</f>
        <v>132.423</v>
      </c>
      <c r="M5" s="7">
        <f t="shared" si="0"/>
        <v>0.3</v>
      </c>
    </row>
    <row r="6" spans="1:13" x14ac:dyDescent="0.3">
      <c r="A6" s="6">
        <v>44252</v>
      </c>
      <c r="B6" s="14" t="s">
        <v>58</v>
      </c>
      <c r="C6" s="2">
        <v>120.99</v>
      </c>
      <c r="D6" s="7">
        <v>0.4</v>
      </c>
      <c r="E6" s="7">
        <v>0.6</v>
      </c>
      <c r="G6" s="5">
        <v>-0.1</v>
      </c>
      <c r="H6" s="11">
        <f>H2*0.9</f>
        <v>128.84399999999999</v>
      </c>
      <c r="I6" s="7">
        <v>0.4</v>
      </c>
      <c r="K6" s="5">
        <v>-0.1</v>
      </c>
      <c r="L6" s="11">
        <f>L2*0.9</f>
        <v>128.84399999999999</v>
      </c>
      <c r="M6" s="7">
        <f>K6*-4</f>
        <v>0.4</v>
      </c>
    </row>
    <row r="7" spans="1:13" x14ac:dyDescent="0.3">
      <c r="A7" s="6">
        <v>44260</v>
      </c>
      <c r="B7" s="14" t="s">
        <v>50</v>
      </c>
      <c r="C7" s="2">
        <v>117.57</v>
      </c>
      <c r="D7" s="7">
        <v>0.3</v>
      </c>
      <c r="E7" s="7">
        <v>0.7</v>
      </c>
      <c r="G7" s="5">
        <v>-0.125</v>
      </c>
      <c r="H7" s="11">
        <f>H2*0.875</f>
        <v>125.265</v>
      </c>
      <c r="I7" s="7">
        <v>0.5</v>
      </c>
      <c r="K7" s="5">
        <v>-0.125</v>
      </c>
      <c r="L7" s="11">
        <f>L2*0.875</f>
        <v>125.265</v>
      </c>
      <c r="M7" s="7">
        <f>K7*-4</f>
        <v>0.5</v>
      </c>
    </row>
    <row r="8" spans="1:13" x14ac:dyDescent="0.3">
      <c r="A8" s="15">
        <v>44271</v>
      </c>
      <c r="B8" s="14" t="s">
        <v>9</v>
      </c>
      <c r="C8" s="2">
        <v>125.57</v>
      </c>
      <c r="D8" s="7"/>
      <c r="E8" s="7">
        <v>1</v>
      </c>
      <c r="G8" s="5">
        <v>-0.15</v>
      </c>
      <c r="H8" s="11">
        <f>H2*0.85</f>
        <v>121.68599999999999</v>
      </c>
      <c r="I8" s="7">
        <v>0.6</v>
      </c>
      <c r="K8" s="5">
        <v>-0.15</v>
      </c>
      <c r="L8" s="11">
        <f>L2*0.85</f>
        <v>121.68599999999999</v>
      </c>
      <c r="M8" s="7">
        <f t="shared" ref="M8:M12" si="1">K8*-4</f>
        <v>0.6</v>
      </c>
    </row>
    <row r="9" spans="1:13" x14ac:dyDescent="0.3">
      <c r="A9" s="6">
        <v>44305</v>
      </c>
      <c r="B9" s="14" t="s">
        <v>75</v>
      </c>
      <c r="C9" s="2">
        <v>134.84</v>
      </c>
      <c r="D9" s="1"/>
      <c r="E9" s="7"/>
      <c r="G9" s="5">
        <v>-0.17499999999999999</v>
      </c>
      <c r="H9" s="11">
        <f>H2*0.825</f>
        <v>118.10699999999999</v>
      </c>
      <c r="I9" s="7">
        <v>0.7</v>
      </c>
      <c r="K9" s="5">
        <v>-0.17499999999999999</v>
      </c>
      <c r="L9" s="11">
        <f>L2*0.825</f>
        <v>118.10699999999999</v>
      </c>
      <c r="M9" s="7">
        <f t="shared" si="1"/>
        <v>0.7</v>
      </c>
    </row>
    <row r="10" spans="1:13" x14ac:dyDescent="0.3">
      <c r="A10" s="6"/>
      <c r="B10" s="14"/>
      <c r="C10" s="2"/>
      <c r="D10" s="1"/>
      <c r="E10" s="7"/>
      <c r="G10" s="5">
        <v>-0.2</v>
      </c>
      <c r="H10" s="11">
        <f>H2*0.8</f>
        <v>114.52800000000001</v>
      </c>
      <c r="I10" s="7">
        <v>0.8</v>
      </c>
      <c r="K10" s="5">
        <v>-0.2</v>
      </c>
      <c r="L10" s="11">
        <f>L2*0.8</f>
        <v>114.52800000000001</v>
      </c>
      <c r="M10" s="7">
        <f t="shared" si="1"/>
        <v>0.8</v>
      </c>
    </row>
    <row r="11" spans="1:13" x14ac:dyDescent="0.3">
      <c r="A11" s="1"/>
      <c r="B11" s="1" t="s">
        <v>77</v>
      </c>
      <c r="C11" s="2">
        <f>C3*10%+C4*20%+C5*10%+C6*20%+C7*10%+C8*30%</f>
        <v>126.327</v>
      </c>
      <c r="D11" s="1"/>
      <c r="E11" s="1"/>
      <c r="G11" s="5">
        <v>-0.22500000000000001</v>
      </c>
      <c r="H11" s="11">
        <f>H2*0.775</f>
        <v>110.949</v>
      </c>
      <c r="I11" s="7">
        <v>0.9</v>
      </c>
      <c r="K11" s="5">
        <v>-0.22500000000000001</v>
      </c>
      <c r="L11" s="11">
        <f>L2*0.775</f>
        <v>110.949</v>
      </c>
      <c r="M11" s="7">
        <f t="shared" si="1"/>
        <v>0.9</v>
      </c>
    </row>
    <row r="12" spans="1:13" x14ac:dyDescent="0.3">
      <c r="A12" s="1"/>
      <c r="B12" s="1" t="s">
        <v>78</v>
      </c>
      <c r="C12" s="2">
        <f>C3*10%+C4*20%+C5*10%+C6*20%+C7*10%+C9*30%</f>
        <v>129.108</v>
      </c>
      <c r="D12" s="1"/>
      <c r="E12" s="1"/>
      <c r="G12" s="5">
        <v>-0.25</v>
      </c>
      <c r="H12" s="11">
        <f>H2*0.75</f>
        <v>107.37</v>
      </c>
      <c r="I12" s="7">
        <v>1</v>
      </c>
      <c r="K12" s="5">
        <v>-0.25</v>
      </c>
      <c r="L12" s="11">
        <f>L2*0.75</f>
        <v>107.37</v>
      </c>
      <c r="M12" s="7">
        <f t="shared" si="1"/>
        <v>1</v>
      </c>
    </row>
    <row r="13" spans="1:13" x14ac:dyDescent="0.3">
      <c r="A13" s="1"/>
      <c r="B13" s="14" t="s">
        <v>27</v>
      </c>
      <c r="C13" s="21">
        <f>(C12-C11)/C12</f>
        <v>2.1540105957802817E-2</v>
      </c>
      <c r="D13" s="1"/>
      <c r="E13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2609-A679-43F9-A9E9-4CADAA5FC392}">
  <dimension ref="A1:M13"/>
  <sheetViews>
    <sheetView zoomScaleNormal="100" workbookViewId="0">
      <selection activeCell="C13" sqref="C13"/>
    </sheetView>
  </sheetViews>
  <sheetFormatPr defaultRowHeight="16.5" x14ac:dyDescent="0.3"/>
  <cols>
    <col min="1" max="1" width="17.125" bestFit="1" customWidth="1"/>
    <col min="2" max="2" width="60.625" style="20" bestFit="1" customWidth="1"/>
    <col min="3" max="3" width="9" style="12"/>
  </cols>
  <sheetData>
    <row r="1" spans="1:13" s="18" customFormat="1" x14ac:dyDescent="0.3">
      <c r="A1" s="3" t="s">
        <v>0</v>
      </c>
      <c r="B1" s="16" t="s">
        <v>1</v>
      </c>
      <c r="C1" s="17" t="s">
        <v>2</v>
      </c>
      <c r="D1" s="3" t="s">
        <v>3</v>
      </c>
      <c r="E1" s="3" t="s">
        <v>4</v>
      </c>
      <c r="G1" s="3"/>
      <c r="H1" s="4" t="s">
        <v>6</v>
      </c>
      <c r="I1" s="3" t="s">
        <v>4</v>
      </c>
      <c r="K1" s="5"/>
      <c r="L1" s="4" t="s">
        <v>6</v>
      </c>
      <c r="M1" s="3" t="s">
        <v>5</v>
      </c>
    </row>
    <row r="2" spans="1:13" x14ac:dyDescent="0.3">
      <c r="A2" s="6">
        <v>44564</v>
      </c>
      <c r="B2" s="14" t="s">
        <v>19</v>
      </c>
      <c r="C2" s="2">
        <v>182.01</v>
      </c>
      <c r="D2" s="7"/>
      <c r="E2" s="7"/>
      <c r="G2" s="5" t="s">
        <v>7</v>
      </c>
      <c r="H2" s="2">
        <v>182.01</v>
      </c>
      <c r="I2" s="9"/>
      <c r="K2" s="5" t="s">
        <v>7</v>
      </c>
      <c r="L2" s="2">
        <v>182.01</v>
      </c>
      <c r="M2" s="9"/>
    </row>
    <row r="3" spans="1:13" x14ac:dyDescent="0.3">
      <c r="A3" s="6">
        <v>44566</v>
      </c>
      <c r="B3" s="14" t="s">
        <v>57</v>
      </c>
      <c r="C3" s="2">
        <v>174.92</v>
      </c>
      <c r="D3" s="7">
        <v>0.9</v>
      </c>
      <c r="E3" s="7">
        <v>0.1</v>
      </c>
      <c r="G3" s="5">
        <v>-2.5000000000000001E-2</v>
      </c>
      <c r="H3" s="11">
        <f>H2*0.975</f>
        <v>177.45974999999999</v>
      </c>
      <c r="I3" s="7">
        <v>0.1</v>
      </c>
      <c r="K3" s="5">
        <v>-2.5000000000000001E-2</v>
      </c>
      <c r="L3" s="11">
        <f>L2*0.975</f>
        <v>177.45974999999999</v>
      </c>
      <c r="M3" s="7">
        <f t="shared" ref="M3:M5" si="0">K3*-4</f>
        <v>0.1</v>
      </c>
    </row>
    <row r="4" spans="1:13" x14ac:dyDescent="0.3">
      <c r="A4" s="6">
        <v>44567</v>
      </c>
      <c r="B4" s="14" t="s">
        <v>20</v>
      </c>
      <c r="C4" s="2">
        <v>172</v>
      </c>
      <c r="D4" s="7">
        <v>0.8</v>
      </c>
      <c r="E4" s="7">
        <v>0.2</v>
      </c>
      <c r="G4" s="5">
        <v>-0.05</v>
      </c>
      <c r="H4" s="11">
        <f>H2*0.95</f>
        <v>172.90949999999998</v>
      </c>
      <c r="I4" s="7">
        <v>0.2</v>
      </c>
      <c r="K4" s="5">
        <v>-0.05</v>
      </c>
      <c r="L4" s="11">
        <f>L2*0.95</f>
        <v>172.90949999999998</v>
      </c>
      <c r="M4" s="7">
        <f t="shared" si="0"/>
        <v>0.2</v>
      </c>
    </row>
    <row r="5" spans="1:13" x14ac:dyDescent="0.3">
      <c r="A5" s="6">
        <v>44580</v>
      </c>
      <c r="B5" s="14" t="s">
        <v>22</v>
      </c>
      <c r="C5" s="2">
        <v>166.23</v>
      </c>
      <c r="D5" s="7">
        <v>0.7</v>
      </c>
      <c r="E5" s="7">
        <v>0.3</v>
      </c>
      <c r="G5" s="5">
        <v>-7.4999999999999997E-2</v>
      </c>
      <c r="H5" s="11">
        <f>H2*0.925</f>
        <v>168.35925</v>
      </c>
      <c r="I5" s="7">
        <v>0.3</v>
      </c>
      <c r="K5" s="5">
        <v>-7.4999999999999997E-2</v>
      </c>
      <c r="L5" s="11">
        <f>L2*0.925</f>
        <v>168.35925</v>
      </c>
      <c r="M5" s="7">
        <f t="shared" si="0"/>
        <v>0.3</v>
      </c>
    </row>
    <row r="6" spans="1:13" x14ac:dyDescent="0.3">
      <c r="A6" s="6">
        <v>44582</v>
      </c>
      <c r="B6" s="19" t="s">
        <v>21</v>
      </c>
      <c r="C6" s="2">
        <v>162.41</v>
      </c>
      <c r="D6" s="7">
        <v>0.6</v>
      </c>
      <c r="E6" s="7">
        <v>0.4</v>
      </c>
      <c r="G6" s="5">
        <v>-0.1</v>
      </c>
      <c r="H6" s="11">
        <f>H2*0.9</f>
        <v>163.809</v>
      </c>
      <c r="I6" s="7">
        <v>0.4</v>
      </c>
      <c r="K6" s="5">
        <v>-0.1</v>
      </c>
      <c r="L6" s="11">
        <f>L2*0.9</f>
        <v>163.809</v>
      </c>
      <c r="M6" s="7">
        <f>K6*-4</f>
        <v>0.4</v>
      </c>
    </row>
    <row r="7" spans="1:13" x14ac:dyDescent="0.3">
      <c r="A7" s="6">
        <v>44588</v>
      </c>
      <c r="B7" s="14" t="s">
        <v>23</v>
      </c>
      <c r="C7" s="2">
        <v>159.22</v>
      </c>
      <c r="D7" s="7">
        <v>0.5</v>
      </c>
      <c r="E7" s="7">
        <v>0.5</v>
      </c>
      <c r="G7" s="5">
        <v>-0.125</v>
      </c>
      <c r="H7" s="11">
        <f>H2*0.875</f>
        <v>159.25874999999999</v>
      </c>
      <c r="I7" s="7">
        <v>0.5</v>
      </c>
      <c r="K7" s="5">
        <v>-0.125</v>
      </c>
      <c r="L7" s="11">
        <f>L2*0.875</f>
        <v>159.25874999999999</v>
      </c>
      <c r="M7" s="7">
        <f>K7*-4</f>
        <v>0.5</v>
      </c>
    </row>
    <row r="8" spans="1:13" x14ac:dyDescent="0.3">
      <c r="A8" s="6">
        <v>44589</v>
      </c>
      <c r="B8" s="14" t="s">
        <v>9</v>
      </c>
      <c r="C8" s="2">
        <v>170.33</v>
      </c>
      <c r="D8" s="7">
        <v>0</v>
      </c>
      <c r="E8" s="7">
        <v>1</v>
      </c>
      <c r="G8" s="5">
        <v>-0.15</v>
      </c>
      <c r="H8" s="11">
        <f>H2*0.85</f>
        <v>154.70849999999999</v>
      </c>
      <c r="I8" s="7">
        <v>0.6</v>
      </c>
      <c r="K8" s="5">
        <v>-0.15</v>
      </c>
      <c r="L8" s="11">
        <f>L2*0.85</f>
        <v>154.70849999999999</v>
      </c>
      <c r="M8" s="7">
        <f t="shared" ref="M8:M12" si="1">K8*-4</f>
        <v>0.6</v>
      </c>
    </row>
    <row r="9" spans="1:13" x14ac:dyDescent="0.3">
      <c r="A9" s="6">
        <v>44624</v>
      </c>
      <c r="B9" s="14" t="s">
        <v>73</v>
      </c>
      <c r="C9" s="2">
        <v>163.16999999999999</v>
      </c>
      <c r="D9" s="1"/>
      <c r="E9" s="1"/>
      <c r="G9" s="5">
        <v>-0.17499999999999999</v>
      </c>
      <c r="H9" s="11">
        <f>H2*0.825</f>
        <v>150.15824999999998</v>
      </c>
      <c r="I9" s="7">
        <v>0.7</v>
      </c>
      <c r="K9" s="5">
        <v>-0.17499999999999999</v>
      </c>
      <c r="L9" s="11">
        <f>L2*0.825</f>
        <v>150.15824999999998</v>
      </c>
      <c r="M9" s="7">
        <f t="shared" si="1"/>
        <v>0.7</v>
      </c>
    </row>
    <row r="10" spans="1:13" x14ac:dyDescent="0.3">
      <c r="A10" s="6"/>
      <c r="B10" s="14"/>
      <c r="C10" s="2"/>
      <c r="D10" s="1"/>
      <c r="E10" s="1"/>
      <c r="G10" s="5">
        <v>-0.2</v>
      </c>
      <c r="H10" s="11">
        <f>H2*0.8</f>
        <v>145.608</v>
      </c>
      <c r="I10" s="7">
        <v>0.8</v>
      </c>
      <c r="K10" s="5">
        <v>-0.2</v>
      </c>
      <c r="L10" s="11">
        <f>L2*0.8</f>
        <v>145.608</v>
      </c>
      <c r="M10" s="7">
        <f t="shared" si="1"/>
        <v>0.8</v>
      </c>
    </row>
    <row r="11" spans="1:13" x14ac:dyDescent="0.3">
      <c r="A11" s="1"/>
      <c r="B11" s="1" t="s">
        <v>77</v>
      </c>
      <c r="C11" s="2">
        <f>C3*10%+C4*10%+C5*10%+C6*10%+C7*10%+C8*50%</f>
        <v>168.643</v>
      </c>
      <c r="D11" s="1"/>
      <c r="E11" s="1"/>
      <c r="G11" s="5">
        <v>-0.22500000000000001</v>
      </c>
      <c r="H11" s="11">
        <f>H2*0.775</f>
        <v>141.05775</v>
      </c>
      <c r="I11" s="7">
        <v>0.9</v>
      </c>
      <c r="K11" s="5">
        <v>-0.22500000000000001</v>
      </c>
      <c r="L11" s="11">
        <f>L2*0.775</f>
        <v>141.05775</v>
      </c>
      <c r="M11" s="7">
        <f t="shared" si="1"/>
        <v>0.9</v>
      </c>
    </row>
    <row r="12" spans="1:13" x14ac:dyDescent="0.3">
      <c r="A12" s="1"/>
      <c r="B12" s="1" t="s">
        <v>78</v>
      </c>
      <c r="C12" s="2">
        <f>C3*10%+C4*10%+C5*10%+C6*10%+C7*10%+C9*50%</f>
        <v>165.06299999999999</v>
      </c>
      <c r="D12" s="1"/>
      <c r="E12" s="1"/>
      <c r="G12" s="5">
        <v>-0.25</v>
      </c>
      <c r="H12" s="11">
        <f>H2*0.75</f>
        <v>136.50749999999999</v>
      </c>
      <c r="I12" s="7">
        <v>1</v>
      </c>
      <c r="K12" s="5">
        <v>-0.25</v>
      </c>
      <c r="L12" s="11">
        <f>L2*0.75</f>
        <v>136.50749999999999</v>
      </c>
      <c r="M12" s="7">
        <f t="shared" si="1"/>
        <v>1</v>
      </c>
    </row>
    <row r="13" spans="1:13" x14ac:dyDescent="0.3">
      <c r="A13" s="1"/>
      <c r="B13" s="14" t="s">
        <v>27</v>
      </c>
      <c r="C13" s="21">
        <f>(C12-C11)/C12</f>
        <v>-2.1688688561337263E-2</v>
      </c>
      <c r="D13" s="1"/>
      <c r="E13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2008년 금융위기</vt:lpstr>
      <vt:lpstr>2010년 4월 위기</vt:lpstr>
      <vt:lpstr>2011년 미국 신용등급 위기</vt:lpstr>
      <vt:lpstr>2015년 8월 위기</vt:lpstr>
      <vt:lpstr>2015년 11월 위기</vt:lpstr>
      <vt:lpstr>2018년 10월 금리인상 위기</vt:lpstr>
      <vt:lpstr>2020년 3월 코로나 위기</vt:lpstr>
      <vt:lpstr>2021년 1월 리오프닝 위기</vt:lpstr>
      <vt:lpstr>2022년 인플레이션 위기 1월</vt:lpstr>
      <vt:lpstr>2022년 인플레이션 위기 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조던</dc:creator>
  <cp:lastModifiedBy>조던</cp:lastModifiedBy>
  <dcterms:created xsi:type="dcterms:W3CDTF">2022-02-02T08:42:12Z</dcterms:created>
  <dcterms:modified xsi:type="dcterms:W3CDTF">2023-01-25T02:53:03Z</dcterms:modified>
</cp:coreProperties>
</file>