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YIMMUNGYU\Downloads\"/>
    </mc:Choice>
  </mc:AlternateContent>
  <xr:revisionPtr revIDLastSave="0" documentId="13_ncr:1_{EF1B4CCC-22AB-43DC-B40E-0A5D21054CD0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보고서" sheetId="2" r:id="rId1"/>
  </sheets>
  <definedNames>
    <definedName name="_xlnm.Print_Area" localSheetId="0">보고서!$B$1:$K$34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X32" i="2" l="1"/>
  <c r="W32" i="2"/>
  <c r="V32" i="2"/>
  <c r="U32" i="2"/>
  <c r="T32" i="2"/>
  <c r="S32" i="2"/>
  <c r="R32" i="2"/>
  <c r="Q32" i="2"/>
  <c r="P32" i="2"/>
  <c r="O32" i="2"/>
  <c r="N32" i="2"/>
  <c r="X31" i="2"/>
  <c r="W31" i="2"/>
  <c r="V31" i="2"/>
  <c r="U31" i="2"/>
  <c r="T31" i="2"/>
  <c r="S31" i="2"/>
  <c r="R31" i="2"/>
  <c r="Q31" i="2"/>
  <c r="P31" i="2"/>
  <c r="O31" i="2"/>
  <c r="N31" i="2"/>
  <c r="X30" i="2"/>
  <c r="W30" i="2"/>
  <c r="V30" i="2"/>
  <c r="U30" i="2"/>
  <c r="T30" i="2"/>
  <c r="S30" i="2"/>
  <c r="R30" i="2"/>
  <c r="Q30" i="2"/>
  <c r="P30" i="2"/>
  <c r="O30" i="2"/>
  <c r="N30" i="2"/>
  <c r="X29" i="2"/>
  <c r="W29" i="2"/>
  <c r="V29" i="2"/>
  <c r="U29" i="2"/>
  <c r="T29" i="2"/>
  <c r="S29" i="2"/>
  <c r="R29" i="2"/>
  <c r="Q29" i="2"/>
  <c r="P29" i="2"/>
  <c r="O29" i="2"/>
  <c r="N29" i="2"/>
  <c r="P28" i="2"/>
  <c r="O28" i="2"/>
  <c r="N28" i="2"/>
  <c r="N24" i="2"/>
  <c r="O24" i="2"/>
  <c r="P24" i="2"/>
  <c r="Q24" i="2"/>
  <c r="R24" i="2"/>
  <c r="S24" i="2"/>
  <c r="T24" i="2"/>
  <c r="U24" i="2"/>
  <c r="V24" i="2"/>
  <c r="W24" i="2"/>
  <c r="X24" i="2"/>
  <c r="N25" i="2"/>
  <c r="O25" i="2"/>
  <c r="P25" i="2"/>
  <c r="Q25" i="2"/>
  <c r="R25" i="2"/>
  <c r="S25" i="2"/>
  <c r="T25" i="2"/>
  <c r="U25" i="2"/>
  <c r="V25" i="2"/>
  <c r="W25" i="2"/>
  <c r="X25" i="2"/>
  <c r="N26" i="2"/>
  <c r="O26" i="2"/>
  <c r="P26" i="2"/>
  <c r="Q26" i="2"/>
  <c r="R26" i="2"/>
  <c r="S26" i="2"/>
  <c r="T26" i="2"/>
  <c r="U26" i="2"/>
  <c r="V26" i="2"/>
  <c r="W26" i="2"/>
  <c r="X26" i="2"/>
  <c r="O23" i="2"/>
  <c r="P23" i="2"/>
  <c r="Q23" i="2"/>
  <c r="R23" i="2"/>
  <c r="S23" i="2"/>
  <c r="T23" i="2"/>
  <c r="U23" i="2"/>
  <c r="V23" i="2"/>
  <c r="W23" i="2"/>
  <c r="X23" i="2"/>
  <c r="N23" i="2"/>
  <c r="O22" i="2"/>
  <c r="P22" i="2" s="1"/>
  <c r="Q22" i="2" s="1"/>
  <c r="R22" i="2" s="1"/>
  <c r="S22" i="2" s="1"/>
  <c r="T22" i="2" s="1"/>
  <c r="U22" i="2" s="1"/>
  <c r="V22" i="2" s="1"/>
  <c r="W22" i="2" s="1"/>
  <c r="X22" i="2" s="1"/>
  <c r="Y22" i="2" s="1"/>
  <c r="Y32" i="2" l="1"/>
  <c r="M32" i="2" s="1"/>
  <c r="Y25" i="2"/>
  <c r="Y23" i="2"/>
  <c r="M23" i="2" s="1"/>
  <c r="Y31" i="2"/>
  <c r="M31" i="2" s="1"/>
  <c r="Y30" i="2"/>
  <c r="M30" i="2" s="1"/>
  <c r="Y26" i="2"/>
  <c r="Y29" i="2"/>
  <c r="M29" i="2" s="1"/>
  <c r="Y24" i="2"/>
  <c r="M24" i="2" s="1"/>
  <c r="M28" i="2"/>
  <c r="M25" i="2"/>
  <c r="M26" i="2" l="1"/>
  <c r="E33" i="2" l="1"/>
  <c r="E27" i="2"/>
  <c r="E19" i="2"/>
  <c r="E13" i="2"/>
  <c r="E9" i="2"/>
  <c r="E20" i="2" s="1"/>
  <c r="K3" i="2"/>
  <c r="I32" i="2" l="1" a="1"/>
  <c r="I32" i="2" s="1"/>
  <c r="F28" i="2" a="1"/>
  <c r="F28" i="2" s="1"/>
  <c r="I31" i="2" a="1"/>
  <c r="I31" i="2" s="1"/>
  <c r="F26" i="2" a="1"/>
  <c r="F26" i="2" s="1"/>
  <c r="I30" i="2" a="1"/>
  <c r="I30" i="2" s="1"/>
  <c r="F25" i="2" a="1"/>
  <c r="F25" i="2" s="1"/>
  <c r="I29" i="2" a="1"/>
  <c r="I29" i="2" s="1"/>
  <c r="F24" i="2" a="1"/>
  <c r="F24" i="2" s="1"/>
  <c r="I28" i="2" a="1"/>
  <c r="I28" i="2" s="1"/>
  <c r="I23" i="2" a="1"/>
  <c r="I23" i="2" s="1"/>
  <c r="I26" i="2" a="1"/>
  <c r="I26" i="2" s="1"/>
  <c r="F23" i="2" a="1"/>
  <c r="F23" i="2" s="1"/>
  <c r="I25" i="2" a="1"/>
  <c r="I25" i="2" s="1"/>
  <c r="J11" i="2"/>
  <c r="I24" i="2" a="1"/>
  <c r="I24" i="2" s="1"/>
  <c r="I11" i="2"/>
  <c r="K11" i="2" s="1"/>
  <c r="F32" i="2" a="1"/>
  <c r="F32" i="2" s="1"/>
  <c r="G11" i="2"/>
  <c r="F31" i="2" a="1"/>
  <c r="F31" i="2" s="1"/>
  <c r="F30" i="2" a="1"/>
  <c r="F30" i="2" s="1"/>
  <c r="F29" i="2" a="1"/>
  <c r="F29" i="2" s="1"/>
  <c r="J28" i="2" a="1"/>
  <c r="J28" i="2" s="1"/>
  <c r="J24" i="2" a="1"/>
  <c r="J24" i="2" s="1"/>
  <c r="J30" i="2" a="1"/>
  <c r="J30" i="2" s="1"/>
  <c r="J29" i="2" a="1"/>
  <c r="J29" i="2" s="1"/>
  <c r="J26" i="2" a="1"/>
  <c r="J26" i="2" s="1"/>
  <c r="J31" i="2" a="1"/>
  <c r="J31" i="2" s="1"/>
  <c r="J25" i="2" a="1"/>
  <c r="J25" i="2" s="1"/>
  <c r="J32" i="2" a="1"/>
  <c r="J32" i="2" s="1"/>
  <c r="J23" i="2" a="1"/>
  <c r="J23" i="2" s="1"/>
  <c r="G31" i="2"/>
  <c r="I17" i="2"/>
  <c r="J17" i="2"/>
  <c r="G17" i="2"/>
  <c r="E34" i="2"/>
  <c r="G29" i="2"/>
  <c r="G30" i="2"/>
  <c r="G32" i="2"/>
  <c r="G28" i="2"/>
  <c r="G24" i="2"/>
  <c r="G25" i="2"/>
  <c r="G26" i="2"/>
  <c r="G23" i="2"/>
  <c r="I8" i="2"/>
  <c r="J10" i="2"/>
  <c r="G6" i="2"/>
  <c r="J8" i="2"/>
  <c r="I15" i="2"/>
  <c r="J15" i="2"/>
  <c r="J6" i="2"/>
  <c r="G12" i="2"/>
  <c r="I14" i="2"/>
  <c r="I12" i="2"/>
  <c r="J14" i="2"/>
  <c r="G14" i="2"/>
  <c r="G9" i="2"/>
  <c r="J12" i="2"/>
  <c r="G16" i="2"/>
  <c r="G7" i="2"/>
  <c r="I7" i="2"/>
  <c r="J16" i="2"/>
  <c r="I6" i="2"/>
  <c r="I16" i="2"/>
  <c r="J7" i="2"/>
  <c r="G13" i="2"/>
  <c r="G18" i="2"/>
  <c r="G10" i="2"/>
  <c r="I10" i="2"/>
  <c r="I18" i="2"/>
  <c r="G8" i="2"/>
  <c r="G15" i="2"/>
  <c r="J18" i="2"/>
  <c r="K17" i="2" l="1"/>
  <c r="K30" i="2"/>
  <c r="K29" i="2"/>
  <c r="K23" i="2"/>
  <c r="K31" i="2"/>
  <c r="K18" i="2"/>
  <c r="K12" i="2"/>
  <c r="K14" i="2"/>
  <c r="K15" i="2"/>
  <c r="I9" i="2"/>
  <c r="K6" i="2"/>
  <c r="I13" i="2"/>
  <c r="K10" i="2"/>
  <c r="J19" i="2"/>
  <c r="K7" i="2"/>
  <c r="K16" i="2"/>
  <c r="I19" i="2"/>
  <c r="J9" i="2"/>
  <c r="J13" i="2"/>
  <c r="K8" i="2"/>
  <c r="I33" i="2" l="1"/>
  <c r="I27" i="2"/>
  <c r="J33" i="2"/>
  <c r="F33" i="2"/>
  <c r="J27" i="2"/>
  <c r="F27" i="2"/>
  <c r="K25" i="2"/>
  <c r="K32" i="2"/>
  <c r="K26" i="2"/>
  <c r="J20" i="2"/>
  <c r="I20" i="2"/>
  <c r="K19" i="2"/>
  <c r="K13" i="2"/>
  <c r="K9" i="2"/>
  <c r="I34" i="2" l="1"/>
  <c r="K24" i="2"/>
  <c r="K27" i="2" s="1"/>
  <c r="F34" i="2"/>
  <c r="J34" i="2"/>
  <c r="K28" i="2"/>
  <c r="K33" i="2" s="1"/>
  <c r="K20" i="2"/>
  <c r="K34" i="2" l="1"/>
</calcChain>
</file>

<file path=xl/sharedStrings.xml><?xml version="1.0" encoding="utf-8"?>
<sst xmlns="http://schemas.openxmlformats.org/spreadsheetml/2006/main" count="59" uniqueCount="54">
  <si>
    <t>구입금액</t>
    <phoneticPr fontId="2" type="noConversion"/>
  </si>
  <si>
    <t>기산시점</t>
    <phoneticPr fontId="2" type="noConversion"/>
  </si>
  <si>
    <t>산 정 기 준</t>
    <phoneticPr fontId="2" type="noConversion"/>
  </si>
  <si>
    <t>당 월</t>
    <phoneticPr fontId="2" type="noConversion"/>
  </si>
  <si>
    <t>해당월수</t>
    <phoneticPr fontId="2" type="noConversion"/>
  </si>
  <si>
    <t>승강기 배상책임보험</t>
    <phoneticPr fontId="2" type="noConversion"/>
  </si>
  <si>
    <t>20년 추동작업복</t>
    <phoneticPr fontId="2" type="noConversion"/>
  </si>
  <si>
    <t>결산시점</t>
    <phoneticPr fontId="2" type="noConversion"/>
  </si>
  <si>
    <t>전월잔고</t>
    <phoneticPr fontId="2" type="noConversion"/>
  </si>
  <si>
    <t>당월잔고</t>
    <phoneticPr fontId="2" type="noConversion"/>
  </si>
  <si>
    <t>선급비용 정리</t>
    <phoneticPr fontId="2" type="noConversion"/>
  </si>
  <si>
    <t>보험료</t>
    <phoneticPr fontId="2" type="noConversion"/>
  </si>
  <si>
    <t>선
급
비
용</t>
    <phoneticPr fontId="2" type="noConversion"/>
  </si>
  <si>
    <t>시
설
유
지
비</t>
    <phoneticPr fontId="2" type="noConversion"/>
  </si>
  <si>
    <t>수
선
충
당
금</t>
    <phoneticPr fontId="2" type="noConversion"/>
  </si>
  <si>
    <t>안점점검비</t>
    <phoneticPr fontId="2" type="noConversion"/>
  </si>
  <si>
    <t>복리비</t>
    <phoneticPr fontId="2" type="noConversion"/>
  </si>
  <si>
    <t>피복비</t>
    <phoneticPr fontId="2" type="noConversion"/>
  </si>
  <si>
    <t>소  계</t>
    <phoneticPr fontId="2" type="noConversion"/>
  </si>
  <si>
    <t>선급비용 계</t>
    <phoneticPr fontId="2" type="noConversion"/>
  </si>
  <si>
    <t>수선충당금 계</t>
    <phoneticPr fontId="2" type="noConversion"/>
  </si>
  <si>
    <t>구    분</t>
    <phoneticPr fontId="2" type="noConversion"/>
  </si>
  <si>
    <t>선급비용 및 수선충당금 월별 비용 정리 명세</t>
    <phoneticPr fontId="2" type="noConversion"/>
  </si>
  <si>
    <t>소방 작동기능점검 지적사항 보완공사</t>
    <phoneticPr fontId="2" type="noConversion"/>
  </si>
  <si>
    <t>2021년 정화조 청소비</t>
    <phoneticPr fontId="2" type="noConversion"/>
  </si>
  <si>
    <t>수
선
비</t>
    <phoneticPr fontId="2" type="noConversion"/>
  </si>
  <si>
    <t>2021년 화재보험(농협화재보험)</t>
    <phoneticPr fontId="2" type="noConversion"/>
  </si>
  <si>
    <t>2021년 영업배상(풍수해) 책임보험(현대해상)</t>
    <phoneticPr fontId="2" type="noConversion"/>
  </si>
  <si>
    <t>소방 종합정밀점검 지적사항 보완공사</t>
    <phoneticPr fontId="2" type="noConversion"/>
  </si>
  <si>
    <t>2021년 건축물안전점검비</t>
    <phoneticPr fontId="2" type="noConversion"/>
  </si>
  <si>
    <t>시설유지비</t>
    <phoneticPr fontId="2" type="noConversion"/>
  </si>
  <si>
    <t>2021년 승강기 검사 수수료</t>
    <phoneticPr fontId="2" type="noConversion"/>
  </si>
  <si>
    <t>예상금액</t>
    <phoneticPr fontId="2" type="noConversion"/>
  </si>
  <si>
    <t>당월충당</t>
    <phoneticPr fontId="2" type="noConversion"/>
  </si>
  <si>
    <t>충당누계</t>
    <phoneticPr fontId="2" type="noConversion"/>
  </si>
  <si>
    <t>사용액</t>
    <phoneticPr fontId="2" type="noConversion"/>
  </si>
  <si>
    <t>잔  액</t>
    <phoneticPr fontId="2" type="noConversion"/>
  </si>
  <si>
    <t>관리용품</t>
    <phoneticPr fontId="2" type="noConversion"/>
  </si>
  <si>
    <t>년중 자체공사 소모품 등 구입</t>
    <phoneticPr fontId="2" type="noConversion"/>
  </si>
  <si>
    <t>2022년 상반기 저수조 청소</t>
    <phoneticPr fontId="2" type="noConversion"/>
  </si>
  <si>
    <t>2022년 하반기 저수조 청소비</t>
    <phoneticPr fontId="2" type="noConversion"/>
  </si>
  <si>
    <t>2022년 수도물 검사비용</t>
    <phoneticPr fontId="2" type="noConversion"/>
  </si>
  <si>
    <t>아파트 낙엽 등 폐기물 처리비용</t>
    <phoneticPr fontId="2" type="noConversion"/>
  </si>
  <si>
    <t>공용계단 및 복도 대청소 실시</t>
    <phoneticPr fontId="2" type="noConversion"/>
  </si>
  <si>
    <t>년중 일반공사 자금 충당</t>
    <phoneticPr fontId="2" type="noConversion"/>
  </si>
  <si>
    <t>2022년 정기 전기검사비</t>
    <phoneticPr fontId="2" type="noConversion"/>
  </si>
  <si>
    <t>충당액</t>
    <phoneticPr fontId="2" type="noConversion"/>
  </si>
  <si>
    <t>순번</t>
    <phoneticPr fontId="2" type="noConversion"/>
  </si>
  <si>
    <t>사용일자</t>
    <phoneticPr fontId="2" type="noConversion"/>
  </si>
  <si>
    <t>금액</t>
    <phoneticPr fontId="2" type="noConversion"/>
  </si>
  <si>
    <t>내용</t>
    <phoneticPr fontId="2" type="noConversion"/>
  </si>
  <si>
    <t>2022년 설날 특별 격려금</t>
    <phoneticPr fontId="2" type="noConversion"/>
  </si>
  <si>
    <t>2022년 추석 특별 격려금</t>
    <phoneticPr fontId="2" type="noConversion"/>
  </si>
  <si>
    <t>2021년 추석 특별 격려금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</si>
</sst>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-;\-#,##0;&quot;-&quot;_-;@_-"/>
    <numFmt numFmtId="177" formatCode="&quot;/&quot;00"/>
    <numFmt numFmtId="178" formatCode="00"/>
    <numFmt numFmtId="179" formatCode="yyyy/mm/dd;@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2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4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/>
      <diagonal/>
    </border>
    <border>
      <left style="hair">
        <color auto="1"/>
      </left>
      <right style="double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/>
      <bottom style="hair">
        <color auto="1"/>
      </bottom>
      <diagonal/>
    </border>
    <border>
      <left style="hair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double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double">
        <color auto="1"/>
      </bottom>
      <diagonal/>
    </border>
    <border>
      <left style="hair">
        <color auto="1"/>
      </left>
      <right/>
      <top style="thin">
        <color auto="1"/>
      </top>
      <bottom style="double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 style="double">
        <color auto="1"/>
      </left>
      <right/>
      <top/>
      <bottom style="hair">
        <color auto="1"/>
      </bottom>
      <diagonal/>
    </border>
    <border>
      <left style="double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/>
      <top/>
      <bottom/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double">
        <color auto="1"/>
      </left>
      <right/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/>
      <diagonal/>
    </border>
    <border>
      <left style="hair">
        <color auto="1"/>
      </left>
      <right style="double">
        <color auto="1"/>
      </right>
      <top style="double">
        <color auto="1"/>
      </top>
      <bottom/>
      <diagonal/>
    </border>
    <border>
      <left style="hair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168">
    <xf numFmtId="0" fontId="0" fillId="0" borderId="0" xfId="0">
      <alignment vertical="center"/>
    </xf>
    <xf numFmtId="176" fontId="0" fillId="0" borderId="7" xfId="1" applyNumberFormat="1" applyFont="1" applyFill="1" applyBorder="1">
      <alignment vertical="center"/>
    </xf>
    <xf numFmtId="176" fontId="0" fillId="0" borderId="8" xfId="1" applyNumberFormat="1" applyFont="1" applyFill="1" applyBorder="1">
      <alignment vertical="center"/>
    </xf>
    <xf numFmtId="176" fontId="0" fillId="0" borderId="9" xfId="0" applyNumberFormat="1" applyFill="1" applyBorder="1">
      <alignment vertical="center"/>
    </xf>
    <xf numFmtId="176" fontId="0" fillId="0" borderId="4" xfId="1" applyNumberFormat="1" applyFont="1" applyFill="1" applyBorder="1">
      <alignment vertical="center"/>
    </xf>
    <xf numFmtId="14" fontId="0" fillId="0" borderId="5" xfId="0" applyNumberFormat="1" applyFill="1" applyBorder="1" applyAlignment="1">
      <alignment horizontal="center" vertical="center"/>
    </xf>
    <xf numFmtId="176" fontId="0" fillId="0" borderId="5" xfId="1" applyNumberFormat="1" applyFont="1" applyFill="1" applyBorder="1">
      <alignment vertical="center"/>
    </xf>
    <xf numFmtId="176" fontId="0" fillId="0" borderId="6" xfId="0" applyNumberFormat="1" applyFill="1" applyBorder="1">
      <alignment vertical="center"/>
    </xf>
    <xf numFmtId="177" fontId="0" fillId="0" borderId="19" xfId="0" applyNumberFormat="1" applyFill="1" applyBorder="1" applyAlignment="1">
      <alignment horizontal="left" vertical="center"/>
    </xf>
    <xf numFmtId="14" fontId="0" fillId="0" borderId="0" xfId="0" applyNumberFormat="1" applyFill="1" applyBorder="1" applyAlignment="1">
      <alignment horizontal="left" vertical="center"/>
    </xf>
    <xf numFmtId="14" fontId="0" fillId="0" borderId="8" xfId="0" applyNumberFormat="1" applyFill="1" applyBorder="1" applyAlignment="1">
      <alignment horizontal="center" vertical="center"/>
    </xf>
    <xf numFmtId="176" fontId="0" fillId="0" borderId="24" xfId="1" applyNumberFormat="1" applyFont="1" applyFill="1" applyBorder="1">
      <alignment vertical="center"/>
    </xf>
    <xf numFmtId="14" fontId="0" fillId="0" borderId="25" xfId="0" applyNumberFormat="1" applyFill="1" applyBorder="1" applyAlignment="1">
      <alignment horizontal="center" vertical="center"/>
    </xf>
    <xf numFmtId="176" fontId="0" fillId="0" borderId="25" xfId="1" applyNumberFormat="1" applyFont="1" applyFill="1" applyBorder="1">
      <alignment vertical="center"/>
    </xf>
    <xf numFmtId="176" fontId="0" fillId="0" borderId="26" xfId="0" applyNumberFormat="1" applyFill="1" applyBorder="1">
      <alignment vertical="center"/>
    </xf>
    <xf numFmtId="176" fontId="0" fillId="0" borderId="27" xfId="1" applyNumberFormat="1" applyFont="1" applyFill="1" applyBorder="1">
      <alignment vertical="center"/>
    </xf>
    <xf numFmtId="14" fontId="0" fillId="0" borderId="28" xfId="0" applyNumberFormat="1" applyFill="1" applyBorder="1" applyAlignment="1">
      <alignment horizontal="center" vertical="center"/>
    </xf>
    <xf numFmtId="177" fontId="0" fillId="0" borderId="22" xfId="0" applyNumberFormat="1" applyFill="1" applyBorder="1" applyAlignment="1">
      <alignment horizontal="left" vertical="center"/>
    </xf>
    <xf numFmtId="176" fontId="0" fillId="0" borderId="28" xfId="1" applyNumberFormat="1" applyFont="1" applyFill="1" applyBorder="1">
      <alignment vertical="center"/>
    </xf>
    <xf numFmtId="176" fontId="0" fillId="0" borderId="30" xfId="0" applyNumberFormat="1" applyFill="1" applyBorder="1">
      <alignment vertical="center"/>
    </xf>
    <xf numFmtId="176" fontId="0" fillId="0" borderId="14" xfId="1" applyNumberFormat="1" applyFont="1" applyFill="1" applyBorder="1">
      <alignment vertical="center"/>
    </xf>
    <xf numFmtId="14" fontId="0" fillId="0" borderId="15" xfId="0" applyNumberFormat="1" applyFill="1" applyBorder="1" applyAlignment="1">
      <alignment horizontal="center" vertical="center"/>
    </xf>
    <xf numFmtId="177" fontId="0" fillId="0" borderId="21" xfId="0" applyNumberFormat="1" applyFill="1" applyBorder="1" applyAlignment="1">
      <alignment horizontal="left" vertical="center"/>
    </xf>
    <xf numFmtId="176" fontId="0" fillId="0" borderId="15" xfId="1" applyNumberFormat="1" applyFont="1" applyFill="1" applyBorder="1">
      <alignment vertical="center"/>
    </xf>
    <xf numFmtId="176" fontId="0" fillId="0" borderId="16" xfId="0" applyNumberFormat="1" applyFill="1" applyBorder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Continuous" vertical="center"/>
    </xf>
    <xf numFmtId="14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2" xfId="0" applyFill="1" applyBorder="1" applyAlignment="1">
      <alignment horizontal="centerContinuous" vertical="center"/>
    </xf>
    <xf numFmtId="0" fontId="0" fillId="0" borderId="3" xfId="0" applyFill="1" applyBorder="1" applyAlignment="1">
      <alignment horizontal="centerContinuous" vertical="center"/>
    </xf>
    <xf numFmtId="14" fontId="0" fillId="0" borderId="0" xfId="0" applyNumberFormat="1" applyFill="1">
      <alignment vertical="center"/>
    </xf>
    <xf numFmtId="0" fontId="0" fillId="0" borderId="10" xfId="0" applyFill="1" applyBorder="1" applyAlignment="1">
      <alignment horizontal="center" vertical="center"/>
    </xf>
    <xf numFmtId="176" fontId="0" fillId="0" borderId="1" xfId="1" applyNumberFormat="1" applyFont="1" applyFill="1" applyBorder="1">
      <alignment vertical="center"/>
    </xf>
    <xf numFmtId="14" fontId="0" fillId="0" borderId="2" xfId="0" applyNumberFormat="1" applyFill="1" applyBorder="1" applyAlignment="1">
      <alignment horizontal="center" vertical="center"/>
    </xf>
    <xf numFmtId="176" fontId="0" fillId="0" borderId="2" xfId="1" applyNumberFormat="1" applyFont="1" applyFill="1" applyBorder="1">
      <alignment vertical="center"/>
    </xf>
    <xf numFmtId="176" fontId="0" fillId="0" borderId="3" xfId="0" applyNumberFormat="1" applyFill="1" applyBorder="1">
      <alignment vertical="center"/>
    </xf>
    <xf numFmtId="176" fontId="0" fillId="0" borderId="37" xfId="1" applyNumberFormat="1" applyFont="1" applyFill="1" applyBorder="1">
      <alignment vertical="center"/>
    </xf>
    <xf numFmtId="176" fontId="0" fillId="0" borderId="41" xfId="1" applyNumberFormat="1" applyFont="1" applyFill="1" applyBorder="1">
      <alignment vertical="center"/>
    </xf>
    <xf numFmtId="176" fontId="0" fillId="0" borderId="42" xfId="1" applyNumberFormat="1" applyFont="1" applyFill="1" applyBorder="1">
      <alignment vertical="center"/>
    </xf>
    <xf numFmtId="176" fontId="0" fillId="0" borderId="43" xfId="1" applyNumberFormat="1" applyFont="1" applyFill="1" applyBorder="1">
      <alignment vertical="center"/>
    </xf>
    <xf numFmtId="176" fontId="0" fillId="0" borderId="44" xfId="1" applyNumberFormat="1" applyFont="1" applyFill="1" applyBorder="1">
      <alignment vertical="center"/>
    </xf>
    <xf numFmtId="176" fontId="0" fillId="0" borderId="45" xfId="1" applyNumberFormat="1" applyFont="1" applyFill="1" applyBorder="1">
      <alignment vertical="center"/>
    </xf>
    <xf numFmtId="0" fontId="0" fillId="0" borderId="46" xfId="0" applyFill="1" applyBorder="1" applyAlignment="1">
      <alignment horizontal="left" vertical="center" indent="1"/>
    </xf>
    <xf numFmtId="0" fontId="0" fillId="0" borderId="47" xfId="0" applyFill="1" applyBorder="1" applyAlignment="1">
      <alignment horizontal="left" vertical="center" indent="1"/>
    </xf>
    <xf numFmtId="0" fontId="0" fillId="0" borderId="48" xfId="0" applyFill="1" applyBorder="1" applyAlignment="1">
      <alignment horizontal="left" vertical="center" indent="1"/>
    </xf>
    <xf numFmtId="0" fontId="0" fillId="0" borderId="49" xfId="0" applyFill="1" applyBorder="1" applyAlignment="1">
      <alignment horizontal="left" vertical="center" indent="1"/>
    </xf>
    <xf numFmtId="0" fontId="0" fillId="0" borderId="50" xfId="0" applyFill="1" applyBorder="1" applyAlignment="1">
      <alignment horizontal="left" vertical="center" indent="1"/>
    </xf>
    <xf numFmtId="0" fontId="0" fillId="0" borderId="52" xfId="0" applyFill="1" applyBorder="1" applyAlignment="1">
      <alignment horizontal="left" vertical="center" indent="1"/>
    </xf>
    <xf numFmtId="0" fontId="0" fillId="0" borderId="54" xfId="0" applyFill="1" applyBorder="1" applyAlignment="1">
      <alignment horizontal="left" vertical="center" indent="1"/>
    </xf>
    <xf numFmtId="178" fontId="0" fillId="0" borderId="31" xfId="0" applyNumberFormat="1" applyFill="1" applyBorder="1" applyAlignment="1">
      <alignment horizontal="right" vertical="center"/>
    </xf>
    <xf numFmtId="178" fontId="0" fillId="0" borderId="29" xfId="0" applyNumberFormat="1" applyFill="1" applyBorder="1" applyAlignment="1">
      <alignment horizontal="right" vertical="center"/>
    </xf>
    <xf numFmtId="178" fontId="0" fillId="0" borderId="32" xfId="0" applyNumberFormat="1" applyFill="1" applyBorder="1" applyAlignment="1">
      <alignment horizontal="right" vertical="center"/>
    </xf>
    <xf numFmtId="178" fontId="0" fillId="0" borderId="40" xfId="0" applyNumberFormat="1" applyFill="1" applyBorder="1" applyAlignment="1">
      <alignment horizontal="right" vertical="center"/>
    </xf>
    <xf numFmtId="178" fontId="0" fillId="0" borderId="13" xfId="0" applyNumberFormat="1" applyFill="1" applyBorder="1" applyAlignment="1">
      <alignment horizontal="right" vertical="center"/>
    </xf>
    <xf numFmtId="178" fontId="0" fillId="0" borderId="33" xfId="0" applyNumberFormat="1" applyFill="1" applyBorder="1" applyAlignment="1">
      <alignment horizontal="right" vertical="center"/>
    </xf>
    <xf numFmtId="177" fontId="0" fillId="0" borderId="55" xfId="0" applyNumberFormat="1" applyFill="1" applyBorder="1" applyAlignment="1">
      <alignment horizontal="left" vertical="center"/>
    </xf>
    <xf numFmtId="177" fontId="0" fillId="0" borderId="35" xfId="0" applyNumberFormat="1" applyFill="1" applyBorder="1" applyAlignment="1">
      <alignment horizontal="left" vertical="center"/>
    </xf>
    <xf numFmtId="177" fontId="0" fillId="0" borderId="56" xfId="0" applyNumberFormat="1" applyFill="1" applyBorder="1" applyAlignment="1">
      <alignment horizontal="left" vertical="center"/>
    </xf>
    <xf numFmtId="177" fontId="0" fillId="0" borderId="20" xfId="0" applyNumberFormat="1" applyFill="1" applyBorder="1" applyAlignment="1">
      <alignment horizontal="left" vertical="center"/>
    </xf>
    <xf numFmtId="0" fontId="0" fillId="0" borderId="0" xfId="0" applyFill="1" applyAlignment="1">
      <alignment horizontal="centerContinuous" vertical="center"/>
    </xf>
    <xf numFmtId="0" fontId="5" fillId="0" borderId="0" xfId="0" applyFont="1" applyFill="1" applyAlignment="1">
      <alignment horizontal="centerContinuous" vertical="center"/>
    </xf>
    <xf numFmtId="0" fontId="0" fillId="0" borderId="57" xfId="0" applyFill="1" applyBorder="1" applyAlignment="1">
      <alignment horizontal="centerContinuous" vertical="center"/>
    </xf>
    <xf numFmtId="0" fontId="0" fillId="0" borderId="58" xfId="0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 indent="1"/>
    </xf>
    <xf numFmtId="179" fontId="0" fillId="0" borderId="0" xfId="0" applyNumberFormat="1" applyFill="1">
      <alignment vertical="center"/>
    </xf>
    <xf numFmtId="0" fontId="0" fillId="0" borderId="51" xfId="0" applyFill="1" applyBorder="1" applyAlignment="1">
      <alignment horizontal="left" vertical="center" indent="1"/>
    </xf>
    <xf numFmtId="0" fontId="0" fillId="0" borderId="60" xfId="0" applyFill="1" applyBorder="1" applyAlignment="1">
      <alignment horizontal="left" vertical="center" indent="1"/>
    </xf>
    <xf numFmtId="0" fontId="0" fillId="0" borderId="61" xfId="0" applyFill="1" applyBorder="1" applyAlignment="1">
      <alignment horizontal="left" vertical="center" indent="1"/>
    </xf>
    <xf numFmtId="0" fontId="0" fillId="0" borderId="0" xfId="0" applyFill="1" applyBorder="1">
      <alignment vertical="center"/>
    </xf>
    <xf numFmtId="0" fontId="0" fillId="0" borderId="63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176" fontId="0" fillId="0" borderId="0" xfId="1" applyNumberFormat="1" applyFont="1" applyFill="1" applyBorder="1">
      <alignment vertical="center"/>
    </xf>
    <xf numFmtId="14" fontId="0" fillId="0" borderId="0" xfId="0" applyNumberFormat="1" applyFill="1" applyBorder="1" applyAlignment="1">
      <alignment horizontal="center" vertical="center"/>
    </xf>
    <xf numFmtId="178" fontId="0" fillId="0" borderId="0" xfId="0" applyNumberFormat="1" applyFill="1" applyBorder="1" applyAlignment="1">
      <alignment horizontal="right" vertical="center"/>
    </xf>
    <xf numFmtId="177" fontId="0" fillId="0" borderId="0" xfId="0" applyNumberFormat="1" applyFill="1" applyBorder="1" applyAlignment="1">
      <alignment horizontal="left" vertical="center"/>
    </xf>
    <xf numFmtId="176" fontId="0" fillId="0" borderId="0" xfId="0" applyNumberFormat="1" applyFill="1" applyBorder="1">
      <alignment vertical="center"/>
    </xf>
    <xf numFmtId="176" fontId="0" fillId="0" borderId="0" xfId="0" applyNumberFormat="1" applyFill="1">
      <alignment vertical="center"/>
    </xf>
    <xf numFmtId="176" fontId="0" fillId="0" borderId="69" xfId="1" applyNumberFormat="1" applyFont="1" applyFill="1" applyBorder="1" applyAlignment="1">
      <alignment horizontal="center" vertical="center"/>
    </xf>
    <xf numFmtId="176" fontId="0" fillId="0" borderId="70" xfId="1" applyNumberFormat="1" applyFont="1" applyFill="1" applyBorder="1">
      <alignment vertical="center"/>
    </xf>
    <xf numFmtId="176" fontId="0" fillId="0" borderId="71" xfId="1" applyNumberFormat="1" applyFont="1" applyFill="1" applyBorder="1">
      <alignment vertical="center"/>
    </xf>
    <xf numFmtId="177" fontId="0" fillId="0" borderId="72" xfId="0" applyNumberFormat="1" applyFill="1" applyBorder="1" applyAlignment="1">
      <alignment horizontal="left" vertical="center"/>
    </xf>
    <xf numFmtId="178" fontId="0" fillId="0" borderId="72" xfId="0" applyNumberFormat="1" applyFill="1" applyBorder="1" applyAlignment="1">
      <alignment horizontal="right" vertical="center"/>
    </xf>
    <xf numFmtId="176" fontId="0" fillId="0" borderId="74" xfId="1" applyNumberFormat="1" applyFont="1" applyFill="1" applyBorder="1" applyAlignment="1">
      <alignment horizontal="center" vertical="center"/>
    </xf>
    <xf numFmtId="176" fontId="0" fillId="0" borderId="75" xfId="1" applyNumberFormat="1" applyFont="1" applyFill="1" applyBorder="1">
      <alignment vertical="center"/>
    </xf>
    <xf numFmtId="176" fontId="0" fillId="0" borderId="72" xfId="1" applyNumberFormat="1" applyFont="1" applyFill="1" applyBorder="1">
      <alignment vertical="center"/>
    </xf>
    <xf numFmtId="14" fontId="0" fillId="0" borderId="65" xfId="0" applyNumberFormat="1" applyFill="1" applyBorder="1" applyAlignment="1">
      <alignment horizontal="center" vertical="center"/>
    </xf>
    <xf numFmtId="176" fontId="0" fillId="0" borderId="76" xfId="0" applyNumberFormat="1" applyFill="1" applyBorder="1" applyAlignment="1">
      <alignment horizontal="right" vertical="center"/>
    </xf>
    <xf numFmtId="176" fontId="0" fillId="0" borderId="77" xfId="0" applyNumberFormat="1" applyFill="1" applyBorder="1" applyAlignment="1">
      <alignment horizontal="right" vertical="center"/>
    </xf>
    <xf numFmtId="176" fontId="0" fillId="0" borderId="77" xfId="1" applyNumberFormat="1" applyFont="1" applyFill="1" applyBorder="1">
      <alignment vertical="center"/>
    </xf>
    <xf numFmtId="176" fontId="0" fillId="0" borderId="65" xfId="1" applyNumberFormat="1" applyFont="1" applyFill="1" applyBorder="1" applyAlignment="1">
      <alignment horizontal="center" vertical="center"/>
    </xf>
    <xf numFmtId="176" fontId="0" fillId="0" borderId="76" xfId="1" applyNumberFormat="1" applyFont="1" applyFill="1" applyBorder="1">
      <alignment vertical="center"/>
    </xf>
    <xf numFmtId="176" fontId="0" fillId="0" borderId="65" xfId="0" applyNumberFormat="1" applyFill="1" applyBorder="1" applyAlignment="1">
      <alignment horizontal="center" vertical="center"/>
    </xf>
    <xf numFmtId="176" fontId="0" fillId="0" borderId="76" xfId="0" applyNumberFormat="1" applyFill="1" applyBorder="1">
      <alignment vertical="center"/>
    </xf>
    <xf numFmtId="176" fontId="0" fillId="0" borderId="77" xfId="0" applyNumberFormat="1" applyFill="1" applyBorder="1">
      <alignment vertical="center"/>
    </xf>
    <xf numFmtId="0" fontId="0" fillId="0" borderId="25" xfId="0" applyFill="1" applyBorder="1" applyAlignment="1">
      <alignment horizontal="center" vertical="center"/>
    </xf>
    <xf numFmtId="176" fontId="0" fillId="0" borderId="78" xfId="1" applyNumberFormat="1" applyFont="1" applyFill="1" applyBorder="1">
      <alignment vertical="center"/>
    </xf>
    <xf numFmtId="176" fontId="0" fillId="0" borderId="62" xfId="0" applyNumberFormat="1" applyFill="1" applyBorder="1" applyAlignment="1">
      <alignment horizontal="right" vertical="center"/>
    </xf>
    <xf numFmtId="178" fontId="0" fillId="0" borderId="79" xfId="0" applyNumberFormat="1" applyFill="1" applyBorder="1" applyAlignment="1">
      <alignment horizontal="right" vertical="center"/>
    </xf>
    <xf numFmtId="177" fontId="0" fillId="0" borderId="79" xfId="0" applyNumberFormat="1" applyFill="1" applyBorder="1" applyAlignment="1">
      <alignment horizontal="left" vertical="center"/>
    </xf>
    <xf numFmtId="176" fontId="0" fillId="0" borderId="62" xfId="1" applyNumberFormat="1" applyFont="1" applyFill="1" applyBorder="1">
      <alignment vertical="center"/>
    </xf>
    <xf numFmtId="176" fontId="0" fillId="0" borderId="62" xfId="0" applyNumberFormat="1" applyFill="1" applyBorder="1">
      <alignment vertical="center"/>
    </xf>
    <xf numFmtId="178" fontId="0" fillId="0" borderId="75" xfId="0" applyNumberFormat="1" applyFill="1" applyBorder="1" applyAlignment="1">
      <alignment horizontal="right" vertical="center"/>
    </xf>
    <xf numFmtId="177" fontId="0" fillId="0" borderId="75" xfId="0" applyNumberFormat="1" applyFill="1" applyBorder="1" applyAlignment="1">
      <alignment horizontal="left" vertical="center"/>
    </xf>
    <xf numFmtId="176" fontId="0" fillId="0" borderId="80" xfId="1" applyNumberFormat="1" applyFont="1" applyFill="1" applyBorder="1">
      <alignment vertical="center"/>
    </xf>
    <xf numFmtId="176" fontId="0" fillId="0" borderId="81" xfId="0" applyNumberFormat="1" applyFill="1" applyBorder="1" applyAlignment="1">
      <alignment horizontal="right" vertical="center"/>
    </xf>
    <xf numFmtId="178" fontId="0" fillId="0" borderId="82" xfId="0" applyNumberFormat="1" applyFill="1" applyBorder="1" applyAlignment="1">
      <alignment horizontal="right" vertical="center"/>
    </xf>
    <xf numFmtId="177" fontId="0" fillId="0" borderId="82" xfId="0" applyNumberFormat="1" applyFill="1" applyBorder="1" applyAlignment="1">
      <alignment horizontal="left" vertical="center"/>
    </xf>
    <xf numFmtId="176" fontId="0" fillId="0" borderId="81" xfId="1" applyNumberFormat="1" applyFont="1" applyFill="1" applyBorder="1">
      <alignment vertical="center"/>
    </xf>
    <xf numFmtId="176" fontId="0" fillId="0" borderId="82" xfId="1" applyNumberFormat="1" applyFont="1" applyFill="1" applyBorder="1">
      <alignment vertical="center"/>
    </xf>
    <xf numFmtId="176" fontId="0" fillId="0" borderId="81" xfId="0" applyNumberFormat="1" applyFill="1" applyBorder="1">
      <alignment vertical="center"/>
    </xf>
    <xf numFmtId="176" fontId="0" fillId="0" borderId="83" xfId="1" applyNumberFormat="1" applyFont="1" applyFill="1" applyBorder="1">
      <alignment vertical="center"/>
    </xf>
    <xf numFmtId="176" fontId="0" fillId="0" borderId="84" xfId="0" applyNumberFormat="1" applyFill="1" applyBorder="1" applyAlignment="1">
      <alignment horizontal="right" vertical="center"/>
    </xf>
    <xf numFmtId="178" fontId="0" fillId="0" borderId="63" xfId="0" applyNumberFormat="1" applyFill="1" applyBorder="1" applyAlignment="1">
      <alignment horizontal="right" vertical="center"/>
    </xf>
    <xf numFmtId="177" fontId="0" fillId="0" borderId="63" xfId="0" applyNumberFormat="1" applyFill="1" applyBorder="1" applyAlignment="1">
      <alignment horizontal="left" vertical="center"/>
    </xf>
    <xf numFmtId="176" fontId="0" fillId="0" borderId="84" xfId="1" applyNumberFormat="1" applyFont="1" applyFill="1" applyBorder="1">
      <alignment vertical="center"/>
    </xf>
    <xf numFmtId="176" fontId="0" fillId="0" borderId="63" xfId="1" applyNumberFormat="1" applyFont="1" applyFill="1" applyBorder="1">
      <alignment vertical="center"/>
    </xf>
    <xf numFmtId="176" fontId="0" fillId="0" borderId="84" xfId="0" applyNumberFormat="1" applyFill="1" applyBorder="1">
      <alignment vertical="center"/>
    </xf>
    <xf numFmtId="176" fontId="0" fillId="0" borderId="85" xfId="1" applyNumberFormat="1" applyFont="1" applyFill="1" applyBorder="1">
      <alignment vertical="center"/>
    </xf>
    <xf numFmtId="176" fontId="0" fillId="0" borderId="64" xfId="0" applyNumberFormat="1" applyFill="1" applyBorder="1" applyAlignment="1">
      <alignment horizontal="right" vertical="center"/>
    </xf>
    <xf numFmtId="178" fontId="0" fillId="0" borderId="86" xfId="0" applyNumberFormat="1" applyFill="1" applyBorder="1" applyAlignment="1">
      <alignment horizontal="right" vertical="center"/>
    </xf>
    <xf numFmtId="177" fontId="0" fillId="0" borderId="86" xfId="0" applyNumberFormat="1" applyFill="1" applyBorder="1" applyAlignment="1">
      <alignment horizontal="left" vertical="center"/>
    </xf>
    <xf numFmtId="176" fontId="0" fillId="0" borderId="64" xfId="1" applyNumberFormat="1" applyFont="1" applyFill="1" applyBorder="1">
      <alignment vertical="center"/>
    </xf>
    <xf numFmtId="176" fontId="0" fillId="0" borderId="86" xfId="1" applyNumberFormat="1" applyFont="1" applyFill="1" applyBorder="1">
      <alignment vertical="center"/>
    </xf>
    <xf numFmtId="176" fontId="0" fillId="0" borderId="64" xfId="0" applyNumberFormat="1" applyFill="1" applyBorder="1">
      <alignment vertical="center"/>
    </xf>
    <xf numFmtId="0" fontId="0" fillId="0" borderId="87" xfId="0" applyFill="1" applyBorder="1" applyAlignment="1">
      <alignment horizontal="center" vertical="center"/>
    </xf>
    <xf numFmtId="0" fontId="0" fillId="0" borderId="88" xfId="0" applyFill="1" applyBorder="1" applyAlignment="1">
      <alignment horizontal="left" vertical="center" indent="1"/>
    </xf>
    <xf numFmtId="0" fontId="0" fillId="0" borderId="15" xfId="0" applyFill="1" applyBorder="1" applyAlignment="1">
      <alignment horizontal="center" vertical="center"/>
    </xf>
    <xf numFmtId="0" fontId="0" fillId="0" borderId="92" xfId="0" applyFill="1" applyBorder="1" applyAlignment="1">
      <alignment horizontal="left" vertical="center" indent="1"/>
    </xf>
    <xf numFmtId="41" fontId="0" fillId="0" borderId="0" xfId="1" applyFont="1" applyFill="1">
      <alignment vertical="center"/>
    </xf>
    <xf numFmtId="41" fontId="0" fillId="0" borderId="0" xfId="0" applyNumberFormat="1" applyFill="1">
      <alignment vertical="center"/>
    </xf>
    <xf numFmtId="176" fontId="0" fillId="0" borderId="23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Continuous" vertical="center"/>
    </xf>
    <xf numFmtId="176" fontId="0" fillId="0" borderId="0" xfId="0" applyNumberFormat="1" applyFill="1" applyBorder="1" applyAlignment="1">
      <alignment horizontal="center" vertical="center"/>
    </xf>
    <xf numFmtId="41" fontId="0" fillId="2" borderId="0" xfId="1" applyFont="1" applyFill="1">
      <alignment vertical="center"/>
    </xf>
    <xf numFmtId="0" fontId="0" fillId="0" borderId="11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  <xf numFmtId="0" fontId="0" fillId="0" borderId="53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59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29" xfId="0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51" xfId="0" applyFill="1" applyBorder="1" applyAlignment="1">
      <alignment horizontal="center" vertical="center"/>
    </xf>
    <xf numFmtId="0" fontId="0" fillId="0" borderId="66" xfId="0" applyFill="1" applyBorder="1" applyAlignment="1">
      <alignment horizontal="center" vertical="center" wrapText="1"/>
    </xf>
    <xf numFmtId="0" fontId="0" fillId="0" borderId="67" xfId="0" applyFill="1" applyBorder="1" applyAlignment="1">
      <alignment horizontal="center" vertical="center" wrapText="1"/>
    </xf>
    <xf numFmtId="0" fontId="0" fillId="0" borderId="68" xfId="0" applyFill="1" applyBorder="1" applyAlignment="1">
      <alignment horizontal="center" vertical="center" wrapText="1"/>
    </xf>
    <xf numFmtId="178" fontId="0" fillId="0" borderId="73" xfId="0" applyNumberFormat="1" applyFill="1" applyBorder="1" applyAlignment="1">
      <alignment horizontal="center" vertical="center"/>
    </xf>
    <xf numFmtId="178" fontId="0" fillId="0" borderId="68" xfId="0" applyNumberFormat="1" applyFill="1" applyBorder="1" applyAlignment="1">
      <alignment horizontal="center" vertical="center"/>
    </xf>
    <xf numFmtId="0" fontId="0" fillId="0" borderId="34" xfId="0" applyFill="1" applyBorder="1" applyAlignment="1">
      <alignment horizontal="center" vertical="center"/>
    </xf>
    <xf numFmtId="0" fontId="0" fillId="0" borderId="36" xfId="0" applyFill="1" applyBorder="1" applyAlignment="1">
      <alignment horizontal="center" vertical="center"/>
    </xf>
    <xf numFmtId="0" fontId="0" fillId="0" borderId="38" xfId="0" applyFill="1" applyBorder="1" applyAlignment="1">
      <alignment horizontal="center" vertical="center"/>
    </xf>
    <xf numFmtId="0" fontId="0" fillId="0" borderId="39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89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90" xfId="0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0" fontId="0" fillId="0" borderId="91" xfId="0" applyFill="1" applyBorder="1" applyAlignment="1">
      <alignment horizontal="center" vertical="center"/>
    </xf>
    <xf numFmtId="0" fontId="0" fillId="0" borderId="93" xfId="0" applyFill="1" applyBorder="1" applyAlignment="1">
      <alignment horizontal="center" vertical="center"/>
    </xf>
    <xf numFmtId="0" fontId="0" fillId="0" borderId="82" xfId="0" applyFill="1" applyBorder="1" applyAlignment="1">
      <alignment horizontal="center" vertical="center"/>
    </xf>
    <xf numFmtId="0" fontId="0" fillId="0" borderId="56" xfId="0" applyFill="1" applyBorder="1" applyAlignment="1">
      <alignment horizontal="center" vertical="center"/>
    </xf>
    <xf numFmtId="0" fontId="0" fillId="2" borderId="0" xfId="0" applyFill="1">
      <alignment vertical="center"/>
    </xf>
  </cellXfs>
  <cellStyles count="3">
    <cellStyle name="쉼표 [0]" xfId="1" builtinId="6"/>
    <cellStyle name="표준" xfId="0" builtinId="0"/>
    <cellStyle name="표준 2" xfId="2" xr:uid="{B6164958-7EF9-4A23-A5DE-C2591E39CD5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Spin" dx="26" fmlaLink="$O$4" max="30000" page="10" val="2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742950</xdr:colOff>
          <xdr:row>2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2049" name="Spinner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94EA9-EA6A-4B29-87B0-BF3CDD417DDC}">
  <dimension ref="A1:Y59"/>
  <sheetViews>
    <sheetView showGridLines="0" tabSelected="1" topLeftCell="A13" workbookViewId="0">
      <selection activeCell="M19" sqref="M19"/>
    </sheetView>
  </sheetViews>
  <sheetFormatPr defaultColWidth="9" defaultRowHeight="16.5" x14ac:dyDescent="0.3"/>
  <cols>
    <col min="1" max="2" width="9" style="25"/>
    <col min="3" max="3" width="11" style="25" bestFit="1" customWidth="1"/>
    <col min="4" max="4" width="44" style="25" customWidth="1"/>
    <col min="5" max="6" width="11.125" style="25" bestFit="1" customWidth="1"/>
    <col min="7" max="7" width="3.5" style="25" bestFit="1" customWidth="1"/>
    <col min="8" max="8" width="4.25" style="25" bestFit="1" customWidth="1"/>
    <col min="9" max="9" width="11" style="25" customWidth="1"/>
    <col min="10" max="10" width="10.75" style="25" bestFit="1" customWidth="1"/>
    <col min="11" max="11" width="12.25" style="25" bestFit="1" customWidth="1"/>
    <col min="12" max="12" width="6" style="25" bestFit="1" customWidth="1"/>
    <col min="13" max="13" width="11.125" style="25" bestFit="1" customWidth="1"/>
    <col min="14" max="25" width="9.375" style="25" bestFit="1" customWidth="1"/>
    <col min="26" max="26" width="8.5" style="25" bestFit="1" customWidth="1"/>
    <col min="27" max="16384" width="9" style="25"/>
  </cols>
  <sheetData>
    <row r="1" spans="2:16" ht="31.5" x14ac:dyDescent="0.3">
      <c r="B1" s="61" t="s">
        <v>22</v>
      </c>
      <c r="C1" s="60"/>
      <c r="D1" s="60"/>
      <c r="E1" s="26"/>
      <c r="F1" s="26"/>
      <c r="G1" s="26"/>
      <c r="H1" s="26"/>
      <c r="I1" s="26"/>
      <c r="J1" s="26"/>
      <c r="K1" s="26"/>
      <c r="L1" s="26"/>
    </row>
    <row r="2" spans="2:16" ht="24" customHeight="1" x14ac:dyDescent="0.3">
      <c r="K2" s="27"/>
      <c r="L2" s="27"/>
    </row>
    <row r="3" spans="2:16" ht="24" customHeight="1" x14ac:dyDescent="0.3">
      <c r="J3" s="28" t="s">
        <v>7</v>
      </c>
      <c r="K3" s="9">
        <f>EOMONTH(DATE(2020,12,31),O4)</f>
        <v>44804</v>
      </c>
      <c r="L3" s="9"/>
    </row>
    <row r="4" spans="2:16" ht="24" customHeight="1" x14ac:dyDescent="0.3">
      <c r="B4" s="153" t="s">
        <v>21</v>
      </c>
      <c r="C4" s="154"/>
      <c r="D4" s="154"/>
      <c r="E4" s="62" t="s">
        <v>2</v>
      </c>
      <c r="F4" s="29"/>
      <c r="G4" s="29"/>
      <c r="H4" s="30"/>
      <c r="I4" s="164" t="s">
        <v>10</v>
      </c>
      <c r="J4" s="165"/>
      <c r="K4" s="166"/>
      <c r="L4" s="132"/>
      <c r="O4" s="167">
        <v>20</v>
      </c>
    </row>
    <row r="5" spans="2:16" ht="24" customHeight="1" thickBot="1" x14ac:dyDescent="0.35">
      <c r="B5" s="155"/>
      <c r="C5" s="156"/>
      <c r="D5" s="156"/>
      <c r="E5" s="63" t="s">
        <v>0</v>
      </c>
      <c r="F5" s="135" t="s">
        <v>1</v>
      </c>
      <c r="G5" s="157" t="s">
        <v>4</v>
      </c>
      <c r="H5" s="158"/>
      <c r="I5" s="32" t="s">
        <v>8</v>
      </c>
      <c r="J5" s="135" t="s">
        <v>3</v>
      </c>
      <c r="K5" s="136" t="s">
        <v>9</v>
      </c>
      <c r="L5" s="71"/>
      <c r="O5" s="31"/>
      <c r="P5" s="65"/>
    </row>
    <row r="6" spans="2:16" ht="24" customHeight="1" thickTop="1" x14ac:dyDescent="0.3">
      <c r="B6" s="137" t="s">
        <v>12</v>
      </c>
      <c r="C6" s="159" t="s">
        <v>11</v>
      </c>
      <c r="D6" s="43" t="s">
        <v>27</v>
      </c>
      <c r="E6" s="37">
        <v>2862600</v>
      </c>
      <c r="F6" s="10">
        <v>44470</v>
      </c>
      <c r="G6" s="50">
        <f>IF(ISERROR(IF(OR(F6&gt;$K$3,ISBLANK(F6),DATEDIF(F6,$K$3,"M")+1&gt;H6),"",DATEDIF(F6,$K$3,"M")+1)),"",IF(OR(F6&gt;$K$3,ISBLANK(F6),DATEDIF(F6,$K$3,"M")+1&gt;H6),"",DATEDIF(F6,$K$3,"M")+1))</f>
        <v>11</v>
      </c>
      <c r="H6" s="56">
        <v>12</v>
      </c>
      <c r="I6" s="1">
        <f>E6-IFERROR(IF(F6&gt;$K$3,0,IF($K$3&lt;=EOMONTH(F6,H6-1),ROUND(E6/H6,-1)*DATEDIF(F6,$K$3,"m"),E6)),0)</f>
        <v>477100</v>
      </c>
      <c r="J6" s="2">
        <f>IFERROR(IF(F6&gt;$K$3,0,IF($K$3&gt;EOMONTH(F6,H6-1),0,IF($K$3=EOMONTH(F6,H6-1),E6-ROUND(E6/H6,-1)*(H6-1),ROUND(E6/H6,-1)))),0)</f>
        <v>238550</v>
      </c>
      <c r="K6" s="3">
        <f>I6-J6</f>
        <v>238550</v>
      </c>
      <c r="L6" s="76"/>
      <c r="O6" s="31"/>
    </row>
    <row r="7" spans="2:16" ht="24" customHeight="1" x14ac:dyDescent="0.3">
      <c r="B7" s="137"/>
      <c r="C7" s="160"/>
      <c r="D7" s="48" t="s">
        <v>26</v>
      </c>
      <c r="E7" s="42">
        <v>2945600</v>
      </c>
      <c r="F7" s="12">
        <v>44470</v>
      </c>
      <c r="G7" s="50">
        <f t="shared" ref="G7:G8" si="0">IF(ISERROR(IF(OR(F7&gt;$K$3,ISBLANK(F7),DATEDIF(F7,$K$3,"M")+1&gt;H7),"",DATEDIF(F7,$K$3,"M")+1)),"",IF(OR(F7&gt;$K$3,ISBLANK(F7),DATEDIF(F7,$K$3,"M")+1&gt;H7),"",DATEDIF(F7,$K$3,"M")+1))</f>
        <v>11</v>
      </c>
      <c r="H7" s="17">
        <v>12</v>
      </c>
      <c r="I7" s="11">
        <f>E7-IFERROR(IF(F7&gt;$K$3,0,IF($K$3&lt;=EOMONTH(F7,H7-1),ROUND(E7/H7,-1)*DATEDIF(F7,$K$3,"m"),E7)),0)</f>
        <v>490900</v>
      </c>
      <c r="J7" s="13">
        <f>IFERROR(IF(F7&gt;$K$3,0,IF($K$3&gt;EOMONTH(F7,H7-1),0,IF($K$3=EOMONTH(F7,H7-1),E7-ROUND(E7/H7,-1)*(H7-1),ROUND(E7/H7,-1)))),0)</f>
        <v>245470</v>
      </c>
      <c r="K7" s="14">
        <f>I7-J7</f>
        <v>245430</v>
      </c>
      <c r="L7" s="76"/>
      <c r="O7" s="31"/>
    </row>
    <row r="8" spans="2:16" ht="24" customHeight="1" x14ac:dyDescent="0.3">
      <c r="B8" s="138"/>
      <c r="C8" s="141"/>
      <c r="D8" s="45" t="s">
        <v>5</v>
      </c>
      <c r="E8" s="39">
        <v>73000</v>
      </c>
      <c r="F8" s="16">
        <v>44449</v>
      </c>
      <c r="G8" s="51">
        <f t="shared" si="0"/>
        <v>12</v>
      </c>
      <c r="H8" s="57">
        <v>12</v>
      </c>
      <c r="I8" s="15">
        <f t="shared" ref="I8:I12" si="1">E8-IFERROR(IF(F8&gt;$K$3,0,IF($K$3&lt;=EOMONTH(F8,H8-1),ROUND(E8/H8,-1)*DATEDIF(F8,$K$3,"m"),E8)),0)</f>
        <v>6120</v>
      </c>
      <c r="J8" s="18">
        <f t="shared" ref="J8:J12" si="2">IFERROR(IF(F8&gt;$K$3,0,IF($K$3&gt;EOMONTH(F8,H8-1),0,IF($K$3=EOMONTH(F8,H8-1),E8-ROUND(E8/H8,-1)*(H8-1),ROUND(E8/H8,-1)))),0)</f>
        <v>6120</v>
      </c>
      <c r="K8" s="19">
        <f t="shared" ref="K8:K12" si="3">I8-J8</f>
        <v>0</v>
      </c>
      <c r="L8" s="76"/>
      <c r="O8" s="31"/>
    </row>
    <row r="9" spans="2:16" ht="24" customHeight="1" x14ac:dyDescent="0.3">
      <c r="B9" s="138"/>
      <c r="C9" s="145"/>
      <c r="D9" s="49" t="s">
        <v>18</v>
      </c>
      <c r="E9" s="41">
        <f>SUM(E6:E8)</f>
        <v>5881200</v>
      </c>
      <c r="F9" s="21"/>
      <c r="G9" s="52" t="str">
        <f t="shared" ref="G9:G13" si="4">IF(OR(F9&gt;$K$3,ISBLANK(F9),DATEDIF(F9,$K$3,"M")+1&gt;H9),"",DATEDIF(F9,$K$3,"M")+1)</f>
        <v/>
      </c>
      <c r="H9" s="22"/>
      <c r="I9" s="20">
        <f t="shared" ref="I9:K9" si="5">SUM(I6:I8)</f>
        <v>974120</v>
      </c>
      <c r="J9" s="23">
        <f t="shared" si="5"/>
        <v>490140</v>
      </c>
      <c r="K9" s="24">
        <f t="shared" si="5"/>
        <v>483980</v>
      </c>
      <c r="L9" s="76"/>
      <c r="O9" s="31"/>
    </row>
    <row r="10" spans="2:16" ht="24" customHeight="1" x14ac:dyDescent="0.3">
      <c r="B10" s="138"/>
      <c r="C10" s="140" t="s">
        <v>16</v>
      </c>
      <c r="D10" s="46" t="s">
        <v>51</v>
      </c>
      <c r="E10" s="40">
        <v>710000</v>
      </c>
      <c r="F10" s="34">
        <v>44562</v>
      </c>
      <c r="G10" s="53">
        <f t="shared" ref="G10:G12" si="6">IF(ISERROR(IF(OR(F10&gt;$K$3,ISBLANK(F10),DATEDIF(F10,$K$3,"M")+1&gt;H10),"",DATEDIF(F10,$K$3,"M")+1)),"",IF(OR(F10&gt;$K$3,ISBLANK(F10),DATEDIF(F10,$K$3,"M")+1&gt;H10),"",DATEDIF(F10,$K$3,"M")+1))</f>
        <v>8</v>
      </c>
      <c r="H10" s="58">
        <v>12</v>
      </c>
      <c r="I10" s="33">
        <f t="shared" si="1"/>
        <v>295810</v>
      </c>
      <c r="J10" s="35">
        <f t="shared" si="2"/>
        <v>59170</v>
      </c>
      <c r="K10" s="36">
        <f t="shared" si="3"/>
        <v>236640</v>
      </c>
      <c r="L10" s="76"/>
      <c r="O10" s="31"/>
    </row>
    <row r="11" spans="2:16" ht="24" customHeight="1" x14ac:dyDescent="0.3">
      <c r="B11" s="138"/>
      <c r="C11" s="160"/>
      <c r="D11" s="48" t="s">
        <v>52</v>
      </c>
      <c r="E11" s="42">
        <v>710000</v>
      </c>
      <c r="F11" s="12">
        <v>44805</v>
      </c>
      <c r="G11" s="50" t="str">
        <f t="shared" si="6"/>
        <v/>
      </c>
      <c r="H11" s="17">
        <v>12</v>
      </c>
      <c r="I11" s="11">
        <f>E11-IFERROR(IF(F11&gt;$K$3,0,IF($K$3&lt;=EOMONTH(F11,H11-1),ROUND(E11/H11,-1)*DATEDIF(F11,$K$3,"m"),E11)),0)</f>
        <v>710000</v>
      </c>
      <c r="J11" s="13">
        <f>IFERROR(IF(F11&gt;$K$3,0,IF($K$3&gt;EOMONTH(F11,H11-1),0,IF($K$3=EOMONTH(F11,H11-1),E11-ROUND(E11/H11,-1)*(H11-1),ROUND(E11/H11,-1)))),0)</f>
        <v>0</v>
      </c>
      <c r="K11" s="14">
        <f>I11-J11</f>
        <v>710000</v>
      </c>
      <c r="L11" s="76"/>
      <c r="O11" s="31"/>
    </row>
    <row r="12" spans="2:16" ht="24" customHeight="1" x14ac:dyDescent="0.3">
      <c r="B12" s="138"/>
      <c r="C12" s="141"/>
      <c r="D12" s="45" t="s">
        <v>53</v>
      </c>
      <c r="E12" s="39">
        <v>810000</v>
      </c>
      <c r="F12" s="16">
        <v>44449</v>
      </c>
      <c r="G12" s="51">
        <f t="shared" si="6"/>
        <v>12</v>
      </c>
      <c r="H12" s="57">
        <v>12</v>
      </c>
      <c r="I12" s="15">
        <f t="shared" si="1"/>
        <v>67500</v>
      </c>
      <c r="J12" s="18">
        <f t="shared" si="2"/>
        <v>67500</v>
      </c>
      <c r="K12" s="19">
        <f t="shared" si="3"/>
        <v>0</v>
      </c>
      <c r="L12" s="76"/>
      <c r="O12" s="31"/>
    </row>
    <row r="13" spans="2:16" ht="24" customHeight="1" x14ac:dyDescent="0.3">
      <c r="B13" s="138"/>
      <c r="C13" s="142"/>
      <c r="D13" s="49" t="s">
        <v>18</v>
      </c>
      <c r="E13" s="41">
        <f>SUM(E10:E12)</f>
        <v>2230000</v>
      </c>
      <c r="F13" s="21"/>
      <c r="G13" s="52" t="str">
        <f t="shared" si="4"/>
        <v/>
      </c>
      <c r="H13" s="22"/>
      <c r="I13" s="20">
        <f t="shared" ref="I13:K13" si="7">SUM(I10:I12)</f>
        <v>1073310</v>
      </c>
      <c r="J13" s="23">
        <f t="shared" si="7"/>
        <v>126670</v>
      </c>
      <c r="K13" s="24">
        <f t="shared" si="7"/>
        <v>946640</v>
      </c>
      <c r="L13" s="76"/>
      <c r="O13" s="31"/>
    </row>
    <row r="14" spans="2:16" ht="24" customHeight="1" x14ac:dyDescent="0.3">
      <c r="B14" s="138"/>
      <c r="C14" s="127" t="s">
        <v>17</v>
      </c>
      <c r="D14" s="66" t="s">
        <v>6</v>
      </c>
      <c r="E14" s="41">
        <v>435600</v>
      </c>
      <c r="F14" s="21">
        <v>44136</v>
      </c>
      <c r="G14" s="52">
        <f>IF(ISERROR(IF(OR(F14&gt;$K$3,ISBLANK(F14),DATEDIF(F14,$K$3,"M")+1&gt;H14),"",DATEDIF(F14,$K$3,"M")+1)),"",IF(OR(F14&gt;$K$3,ISBLANK(F14),DATEDIF(F14,$K$3,"M")+1&gt;H14),"",DATEDIF(F14,$K$3,"M")+1))</f>
        <v>22</v>
      </c>
      <c r="H14" s="22">
        <v>24</v>
      </c>
      <c r="I14" s="20">
        <f>E14-IFERROR(IF(F14&gt;$K$3,0,IF($K$3&lt;=EOMONTH(F14,H14-1),ROUND(E14/H14,-1)*DATEDIF(F14,$K$3,"m"),E14)),0)</f>
        <v>54450</v>
      </c>
      <c r="J14" s="23">
        <f>IFERROR(IF(F14&gt;$K$3,0,IF($K$3&gt;EOMONTH(F14,H14-1),0,IF($K$3=EOMONTH(F14,H14-1),E14-ROUND(E14/H14,-1)*(H14-1),ROUND(E14/H14,-1)))),0)</f>
        <v>18150</v>
      </c>
      <c r="K14" s="24">
        <f>I14-J14</f>
        <v>36300</v>
      </c>
      <c r="L14" s="76"/>
      <c r="O14" s="31"/>
    </row>
    <row r="15" spans="2:16" ht="24" customHeight="1" x14ac:dyDescent="0.3">
      <c r="B15" s="138"/>
      <c r="C15" s="95" t="s">
        <v>15</v>
      </c>
      <c r="D15" s="48" t="s">
        <v>29</v>
      </c>
      <c r="E15" s="42">
        <v>1100000</v>
      </c>
      <c r="F15" s="12">
        <v>44531</v>
      </c>
      <c r="G15" s="55">
        <f t="shared" ref="G15:G18" si="8">IF(ISERROR(IF(OR(F15&gt;$K$3,ISBLANK(F15),DATEDIF(F15,$K$3,"M")+1&gt;H15),"",DATEDIF(F15,$K$3,"M")+1)),"",IF(OR(F15&gt;$K$3,ISBLANK(F15),DATEDIF(F15,$K$3,"M")+1&gt;H15),"",DATEDIF(F15,$K$3,"M")+1))</f>
        <v>9</v>
      </c>
      <c r="H15" s="17">
        <v>36</v>
      </c>
      <c r="I15" s="11">
        <f t="shared" ref="I15:I18" si="9">E15-IFERROR(IF(F15&gt;$K$3,0,IF($K$3&lt;=EOMONTH(F15,H15-1),ROUND(E15/H15,-1)*DATEDIF(F15,$K$3,"m"),E15)),0)</f>
        <v>855520</v>
      </c>
      <c r="J15" s="13">
        <f t="shared" ref="J15:J18" si="10">IFERROR(IF(F15&gt;$K$3,0,IF($K$3&gt;EOMONTH(F15,H15-1),0,IF($K$3=EOMONTH(F15,H15-1),E15-ROUND(E15/H15,-1)*(H15-1),ROUND(E15/H15,-1)))),0)</f>
        <v>30560</v>
      </c>
      <c r="K15" s="14">
        <f t="shared" ref="K15:K18" si="11">I15-J15</f>
        <v>824960</v>
      </c>
      <c r="L15" s="76"/>
      <c r="O15" s="31"/>
    </row>
    <row r="16" spans="2:16" ht="24" customHeight="1" x14ac:dyDescent="0.3">
      <c r="B16" s="138"/>
      <c r="C16" s="161" t="s">
        <v>30</v>
      </c>
      <c r="D16" s="67" t="s">
        <v>24</v>
      </c>
      <c r="E16" s="40">
        <v>2359150</v>
      </c>
      <c r="F16" s="34">
        <v>44469</v>
      </c>
      <c r="G16" s="53">
        <f t="shared" si="8"/>
        <v>12</v>
      </c>
      <c r="H16" s="58">
        <v>12</v>
      </c>
      <c r="I16" s="33">
        <f t="shared" si="9"/>
        <v>196550</v>
      </c>
      <c r="J16" s="35">
        <f t="shared" si="10"/>
        <v>196550</v>
      </c>
      <c r="K16" s="36">
        <f t="shared" si="11"/>
        <v>0</v>
      </c>
      <c r="L16" s="76"/>
      <c r="O16" s="31"/>
      <c r="P16" s="77"/>
    </row>
    <row r="17" spans="1:25" ht="24" customHeight="1" x14ac:dyDescent="0.3">
      <c r="B17" s="138"/>
      <c r="C17" s="162"/>
      <c r="D17" s="128" t="s">
        <v>45</v>
      </c>
      <c r="E17" s="37">
        <v>938630</v>
      </c>
      <c r="F17" s="10">
        <v>44621</v>
      </c>
      <c r="G17" s="50">
        <f t="shared" si="8"/>
        <v>6</v>
      </c>
      <c r="H17" s="8">
        <v>36</v>
      </c>
      <c r="I17" s="1">
        <f t="shared" si="9"/>
        <v>808280</v>
      </c>
      <c r="J17" s="2">
        <f t="shared" si="10"/>
        <v>26070</v>
      </c>
      <c r="K17" s="3">
        <f t="shared" si="11"/>
        <v>782210</v>
      </c>
      <c r="L17" s="76"/>
      <c r="O17" s="31"/>
      <c r="P17" s="77"/>
    </row>
    <row r="18" spans="1:25" ht="24" customHeight="1" x14ac:dyDescent="0.3">
      <c r="B18" s="138"/>
      <c r="C18" s="162"/>
      <c r="D18" s="68" t="s">
        <v>31</v>
      </c>
      <c r="E18" s="38">
        <v>902330</v>
      </c>
      <c r="F18" s="5">
        <v>44501</v>
      </c>
      <c r="G18" s="54">
        <f t="shared" si="8"/>
        <v>10</v>
      </c>
      <c r="H18" s="59">
        <v>12</v>
      </c>
      <c r="I18" s="4">
        <f t="shared" si="9"/>
        <v>225620</v>
      </c>
      <c r="J18" s="6">
        <f t="shared" si="10"/>
        <v>75190</v>
      </c>
      <c r="K18" s="7">
        <f t="shared" si="11"/>
        <v>150430</v>
      </c>
      <c r="L18" s="76"/>
      <c r="O18" s="31"/>
    </row>
    <row r="19" spans="1:25" ht="24" customHeight="1" x14ac:dyDescent="0.3">
      <c r="B19" s="138"/>
      <c r="C19" s="163"/>
      <c r="D19" s="49" t="s">
        <v>18</v>
      </c>
      <c r="E19" s="41">
        <f>SUM(E16:E18)</f>
        <v>4200110</v>
      </c>
      <c r="F19" s="21"/>
      <c r="G19" s="52"/>
      <c r="H19" s="22"/>
      <c r="I19" s="20">
        <f>SUM(I16:I18)</f>
        <v>1230450</v>
      </c>
      <c r="J19" s="23">
        <f t="shared" ref="J19:K19" si="12">SUM(J16:J18)</f>
        <v>297810</v>
      </c>
      <c r="K19" s="24">
        <f t="shared" si="12"/>
        <v>932640</v>
      </c>
      <c r="L19" s="76"/>
      <c r="O19" s="31"/>
    </row>
    <row r="20" spans="1:25" ht="24" customHeight="1" x14ac:dyDescent="0.3">
      <c r="B20" s="138"/>
      <c r="C20" s="146" t="s">
        <v>19</v>
      </c>
      <c r="D20" s="147"/>
      <c r="E20" s="41">
        <f>SUM(E9,E13,E14,E15,E19)</f>
        <v>13846910</v>
      </c>
      <c r="F20" s="21"/>
      <c r="G20" s="52"/>
      <c r="H20" s="22"/>
      <c r="I20" s="20">
        <f t="shared" ref="I20:K20" si="13">SUM(I9,I13,I14,I15,I19)</f>
        <v>4187850</v>
      </c>
      <c r="J20" s="23">
        <f t="shared" si="13"/>
        <v>963330</v>
      </c>
      <c r="K20" s="24">
        <f t="shared" si="13"/>
        <v>3224520</v>
      </c>
      <c r="L20" s="76"/>
    </row>
    <row r="21" spans="1:25" ht="10.5" customHeight="1" x14ac:dyDescent="0.3">
      <c r="A21" s="69"/>
      <c r="B21" s="70"/>
      <c r="C21" s="71"/>
      <c r="D21" s="71"/>
      <c r="E21" s="72"/>
      <c r="F21" s="73"/>
      <c r="G21" s="74"/>
      <c r="H21" s="75"/>
      <c r="I21" s="72"/>
      <c r="J21" s="72"/>
      <c r="K21" s="76"/>
      <c r="L21" s="76"/>
      <c r="M21" s="69"/>
    </row>
    <row r="22" spans="1:25" ht="24" customHeight="1" thickBot="1" x14ac:dyDescent="0.35">
      <c r="A22" s="69"/>
      <c r="B22" s="148"/>
      <c r="C22" s="149"/>
      <c r="D22" s="150"/>
      <c r="E22" s="78" t="s">
        <v>32</v>
      </c>
      <c r="F22" s="86" t="s">
        <v>33</v>
      </c>
      <c r="G22" s="151" t="s">
        <v>4</v>
      </c>
      <c r="H22" s="152"/>
      <c r="I22" s="90" t="s">
        <v>34</v>
      </c>
      <c r="J22" s="83" t="s">
        <v>35</v>
      </c>
      <c r="K22" s="92" t="s">
        <v>36</v>
      </c>
      <c r="L22" s="131"/>
      <c r="M22" s="133" t="s">
        <v>46</v>
      </c>
      <c r="N22" s="25">
        <v>1</v>
      </c>
      <c r="O22" s="25">
        <f>N22+1</f>
        <v>2</v>
      </c>
      <c r="P22" s="25">
        <f t="shared" ref="P22:X22" si="14">O22+1</f>
        <v>3</v>
      </c>
      <c r="Q22" s="25">
        <f t="shared" si="14"/>
        <v>4</v>
      </c>
      <c r="R22" s="25">
        <f t="shared" si="14"/>
        <v>5</v>
      </c>
      <c r="S22" s="25">
        <f t="shared" si="14"/>
        <v>6</v>
      </c>
      <c r="T22" s="25">
        <f t="shared" si="14"/>
        <v>7</v>
      </c>
      <c r="U22" s="25">
        <f t="shared" si="14"/>
        <v>8</v>
      </c>
      <c r="V22" s="25">
        <f>U22+1</f>
        <v>9</v>
      </c>
      <c r="W22" s="25">
        <f t="shared" si="14"/>
        <v>10</v>
      </c>
      <c r="X22" s="25">
        <f t="shared" si="14"/>
        <v>11</v>
      </c>
      <c r="Y22" s="25">
        <f>X22+1</f>
        <v>12</v>
      </c>
    </row>
    <row r="23" spans="1:25" ht="24" customHeight="1" thickTop="1" x14ac:dyDescent="0.3">
      <c r="B23" s="137" t="s">
        <v>14</v>
      </c>
      <c r="C23" s="125" t="s">
        <v>37</v>
      </c>
      <c r="D23" s="126" t="s">
        <v>38</v>
      </c>
      <c r="E23" s="96">
        <v>1200000</v>
      </c>
      <c r="F23" s="97">
        <f t="array" ref="F23">SUM(IF(($N$22:$Y$22=MONTH($K$3))*($L$23:$L$32=ROW()-22),$N$23:$Y$32))</f>
        <v>100000</v>
      </c>
      <c r="G23" s="98">
        <f>MONTH($K$3)</f>
        <v>8</v>
      </c>
      <c r="H23" s="99">
        <v>12</v>
      </c>
      <c r="I23" s="100">
        <f t="array" ref="I23">SUM(IF(($N$22:$Y$22&lt;=MONTH($K$3))*($L$23:$L$32=ROW()-22),$N$23:$Y$32))</f>
        <v>800000</v>
      </c>
      <c r="J23" s="72">
        <f t="array" ref="J23">SUM(IF(($L$34:$L$102=L23)*($M$34:$M$102&lt;=$K$3),$N$34:$N$102))</f>
        <v>626700</v>
      </c>
      <c r="K23" s="101">
        <f>I23-J23</f>
        <v>173300</v>
      </c>
      <c r="L23" s="76">
        <v>1</v>
      </c>
      <c r="M23" s="130">
        <f>SUM(N23:Y23)</f>
        <v>1200000</v>
      </c>
      <c r="N23" s="129">
        <f>ROUND($E23/12,-2)</f>
        <v>100000</v>
      </c>
      <c r="O23" s="129">
        <f t="shared" ref="O23:X26" si="15">ROUND($E23/12,-2)</f>
        <v>100000</v>
      </c>
      <c r="P23" s="129">
        <f t="shared" si="15"/>
        <v>100000</v>
      </c>
      <c r="Q23" s="129">
        <f t="shared" si="15"/>
        <v>100000</v>
      </c>
      <c r="R23" s="129">
        <f t="shared" si="15"/>
        <v>100000</v>
      </c>
      <c r="S23" s="129">
        <f t="shared" si="15"/>
        <v>100000</v>
      </c>
      <c r="T23" s="129">
        <f t="shared" si="15"/>
        <v>100000</v>
      </c>
      <c r="U23" s="129">
        <f t="shared" si="15"/>
        <v>100000</v>
      </c>
      <c r="V23" s="129">
        <f t="shared" si="15"/>
        <v>100000</v>
      </c>
      <c r="W23" s="129">
        <f t="shared" si="15"/>
        <v>100000</v>
      </c>
      <c r="X23" s="129">
        <f t="shared" si="15"/>
        <v>100000</v>
      </c>
      <c r="Y23" s="129">
        <f>E23-SUM(N23:X23)</f>
        <v>100000</v>
      </c>
    </row>
    <row r="24" spans="1:25" ht="24" customHeight="1" x14ac:dyDescent="0.3">
      <c r="B24" s="138"/>
      <c r="C24" s="140" t="s">
        <v>13</v>
      </c>
      <c r="D24" s="46" t="s">
        <v>39</v>
      </c>
      <c r="E24" s="104">
        <v>500000</v>
      </c>
      <c r="F24" s="105">
        <f t="array" ref="F24">SUM(IF(($N$22:$Y$22=MONTH($K$3))*($L$23:$L$32=ROW()-22),$N$23:$Y$32))</f>
        <v>41700</v>
      </c>
      <c r="G24" s="106">
        <f t="shared" ref="G24:G32" si="16">MONTH($K$3)</f>
        <v>8</v>
      </c>
      <c r="H24" s="107">
        <v>12</v>
      </c>
      <c r="I24" s="108">
        <f t="array" ref="I24">SUM(IF(($N$22:$Y$22&lt;=MONTH($K$3))*($L$23:$L$32=ROW()-22),$N$23:$Y$32))</f>
        <v>333600</v>
      </c>
      <c r="J24" s="109">
        <f t="array" ref="J24">SUM(IF(($L$34:$L$102=L24)*($M$34:$M$102&lt;=$K$3),$N$34:$N$102))</f>
        <v>500000</v>
      </c>
      <c r="K24" s="110">
        <f t="shared" ref="K24:K26" si="17">I24-J24</f>
        <v>-166400</v>
      </c>
      <c r="L24" s="76">
        <v>2</v>
      </c>
      <c r="M24" s="130">
        <f t="shared" ref="M24:M26" si="18">SUM(N24:Y24)</f>
        <v>500000</v>
      </c>
      <c r="N24" s="129">
        <f t="shared" ref="N24:N26" si="19">ROUND($E24/12,-2)</f>
        <v>41700</v>
      </c>
      <c r="O24" s="129">
        <f t="shared" si="15"/>
        <v>41700</v>
      </c>
      <c r="P24" s="129">
        <f t="shared" si="15"/>
        <v>41700</v>
      </c>
      <c r="Q24" s="129">
        <f t="shared" si="15"/>
        <v>41700</v>
      </c>
      <c r="R24" s="129">
        <f t="shared" si="15"/>
        <v>41700</v>
      </c>
      <c r="S24" s="129">
        <f t="shared" si="15"/>
        <v>41700</v>
      </c>
      <c r="T24" s="129">
        <f t="shared" si="15"/>
        <v>41700</v>
      </c>
      <c r="U24" s="129">
        <f t="shared" si="15"/>
        <v>41700</v>
      </c>
      <c r="V24" s="129">
        <f t="shared" si="15"/>
        <v>41700</v>
      </c>
      <c r="W24" s="129">
        <f t="shared" si="15"/>
        <v>41700</v>
      </c>
      <c r="X24" s="129">
        <f t="shared" si="15"/>
        <v>41700</v>
      </c>
      <c r="Y24" s="129">
        <f t="shared" ref="Y24:Y26" si="20">E24-SUM(N24:X24)</f>
        <v>41300</v>
      </c>
    </row>
    <row r="25" spans="1:25" ht="24" customHeight="1" x14ac:dyDescent="0.3">
      <c r="B25" s="138"/>
      <c r="C25" s="141"/>
      <c r="D25" s="44" t="s">
        <v>40</v>
      </c>
      <c r="E25" s="80">
        <v>500000</v>
      </c>
      <c r="F25" s="88">
        <f t="array" ref="F25">SUM(IF(($N$22:$Y$22=MONTH($K$3))*($L$23:$L$32=ROW()-22),$N$23:$Y$32))</f>
        <v>41700</v>
      </c>
      <c r="G25" s="82">
        <f t="shared" si="16"/>
        <v>8</v>
      </c>
      <c r="H25" s="81">
        <v>12</v>
      </c>
      <c r="I25" s="89">
        <f t="array" ref="I25">SUM(IF(($N$22:$Y$22&lt;=MONTH($K$3))*($L$23:$L$32=ROW()-22),$N$23:$Y$32))</f>
        <v>333600</v>
      </c>
      <c r="J25" s="85">
        <f t="array" ref="J25">SUM(IF(($L$34:$L$102=L25)*($M$34:$M$102&lt;=$K$3),$N$34:$N$102))</f>
        <v>0</v>
      </c>
      <c r="K25" s="94">
        <f t="shared" si="17"/>
        <v>333600</v>
      </c>
      <c r="L25" s="76">
        <v>3</v>
      </c>
      <c r="M25" s="130">
        <f t="shared" si="18"/>
        <v>500000</v>
      </c>
      <c r="N25" s="129">
        <f t="shared" si="19"/>
        <v>41700</v>
      </c>
      <c r="O25" s="129">
        <f t="shared" si="15"/>
        <v>41700</v>
      </c>
      <c r="P25" s="129">
        <f t="shared" si="15"/>
        <v>41700</v>
      </c>
      <c r="Q25" s="129">
        <f t="shared" si="15"/>
        <v>41700</v>
      </c>
      <c r="R25" s="129">
        <f t="shared" si="15"/>
        <v>41700</v>
      </c>
      <c r="S25" s="129">
        <f t="shared" si="15"/>
        <v>41700</v>
      </c>
      <c r="T25" s="129">
        <f t="shared" si="15"/>
        <v>41700</v>
      </c>
      <c r="U25" s="129">
        <f t="shared" si="15"/>
        <v>41700</v>
      </c>
      <c r="V25" s="129">
        <f t="shared" si="15"/>
        <v>41700</v>
      </c>
      <c r="W25" s="129">
        <f t="shared" si="15"/>
        <v>41700</v>
      </c>
      <c r="X25" s="129">
        <f t="shared" si="15"/>
        <v>41700</v>
      </c>
      <c r="Y25" s="129">
        <f t="shared" si="20"/>
        <v>41300</v>
      </c>
    </row>
    <row r="26" spans="1:25" ht="24" customHeight="1" x14ac:dyDescent="0.3">
      <c r="B26" s="138"/>
      <c r="C26" s="141"/>
      <c r="D26" s="44" t="s">
        <v>41</v>
      </c>
      <c r="E26" s="80">
        <v>80000</v>
      </c>
      <c r="F26" s="88">
        <f t="array" ref="F26">SUM(IF(($N$22:$Y$22=MONTH($K$3))*($L$23:$L$32=ROW()-22),$N$23:$Y$32))</f>
        <v>6700</v>
      </c>
      <c r="G26" s="82">
        <f t="shared" si="16"/>
        <v>8</v>
      </c>
      <c r="H26" s="81">
        <v>12</v>
      </c>
      <c r="I26" s="89">
        <f t="array" ref="I26">SUM(IF(($N$22:$Y$22&lt;=MONTH($K$3))*($L$23:$L$32=ROW()-22),$N$23:$Y$32))</f>
        <v>53600</v>
      </c>
      <c r="J26" s="85">
        <f t="array" ref="J26">SUM(IF(($L$34:$L$102=L26)*($M$34:$M$102&lt;=$K$3),$N$34:$N$102))</f>
        <v>0</v>
      </c>
      <c r="K26" s="94">
        <f t="shared" si="17"/>
        <v>53600</v>
      </c>
      <c r="L26" s="76">
        <v>4</v>
      </c>
      <c r="M26" s="130">
        <f t="shared" si="18"/>
        <v>80000</v>
      </c>
      <c r="N26" s="129">
        <f t="shared" si="19"/>
        <v>6700</v>
      </c>
      <c r="O26" s="129">
        <f t="shared" si="15"/>
        <v>6700</v>
      </c>
      <c r="P26" s="129">
        <f t="shared" si="15"/>
        <v>6700</v>
      </c>
      <c r="Q26" s="129">
        <f t="shared" si="15"/>
        <v>6700</v>
      </c>
      <c r="R26" s="129">
        <f t="shared" si="15"/>
        <v>6700</v>
      </c>
      <c r="S26" s="129">
        <f t="shared" si="15"/>
        <v>6700</v>
      </c>
      <c r="T26" s="129">
        <f t="shared" si="15"/>
        <v>6700</v>
      </c>
      <c r="U26" s="129">
        <f t="shared" si="15"/>
        <v>6700</v>
      </c>
      <c r="V26" s="129">
        <f t="shared" si="15"/>
        <v>6700</v>
      </c>
      <c r="W26" s="129">
        <f t="shared" si="15"/>
        <v>6700</v>
      </c>
      <c r="X26" s="129">
        <f t="shared" si="15"/>
        <v>6700</v>
      </c>
      <c r="Y26" s="129">
        <f t="shared" si="20"/>
        <v>6300</v>
      </c>
    </row>
    <row r="27" spans="1:25" ht="24" customHeight="1" x14ac:dyDescent="0.3">
      <c r="B27" s="138"/>
      <c r="C27" s="142"/>
      <c r="D27" s="49" t="s">
        <v>18</v>
      </c>
      <c r="E27" s="118">
        <f>SUM(E24:E26)</f>
        <v>1080000</v>
      </c>
      <c r="F27" s="119">
        <f>SUM(F24:F26)</f>
        <v>90100</v>
      </c>
      <c r="G27" s="120"/>
      <c r="H27" s="121"/>
      <c r="I27" s="122">
        <f>SUM(I24:I26)</f>
        <v>720800</v>
      </c>
      <c r="J27" s="123">
        <f>SUM(J24:J26)</f>
        <v>500000</v>
      </c>
      <c r="K27" s="124">
        <f>SUM(K24:K26)</f>
        <v>220800</v>
      </c>
      <c r="L27" s="76"/>
    </row>
    <row r="28" spans="1:25" ht="24" customHeight="1" x14ac:dyDescent="0.3">
      <c r="B28" s="138"/>
      <c r="C28" s="143" t="s">
        <v>25</v>
      </c>
      <c r="D28" s="47" t="s">
        <v>23</v>
      </c>
      <c r="E28" s="79">
        <v>700000</v>
      </c>
      <c r="F28" s="87">
        <f t="array" ref="F28">SUM(IF(($N$22:$Y$22=MONTH($K$3))*($L$23:$L$32=ROW()-22),$N$23:$Y$32))</f>
        <v>0</v>
      </c>
      <c r="G28" s="102">
        <f t="shared" si="16"/>
        <v>8</v>
      </c>
      <c r="H28" s="103">
        <v>12</v>
      </c>
      <c r="I28" s="91">
        <f t="array" ref="I28">SUM(IF(($N$22:$Y$22&lt;=MONTH($K$3))*($L$23:$L$32=ROW()-22),$N$23:$Y$32))</f>
        <v>174900</v>
      </c>
      <c r="J28" s="84">
        <f t="array" ref="J28">SUM(IF(($L$34:$L$102=L28)*($M$34:$M$102&lt;=$K$3),$N$34:$N$102))</f>
        <v>36000</v>
      </c>
      <c r="K28" s="93">
        <f t="shared" ref="K28:K31" si="21">I28-J28</f>
        <v>138900</v>
      </c>
      <c r="L28" s="76">
        <v>6</v>
      </c>
      <c r="M28" s="130">
        <f t="shared" ref="M28:M32" si="22">SUM(N28:Y28)</f>
        <v>174900</v>
      </c>
      <c r="N28" s="129">
        <f t="shared" ref="N28:X32" si="23">ROUND($E28/12,-2)</f>
        <v>58300</v>
      </c>
      <c r="O28" s="129">
        <f t="shared" si="23"/>
        <v>58300</v>
      </c>
      <c r="P28" s="129">
        <f t="shared" si="23"/>
        <v>58300</v>
      </c>
      <c r="Q28" s="134"/>
      <c r="R28" s="134"/>
      <c r="S28" s="134"/>
      <c r="T28" s="134"/>
      <c r="U28" s="134"/>
      <c r="V28" s="134"/>
      <c r="W28" s="134"/>
      <c r="X28" s="134"/>
      <c r="Y28" s="134"/>
    </row>
    <row r="29" spans="1:25" ht="24" customHeight="1" x14ac:dyDescent="0.3">
      <c r="B29" s="138"/>
      <c r="C29" s="144"/>
      <c r="D29" s="44" t="s">
        <v>28</v>
      </c>
      <c r="E29" s="80">
        <v>700000</v>
      </c>
      <c r="F29" s="88">
        <f t="array" ref="F29">SUM(IF(($N$22:$Y$22=MONTH($K$3))*($L$23:$L$32=ROW()-22),$N$23:$Y$32))</f>
        <v>58300</v>
      </c>
      <c r="G29" s="82">
        <f t="shared" si="16"/>
        <v>8</v>
      </c>
      <c r="H29" s="81">
        <v>12</v>
      </c>
      <c r="I29" s="89">
        <f t="array" ref="I29">SUM(IF(($N$22:$Y$22&lt;=MONTH($K$3))*($L$23:$L$32=ROW()-22),$N$23:$Y$32))</f>
        <v>466400</v>
      </c>
      <c r="J29" s="85">
        <f t="array" ref="J29">SUM(IF(($L$34:$L$102=L29)*($M$34:$M$102&lt;=$K$3),$N$34:$N$102))</f>
        <v>0</v>
      </c>
      <c r="K29" s="94">
        <f t="shared" si="21"/>
        <v>466400</v>
      </c>
      <c r="L29" s="76">
        <v>7</v>
      </c>
      <c r="M29" s="130">
        <f t="shared" si="22"/>
        <v>700000</v>
      </c>
      <c r="N29" s="129">
        <f t="shared" si="23"/>
        <v>58300</v>
      </c>
      <c r="O29" s="129">
        <f t="shared" si="23"/>
        <v>58300</v>
      </c>
      <c r="P29" s="129">
        <f t="shared" si="23"/>
        <v>58300</v>
      </c>
      <c r="Q29" s="129">
        <f t="shared" si="23"/>
        <v>58300</v>
      </c>
      <c r="R29" s="129">
        <f t="shared" si="23"/>
        <v>58300</v>
      </c>
      <c r="S29" s="129">
        <f t="shared" si="23"/>
        <v>58300</v>
      </c>
      <c r="T29" s="129">
        <f t="shared" si="23"/>
        <v>58300</v>
      </c>
      <c r="U29" s="129">
        <f t="shared" si="23"/>
        <v>58300</v>
      </c>
      <c r="V29" s="129">
        <f t="shared" si="23"/>
        <v>58300</v>
      </c>
      <c r="W29" s="129">
        <f t="shared" si="23"/>
        <v>58300</v>
      </c>
      <c r="X29" s="129">
        <f t="shared" si="23"/>
        <v>58300</v>
      </c>
      <c r="Y29" s="129">
        <f t="shared" ref="Y29:Y32" si="24">E29-SUM(N29:X29)</f>
        <v>58700</v>
      </c>
    </row>
    <row r="30" spans="1:25" ht="24" customHeight="1" x14ac:dyDescent="0.3">
      <c r="B30" s="138"/>
      <c r="C30" s="144"/>
      <c r="D30" s="44" t="s">
        <v>42</v>
      </c>
      <c r="E30" s="80">
        <v>2000000</v>
      </c>
      <c r="F30" s="88">
        <f t="array" ref="F30">SUM(IF(($N$22:$Y$22=MONTH($K$3))*($L$23:$L$32=ROW()-22),$N$23:$Y$32))</f>
        <v>166700</v>
      </c>
      <c r="G30" s="82">
        <f t="shared" si="16"/>
        <v>8</v>
      </c>
      <c r="H30" s="81">
        <v>12</v>
      </c>
      <c r="I30" s="89">
        <f t="array" ref="I30">SUM(IF(($N$22:$Y$22&lt;=MONTH($K$3))*($L$23:$L$32=ROW()-22),$N$23:$Y$32))</f>
        <v>1333600</v>
      </c>
      <c r="J30" s="85">
        <f t="array" ref="J30">SUM(IF(($L$34:$L$102=L30)*($M$34:$M$102&lt;=$K$3),$N$34:$N$102))</f>
        <v>0</v>
      </c>
      <c r="K30" s="94">
        <f t="shared" si="21"/>
        <v>1333600</v>
      </c>
      <c r="L30" s="76">
        <v>8</v>
      </c>
      <c r="M30" s="130">
        <f t="shared" si="22"/>
        <v>2000000</v>
      </c>
      <c r="N30" s="129">
        <f t="shared" si="23"/>
        <v>166700</v>
      </c>
      <c r="O30" s="129">
        <f t="shared" si="23"/>
        <v>166700</v>
      </c>
      <c r="P30" s="129">
        <f t="shared" si="23"/>
        <v>166700</v>
      </c>
      <c r="Q30" s="129">
        <f t="shared" si="23"/>
        <v>166700</v>
      </c>
      <c r="R30" s="129">
        <f t="shared" si="23"/>
        <v>166700</v>
      </c>
      <c r="S30" s="129">
        <f t="shared" si="23"/>
        <v>166700</v>
      </c>
      <c r="T30" s="129">
        <f t="shared" si="23"/>
        <v>166700</v>
      </c>
      <c r="U30" s="129">
        <f t="shared" si="23"/>
        <v>166700</v>
      </c>
      <c r="V30" s="129">
        <f t="shared" si="23"/>
        <v>166700</v>
      </c>
      <c r="W30" s="129">
        <f t="shared" si="23"/>
        <v>166700</v>
      </c>
      <c r="X30" s="129">
        <f t="shared" si="23"/>
        <v>166700</v>
      </c>
      <c r="Y30" s="129">
        <f t="shared" si="24"/>
        <v>166300</v>
      </c>
    </row>
    <row r="31" spans="1:25" ht="24" customHeight="1" x14ac:dyDescent="0.3">
      <c r="B31" s="138"/>
      <c r="C31" s="141"/>
      <c r="D31" s="44" t="s">
        <v>43</v>
      </c>
      <c r="E31" s="80">
        <v>1200000</v>
      </c>
      <c r="F31" s="88">
        <f t="array" ref="F31">SUM(IF(($N$22:$Y$22=MONTH($K$3))*($L$23:$L$32=ROW()-22),$N$23:$Y$32))</f>
        <v>100000</v>
      </c>
      <c r="G31" s="82">
        <f t="shared" si="16"/>
        <v>8</v>
      </c>
      <c r="H31" s="81">
        <v>12</v>
      </c>
      <c r="I31" s="89">
        <f t="array" ref="I31">SUM(IF(($N$22:$Y$22&lt;=MONTH($K$3))*($L$23:$L$32=ROW()-22),$N$23:$Y$32))</f>
        <v>800000</v>
      </c>
      <c r="J31" s="85">
        <f t="array" ref="J31">SUM(IF(($L$34:$L$102=L31)*($M$34:$M$102&lt;=$K$3),$N$34:$N$102))</f>
        <v>0</v>
      </c>
      <c r="K31" s="94">
        <f t="shared" si="21"/>
        <v>800000</v>
      </c>
      <c r="L31" s="76">
        <v>9</v>
      </c>
      <c r="M31" s="130">
        <f t="shared" si="22"/>
        <v>1200000</v>
      </c>
      <c r="N31" s="129">
        <f t="shared" si="23"/>
        <v>100000</v>
      </c>
      <c r="O31" s="129">
        <f t="shared" si="23"/>
        <v>100000</v>
      </c>
      <c r="P31" s="129">
        <f t="shared" si="23"/>
        <v>100000</v>
      </c>
      <c r="Q31" s="129">
        <f t="shared" si="23"/>
        <v>100000</v>
      </c>
      <c r="R31" s="129">
        <f t="shared" si="23"/>
        <v>100000</v>
      </c>
      <c r="S31" s="129">
        <f t="shared" si="23"/>
        <v>100000</v>
      </c>
      <c r="T31" s="129">
        <f t="shared" si="23"/>
        <v>100000</v>
      </c>
      <c r="U31" s="129">
        <f t="shared" si="23"/>
        <v>100000</v>
      </c>
      <c r="V31" s="129">
        <f t="shared" si="23"/>
        <v>100000</v>
      </c>
      <c r="W31" s="129">
        <f t="shared" si="23"/>
        <v>100000</v>
      </c>
      <c r="X31" s="129">
        <f t="shared" si="23"/>
        <v>100000</v>
      </c>
      <c r="Y31" s="129">
        <f t="shared" si="24"/>
        <v>100000</v>
      </c>
    </row>
    <row r="32" spans="1:25" ht="24" customHeight="1" x14ac:dyDescent="0.3">
      <c r="B32" s="138"/>
      <c r="C32" s="141"/>
      <c r="D32" s="45" t="s">
        <v>44</v>
      </c>
      <c r="E32" s="111">
        <v>3600000</v>
      </c>
      <c r="F32" s="112">
        <f t="array" ref="F32">SUM(IF(($N$22:$Y$22=MONTH($K$3))*($L$23:$L$32=ROW()-22),$N$23:$Y$32))</f>
        <v>300000</v>
      </c>
      <c r="G32" s="113">
        <f t="shared" si="16"/>
        <v>8</v>
      </c>
      <c r="H32" s="114">
        <v>12</v>
      </c>
      <c r="I32" s="115">
        <f t="array" ref="I32">SUM(IF(($N$22:$Y$22&lt;=MONTH($K$3))*($L$23:$L$32=ROW()-22),$N$23:$Y$32))</f>
        <v>2400000</v>
      </c>
      <c r="J32" s="116">
        <f t="array" ref="J32">SUM(IF(($L$34:$L$102=L32)*($M$34:$M$102&lt;=$K$3),$N$34:$N$102))</f>
        <v>1271160</v>
      </c>
      <c r="K32" s="117">
        <f>I32-J32</f>
        <v>1128840</v>
      </c>
      <c r="L32" s="76">
        <v>10</v>
      </c>
      <c r="M32" s="130">
        <f t="shared" si="22"/>
        <v>3600000</v>
      </c>
      <c r="N32" s="129">
        <f t="shared" si="23"/>
        <v>300000</v>
      </c>
      <c r="O32" s="129">
        <f t="shared" si="23"/>
        <v>300000</v>
      </c>
      <c r="P32" s="129">
        <f t="shared" si="23"/>
        <v>300000</v>
      </c>
      <c r="Q32" s="129">
        <f t="shared" si="23"/>
        <v>300000</v>
      </c>
      <c r="R32" s="129">
        <f t="shared" si="23"/>
        <v>300000</v>
      </c>
      <c r="S32" s="129">
        <f t="shared" si="23"/>
        <v>300000</v>
      </c>
      <c r="T32" s="129">
        <f t="shared" si="23"/>
        <v>300000</v>
      </c>
      <c r="U32" s="129">
        <f t="shared" si="23"/>
        <v>300000</v>
      </c>
      <c r="V32" s="129">
        <f t="shared" si="23"/>
        <v>300000</v>
      </c>
      <c r="W32" s="129">
        <f t="shared" si="23"/>
        <v>300000</v>
      </c>
      <c r="X32" s="129">
        <f t="shared" si="23"/>
        <v>300000</v>
      </c>
      <c r="Y32" s="129">
        <f t="shared" si="24"/>
        <v>300000</v>
      </c>
    </row>
    <row r="33" spans="2:15" ht="24" customHeight="1" x14ac:dyDescent="0.3">
      <c r="B33" s="138"/>
      <c r="C33" s="145"/>
      <c r="D33" s="49" t="s">
        <v>18</v>
      </c>
      <c r="E33" s="118">
        <f>SUM(E28:E32)</f>
        <v>8200000</v>
      </c>
      <c r="F33" s="122">
        <f>SUM(F28:F32)</f>
        <v>625000</v>
      </c>
      <c r="G33" s="120"/>
      <c r="H33" s="121"/>
      <c r="I33" s="122">
        <f>SUM(I28:I32)</f>
        <v>5174900</v>
      </c>
      <c r="J33" s="123">
        <f>SUM(J28:J32)</f>
        <v>1307160</v>
      </c>
      <c r="K33" s="124">
        <f>SUM(K28:K32)</f>
        <v>3867740</v>
      </c>
      <c r="L33" s="76" t="s">
        <v>47</v>
      </c>
      <c r="M33" s="25" t="s">
        <v>48</v>
      </c>
      <c r="N33" s="25" t="s">
        <v>49</v>
      </c>
      <c r="O33" s="76" t="s">
        <v>50</v>
      </c>
    </row>
    <row r="34" spans="2:15" ht="24" customHeight="1" x14ac:dyDescent="0.3">
      <c r="B34" s="139"/>
      <c r="C34" s="146" t="s">
        <v>20</v>
      </c>
      <c r="D34" s="147"/>
      <c r="E34" s="118">
        <f>SUM(E23,E27,E33)</f>
        <v>10480000</v>
      </c>
      <c r="F34" s="119">
        <f>SUM(F23,F27,F33)</f>
        <v>815100</v>
      </c>
      <c r="G34" s="120"/>
      <c r="H34" s="121"/>
      <c r="I34" s="122">
        <f>SUM(I23,I27,I33)</f>
        <v>6695700</v>
      </c>
      <c r="J34" s="123">
        <f>SUM(J23,J27,J33)</f>
        <v>2433860</v>
      </c>
      <c r="K34" s="124">
        <f>SUM(K23,K27,K33)</f>
        <v>4261840</v>
      </c>
      <c r="L34" s="76">
        <v>1</v>
      </c>
      <c r="M34" s="31">
        <v>44616</v>
      </c>
      <c r="N34" s="25">
        <v>27500</v>
      </c>
    </row>
    <row r="35" spans="2:15" x14ac:dyDescent="0.3">
      <c r="D35" s="64"/>
      <c r="L35" s="76">
        <v>1</v>
      </c>
      <c r="M35" s="31">
        <v>44652</v>
      </c>
      <c r="N35" s="25">
        <v>39200</v>
      </c>
    </row>
    <row r="36" spans="2:15" x14ac:dyDescent="0.3">
      <c r="D36" s="64"/>
      <c r="L36" s="76">
        <v>1</v>
      </c>
      <c r="M36" s="31">
        <v>44659</v>
      </c>
      <c r="N36" s="25">
        <v>39200</v>
      </c>
    </row>
    <row r="37" spans="2:15" x14ac:dyDescent="0.3">
      <c r="L37" s="76">
        <v>2</v>
      </c>
      <c r="M37" s="31">
        <v>44680</v>
      </c>
      <c r="N37" s="25">
        <v>500000</v>
      </c>
    </row>
    <row r="38" spans="2:15" x14ac:dyDescent="0.3">
      <c r="L38" s="76">
        <v>1</v>
      </c>
      <c r="M38" s="31">
        <v>44680</v>
      </c>
      <c r="N38" s="25">
        <v>110000</v>
      </c>
    </row>
    <row r="39" spans="2:15" x14ac:dyDescent="0.3">
      <c r="L39" s="76">
        <v>1</v>
      </c>
      <c r="M39" s="31">
        <v>44680</v>
      </c>
      <c r="N39" s="25">
        <v>110000</v>
      </c>
    </row>
    <row r="40" spans="2:15" x14ac:dyDescent="0.3">
      <c r="L40" s="76">
        <v>6</v>
      </c>
      <c r="M40" s="31">
        <v>44662</v>
      </c>
      <c r="N40" s="25">
        <v>36000</v>
      </c>
    </row>
    <row r="41" spans="2:15" x14ac:dyDescent="0.3">
      <c r="L41" s="76">
        <v>10</v>
      </c>
      <c r="M41" s="31">
        <v>44695</v>
      </c>
      <c r="N41" s="25">
        <v>42000</v>
      </c>
    </row>
    <row r="42" spans="2:15" x14ac:dyDescent="0.3">
      <c r="L42" s="76">
        <v>10</v>
      </c>
      <c r="M42" s="31">
        <v>44697</v>
      </c>
      <c r="N42" s="25">
        <v>11000</v>
      </c>
    </row>
    <row r="43" spans="2:15" x14ac:dyDescent="0.3">
      <c r="L43" s="76">
        <v>1</v>
      </c>
      <c r="M43" s="31">
        <v>44711</v>
      </c>
      <c r="N43" s="25">
        <v>17000</v>
      </c>
    </row>
    <row r="44" spans="2:15" x14ac:dyDescent="0.3">
      <c r="L44" s="76">
        <v>10</v>
      </c>
      <c r="M44" s="31">
        <v>44712</v>
      </c>
      <c r="N44" s="25">
        <v>703600</v>
      </c>
    </row>
    <row r="45" spans="2:15" x14ac:dyDescent="0.3">
      <c r="L45" s="76">
        <v>10</v>
      </c>
      <c r="M45" s="31">
        <v>44719</v>
      </c>
      <c r="N45" s="25">
        <v>10000</v>
      </c>
    </row>
    <row r="46" spans="2:15" x14ac:dyDescent="0.3">
      <c r="L46" s="76">
        <v>1</v>
      </c>
      <c r="M46" s="31">
        <v>44721</v>
      </c>
      <c r="N46" s="25">
        <v>64900</v>
      </c>
    </row>
    <row r="47" spans="2:15" x14ac:dyDescent="0.3">
      <c r="L47" s="76">
        <v>10</v>
      </c>
      <c r="M47" s="31">
        <v>44742</v>
      </c>
      <c r="N47" s="25">
        <v>165000</v>
      </c>
    </row>
    <row r="48" spans="2:15" x14ac:dyDescent="0.3">
      <c r="L48" s="76">
        <v>1</v>
      </c>
      <c r="M48" s="31">
        <v>44747</v>
      </c>
      <c r="N48" s="25">
        <v>10000</v>
      </c>
    </row>
    <row r="49" spans="12:14" x14ac:dyDescent="0.3">
      <c r="L49" s="76">
        <v>1</v>
      </c>
      <c r="M49" s="31">
        <v>44749</v>
      </c>
      <c r="N49" s="25">
        <v>33000</v>
      </c>
    </row>
    <row r="50" spans="12:14" x14ac:dyDescent="0.3">
      <c r="L50" s="76">
        <v>1</v>
      </c>
      <c r="M50" s="31">
        <v>44749</v>
      </c>
      <c r="N50" s="25">
        <v>11000</v>
      </c>
    </row>
    <row r="51" spans="12:14" x14ac:dyDescent="0.3">
      <c r="L51" s="76">
        <v>1</v>
      </c>
      <c r="M51" s="31">
        <v>44749</v>
      </c>
      <c r="N51" s="25">
        <v>20200</v>
      </c>
    </row>
    <row r="52" spans="12:14" x14ac:dyDescent="0.3">
      <c r="L52" s="76">
        <v>1</v>
      </c>
      <c r="M52" s="31">
        <v>44749</v>
      </c>
      <c r="N52" s="25">
        <v>42600</v>
      </c>
    </row>
    <row r="53" spans="12:14" x14ac:dyDescent="0.3">
      <c r="L53" s="76">
        <v>10</v>
      </c>
      <c r="M53" s="31">
        <v>44749</v>
      </c>
      <c r="N53" s="25">
        <v>95260</v>
      </c>
    </row>
    <row r="54" spans="12:14" x14ac:dyDescent="0.3">
      <c r="L54" s="76">
        <v>10</v>
      </c>
      <c r="M54" s="31">
        <v>44755</v>
      </c>
      <c r="N54" s="25">
        <v>4500</v>
      </c>
    </row>
    <row r="55" spans="12:14" x14ac:dyDescent="0.3">
      <c r="L55" s="76">
        <v>1</v>
      </c>
      <c r="M55" s="31">
        <v>44763</v>
      </c>
      <c r="N55" s="25">
        <v>43500</v>
      </c>
    </row>
    <row r="56" spans="12:14" x14ac:dyDescent="0.3">
      <c r="L56" s="76">
        <v>10</v>
      </c>
      <c r="M56" s="31">
        <v>44771</v>
      </c>
      <c r="N56" s="25">
        <v>110000</v>
      </c>
    </row>
    <row r="57" spans="12:14" x14ac:dyDescent="0.3">
      <c r="L57" s="76">
        <v>10</v>
      </c>
      <c r="M57" s="31">
        <v>44774</v>
      </c>
      <c r="N57" s="25">
        <v>129800</v>
      </c>
    </row>
    <row r="58" spans="12:14" x14ac:dyDescent="0.3">
      <c r="L58" s="76">
        <v>1</v>
      </c>
      <c r="M58" s="31">
        <v>44775</v>
      </c>
      <c r="N58" s="25">
        <v>17600</v>
      </c>
    </row>
    <row r="59" spans="12:14" x14ac:dyDescent="0.3">
      <c r="L59" s="76">
        <v>1</v>
      </c>
      <c r="M59" s="31">
        <v>44789</v>
      </c>
      <c r="N59" s="25">
        <v>41000</v>
      </c>
    </row>
  </sheetData>
  <mergeCells count="14">
    <mergeCell ref="I4:K4"/>
    <mergeCell ref="G22:H22"/>
    <mergeCell ref="B4:D5"/>
    <mergeCell ref="G5:H5"/>
    <mergeCell ref="B6:B20"/>
    <mergeCell ref="C6:C9"/>
    <mergeCell ref="C10:C13"/>
    <mergeCell ref="C16:C19"/>
    <mergeCell ref="C20:D20"/>
    <mergeCell ref="B23:B34"/>
    <mergeCell ref="C24:C27"/>
    <mergeCell ref="C28:C33"/>
    <mergeCell ref="C34:D34"/>
    <mergeCell ref="B22:D22"/>
  </mergeCells>
  <phoneticPr fontId="2" type="noConversion"/>
  <printOptions horizontalCentered="1"/>
  <pageMargins left="0.11811023622047245" right="0.11811023622047245" top="1.1399999999999999" bottom="0.55118110236220474" header="0.31496062992125984" footer="0.31496062992125984"/>
  <pageSetup paperSize="9" scale="7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Spinner 1">
              <controlPr defaultSize="0" autoPict="0">
                <anchor moveWithCells="1" sizeWithCells="1">
                  <from>
                    <xdr:col>10</xdr:col>
                    <xdr:colOff>742950</xdr:colOff>
                    <xdr:row>2</xdr:row>
                    <xdr:rowOff>0</xdr:rowOff>
                  </from>
                  <to>
                    <xdr:col>11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보고서</vt:lpstr>
      <vt:lpstr>보고서!Print_Area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YIMMUNGYU</dc:creator>
  <cp:lastModifiedBy>YIMMUNGYU</cp:lastModifiedBy>
  <cp:lastPrinted>2022-09-01T01:26:35Z</cp:lastPrinted>
  <dcterms:created xsi:type="dcterms:W3CDTF">2021-01-02T15:56:04Z</dcterms:created>
  <dcterms:modified xsi:type="dcterms:W3CDTF">2022-09-16T23:25:33Z</dcterms:modified>
</cp:coreProperties>
</file>