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00 - 임금명세서\"/>
    </mc:Choice>
  </mc:AlternateContent>
  <xr:revisionPtr revIDLastSave="0" documentId="13_ncr:1_{9A4C6C4F-BF23-4E2A-AB48-082D1E0672C5}" xr6:coauthVersionLast="47" xr6:coauthVersionMax="47" xr10:uidLastSave="{00000000-0000-0000-0000-000000000000}"/>
  <bookViews>
    <workbookView xWindow="-60" yWindow="-60" windowWidth="28920" windowHeight="16320" xr2:uid="{8D7ECD46-50A9-4A72-8574-A3EE0BCB9012}"/>
  </bookViews>
  <sheets>
    <sheet name="요율공제액 (상한 하한적용)" sheetId="5" r:id="rId1"/>
    <sheet name="일용직대장" sheetId="4" r:id="rId2"/>
    <sheet name="산재보험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4" i="5"/>
  <c r="I42" i="5"/>
  <c r="J42" i="5" s="1"/>
  <c r="F42" i="5"/>
  <c r="G42" i="5" s="1"/>
  <c r="I41" i="5"/>
  <c r="F41" i="5"/>
  <c r="G37" i="5"/>
  <c r="F37" i="5"/>
  <c r="G36" i="5"/>
  <c r="F36" i="5"/>
  <c r="C32" i="5"/>
  <c r="C31" i="5"/>
  <c r="D29" i="5"/>
  <c r="C29" i="5"/>
  <c r="O28" i="5"/>
  <c r="D28" i="5"/>
  <c r="C28" i="5"/>
  <c r="O24" i="5"/>
  <c r="O26" i="5" s="1"/>
  <c r="O29" i="5" s="1"/>
  <c r="E24" i="5"/>
  <c r="D24" i="5"/>
  <c r="D25" i="5" s="1"/>
  <c r="L18" i="5"/>
  <c r="K18" i="5" s="1"/>
  <c r="L17" i="5"/>
  <c r="K15" i="5"/>
  <c r="M13" i="5"/>
  <c r="F24" i="5" s="1"/>
  <c r="F26" i="5" s="1"/>
  <c r="N25" i="5" s="1"/>
  <c r="N28" i="5" s="1"/>
  <c r="N12" i="5"/>
  <c r="O12" i="5" s="1"/>
  <c r="N11" i="5"/>
  <c r="O11" i="5" s="1"/>
  <c r="N10" i="5"/>
  <c r="O10" i="5" s="1"/>
  <c r="N9" i="5"/>
  <c r="O9" i="5" s="1"/>
  <c r="N8" i="5"/>
  <c r="M8" i="5"/>
  <c r="C27" i="5" l="1"/>
  <c r="O8" i="5"/>
  <c r="O13" i="5" s="1"/>
  <c r="J41" i="5"/>
  <c r="K41" i="5" s="1"/>
  <c r="C26" i="5"/>
  <c r="D26" i="5" s="1"/>
  <c r="N13" i="5"/>
  <c r="N24" i="5" s="1"/>
  <c r="N27" i="5" s="1"/>
  <c r="K42" i="5"/>
  <c r="M24" i="5"/>
  <c r="M27" i="5" s="1"/>
  <c r="O27" i="5"/>
  <c r="H42" i="5"/>
  <c r="G41" i="5"/>
  <c r="H41" i="5" s="1"/>
  <c r="AJ5" i="4"/>
  <c r="AJ6" i="4"/>
  <c r="AM6" i="4" s="1"/>
  <c r="AJ7" i="4"/>
  <c r="AJ8" i="4"/>
  <c r="AJ9" i="4"/>
  <c r="AJ10" i="4"/>
  <c r="AM10" i="4" s="1"/>
  <c r="AJ4" i="4"/>
  <c r="AR11" i="4"/>
  <c r="AS11" i="4"/>
  <c r="AP2" i="4"/>
  <c r="AO2" i="4"/>
  <c r="AM9" i="4"/>
  <c r="AM8" i="4"/>
  <c r="AM7" i="4"/>
  <c r="AM5" i="4"/>
  <c r="AM4" i="4"/>
  <c r="AQ2" i="4"/>
  <c r="AN2" i="4"/>
  <c r="N26" i="5" l="1"/>
  <c r="N29" i="5" s="1"/>
  <c r="AP4" i="4"/>
  <c r="AX4" i="4" s="1"/>
  <c r="BA4" i="4" s="1"/>
  <c r="AN4" i="4"/>
  <c r="AO4" i="4" s="1"/>
  <c r="AQ9" i="4"/>
  <c r="M25" i="5"/>
  <c r="M28" i="5" s="1"/>
  <c r="D32" i="5"/>
  <c r="D31" i="5"/>
  <c r="L24" i="5"/>
  <c r="I26" i="5"/>
  <c r="AP6" i="4"/>
  <c r="AX6" i="4" s="1"/>
  <c r="BA6" i="4" s="1"/>
  <c r="AP7" i="4"/>
  <c r="AX7" i="4" s="1"/>
  <c r="BA7" i="4" s="1"/>
  <c r="AN10" i="4"/>
  <c r="AO10" i="4" s="1"/>
  <c r="AW10" i="4" s="1"/>
  <c r="AN6" i="4"/>
  <c r="AO6" i="4" s="1"/>
  <c r="AW6" i="4" s="1"/>
  <c r="AN5" i="4"/>
  <c r="AO5" i="4" s="1"/>
  <c r="AN9" i="4"/>
  <c r="AO9" i="4" s="1"/>
  <c r="AW9" i="4" s="1"/>
  <c r="AZ9" i="4" s="1"/>
  <c r="AQ8" i="4"/>
  <c r="AQ4" i="4"/>
  <c r="AP8" i="4"/>
  <c r="AQ10" i="4"/>
  <c r="AP9" i="4"/>
  <c r="AN8" i="4"/>
  <c r="AN7" i="4"/>
  <c r="AQ5" i="4"/>
  <c r="AP10" i="4"/>
  <c r="AQ7" i="4"/>
  <c r="AQ6" i="4"/>
  <c r="AP5" i="4"/>
  <c r="AM11" i="4"/>
  <c r="AT4" i="4" l="1"/>
  <c r="AU4" i="4" s="1"/>
  <c r="AW4" i="4"/>
  <c r="AZ4" i="4" s="1"/>
  <c r="M26" i="5"/>
  <c r="M29" i="5" s="1"/>
  <c r="L25" i="5"/>
  <c r="L26" i="5" s="1"/>
  <c r="L29" i="5" s="1"/>
  <c r="L27" i="5"/>
  <c r="P24" i="5"/>
  <c r="AW5" i="4"/>
  <c r="AZ5" i="4" s="1"/>
  <c r="AZ6" i="4"/>
  <c r="AN11" i="4"/>
  <c r="AZ10" i="4"/>
  <c r="AX8" i="4"/>
  <c r="BA8" i="4" s="1"/>
  <c r="AX10" i="4"/>
  <c r="BA10" i="4" s="1"/>
  <c r="AO8" i="4"/>
  <c r="AO7" i="4"/>
  <c r="AX5" i="4"/>
  <c r="BA5" i="4" s="1"/>
  <c r="AX9" i="4"/>
  <c r="BA9" i="4" s="1"/>
  <c r="AP11" i="4"/>
  <c r="AT6" i="4"/>
  <c r="AU6" i="4" s="1"/>
  <c r="AT10" i="4"/>
  <c r="AU10" i="4" s="1"/>
  <c r="AT9" i="4"/>
  <c r="AU9" i="4" s="1"/>
  <c r="AQ11" i="4"/>
  <c r="AT5" i="4"/>
  <c r="AU5" i="4" s="1"/>
  <c r="P27" i="5" l="1"/>
  <c r="P25" i="5"/>
  <c r="L28" i="5"/>
  <c r="AX11" i="4"/>
  <c r="AX13" i="4" s="1"/>
  <c r="BA11" i="4"/>
  <c r="AT7" i="4"/>
  <c r="AU7" i="4" s="1"/>
  <c r="AO11" i="4"/>
  <c r="AW8" i="4"/>
  <c r="AZ8" i="4" s="1"/>
  <c r="AT8" i="4"/>
  <c r="AU8" i="4" s="1"/>
  <c r="AW7" i="4"/>
  <c r="P28" i="5" l="1"/>
  <c r="S25" i="5"/>
  <c r="P26" i="5"/>
  <c r="P29" i="5" s="1"/>
  <c r="AU11" i="4"/>
  <c r="AX14" i="4"/>
  <c r="AT11" i="4"/>
  <c r="AW11" i="4"/>
  <c r="AW13" i="4" s="1"/>
  <c r="AZ7" i="4"/>
  <c r="AZ11" i="4" s="1"/>
  <c r="AW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23" authorId="0" shapeId="0" xr:uid="{16303D65-2435-4F2F-A66C-C482963F8F9A}">
      <text>
        <r>
          <rPr>
            <b/>
            <sz val="9"/>
            <color indexed="81"/>
            <rFont val="돋움"/>
            <family val="3"/>
            <charset val="129"/>
          </rPr>
          <t>보수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월소득월액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천원미만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절사</t>
        </r>
      </text>
    </comment>
    <comment ref="G23" authorId="0" shapeId="0" xr:uid="{B80D1B58-8FEF-4A47-85F6-AF43189D7730}">
      <text>
        <r>
          <rPr>
            <b/>
            <sz val="9"/>
            <color indexed="81"/>
            <rFont val="돋움"/>
            <family val="3"/>
            <charset val="129"/>
          </rPr>
          <t>상용직은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근로소득간이세액표</t>
        </r>
        <r>
          <rPr>
            <b/>
            <sz val="9"/>
            <color indexed="81"/>
            <rFont val="Tahoma"/>
            <family val="2"/>
          </rPr>
          <t>(hometax-&gt;</t>
        </r>
        <r>
          <rPr>
            <b/>
            <sz val="9"/>
            <color indexed="81"/>
            <rFont val="돋움"/>
            <family val="3"/>
            <charset val="129"/>
          </rPr>
          <t>조회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발급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 xml:space="preserve">근로소득간이세액표
</t>
        </r>
        <r>
          <rPr>
            <b/>
            <sz val="9"/>
            <color indexed="81"/>
            <rFont val="Tahoma"/>
            <family val="2"/>
          </rPr>
          <t xml:space="preserve">https://www.hometax.go.kr/websquare/websquare.wq?w2xPath=/ui/pp/index_pp.xml
</t>
        </r>
      </text>
    </comment>
  </commentList>
</comments>
</file>

<file path=xl/sharedStrings.xml><?xml version="1.0" encoding="utf-8"?>
<sst xmlns="http://schemas.openxmlformats.org/spreadsheetml/2006/main" count="112" uniqueCount="77">
  <si>
    <t>건강보험</t>
    <phoneticPr fontId="2" type="noConversion"/>
  </si>
  <si>
    <t>요양보험</t>
    <phoneticPr fontId="2" type="noConversion"/>
  </si>
  <si>
    <t>보수</t>
    <phoneticPr fontId="2" type="noConversion"/>
  </si>
  <si>
    <t>국민연금</t>
    <phoneticPr fontId="2" type="noConversion"/>
  </si>
  <si>
    <t>고용보험</t>
    <phoneticPr fontId="2" type="noConversion"/>
  </si>
  <si>
    <t>차인
지급액
(이체액)</t>
    <phoneticPr fontId="2" type="noConversion"/>
  </si>
  <si>
    <t>회사부담분</t>
    <phoneticPr fontId="2" type="noConversion"/>
  </si>
  <si>
    <t>구분</t>
    <phoneticPr fontId="2" type="noConversion"/>
  </si>
  <si>
    <t>직원부담분</t>
    <phoneticPr fontId="2" type="noConversion"/>
  </si>
  <si>
    <t>산재보험</t>
    <phoneticPr fontId="2" type="noConversion"/>
  </si>
  <si>
    <t>신고납부액</t>
    <phoneticPr fontId="2" type="noConversion"/>
  </si>
  <si>
    <t>https://cafe.daum.net/transtax/FWkz/200</t>
    <phoneticPr fontId="2" type="noConversion"/>
  </si>
  <si>
    <t>2019.10.1.부터</t>
    <phoneticPr fontId="2" type="noConversion"/>
  </si>
  <si>
    <t>실업급여</t>
    <phoneticPr fontId="2" type="noConversion"/>
  </si>
  <si>
    <t>근로자</t>
    <phoneticPr fontId="2" type="noConversion"/>
  </si>
  <si>
    <t>사업주</t>
    <phoneticPr fontId="2" type="noConversion"/>
  </si>
  <si>
    <t>소계</t>
    <phoneticPr fontId="2" type="noConversion"/>
  </si>
  <si>
    <t>150인 미만기업</t>
    <phoneticPr fontId="2" type="noConversion"/>
  </si>
  <si>
    <r>
      <t xml:space="preserve">150인 이상
</t>
    </r>
    <r>
      <rPr>
        <sz val="10"/>
        <color theme="1"/>
        <rFont val="맑은 고딕"/>
        <family val="3"/>
        <charset val="129"/>
        <scheme val="minor"/>
      </rPr>
      <t>(우선지원대상기업)</t>
    </r>
    <phoneticPr fontId="2" type="noConversion"/>
  </si>
  <si>
    <t>150인이상~1000인
미만 기업</t>
    <phoneticPr fontId="2" type="noConversion"/>
  </si>
  <si>
    <t>1000인 이상
기업,국가·지방자치단체</t>
    <phoneticPr fontId="2" type="noConversion"/>
  </si>
  <si>
    <t>고용안정,
직업능력
개발사업</t>
    <phoneticPr fontId="2" type="noConversion"/>
  </si>
  <si>
    <t>계</t>
    <phoneticPr fontId="2" type="noConversion"/>
  </si>
  <si>
    <t>업종별 요율(근로복지공단문의)</t>
    <phoneticPr fontId="2" type="noConversion"/>
  </si>
  <si>
    <t>https://www.kcomwel.or.kr/kcomwel/paym/paym/tari.jsp</t>
    <phoneticPr fontId="2" type="noConversion"/>
  </si>
  <si>
    <t>산재보험요율</t>
    <phoneticPr fontId="2" type="noConversion"/>
  </si>
  <si>
    <t>근로복지공단에 문의</t>
    <phoneticPr fontId="2" type="noConversion"/>
  </si>
  <si>
    <t>합계</t>
    <phoneticPr fontId="2" type="noConversion"/>
  </si>
  <si>
    <t>신규입사자 2일이후 입사</t>
    <phoneticPr fontId="2" type="noConversion"/>
  </si>
  <si>
    <t>일용직포함   입사월 제외</t>
    <phoneticPr fontId="2" type="noConversion"/>
  </si>
  <si>
    <t>건설업 1년이상 계속 근무여부 확인 (1년이상 근무 일용직 -&gt; 상용직으로)</t>
    <phoneticPr fontId="2" type="noConversion"/>
  </si>
  <si>
    <t>https://cafe.daum.net/transtax/QJhz/35</t>
    <phoneticPr fontId="2" type="noConversion"/>
  </si>
  <si>
    <t>국민연금
(60세)</t>
    <phoneticPr fontId="2" type="noConversion"/>
  </si>
  <si>
    <t>60시간</t>
    <phoneticPr fontId="2" type="noConversion"/>
  </si>
  <si>
    <t>8일이상 or</t>
    <phoneticPr fontId="2" type="noConversion"/>
  </si>
  <si>
    <t>(일용직 日15만공제)
일당지급액 187,030원
초과액</t>
    <phoneticPr fontId="2" type="noConversion"/>
  </si>
  <si>
    <t>근로(2.7%)
소득세</t>
    <phoneticPr fontId="2" type="noConversion"/>
  </si>
  <si>
    <t>지방(0.27%)
소득세</t>
    <phoneticPr fontId="2" type="noConversion"/>
  </si>
  <si>
    <t>구분</t>
  </si>
  <si>
    <t>성명</t>
  </si>
  <si>
    <t>일수</t>
  </si>
  <si>
    <t>공수</t>
  </si>
  <si>
    <t xml:space="preserve"> 단가 </t>
  </si>
  <si>
    <t xml:space="preserve"> 금액 </t>
  </si>
  <si>
    <t>보온</t>
    <phoneticPr fontId="2" type="noConversion"/>
  </si>
  <si>
    <t>조공</t>
    <phoneticPr fontId="2" type="noConversion"/>
  </si>
  <si>
    <t>배관</t>
  </si>
  <si>
    <t>근로
소득세</t>
    <phoneticPr fontId="2" type="noConversion"/>
  </si>
  <si>
    <t>지방
소득세</t>
    <phoneticPr fontId="2" type="noConversion"/>
  </si>
  <si>
    <t>공제계</t>
    <phoneticPr fontId="2" type="noConversion"/>
  </si>
  <si>
    <t>차인지급액</t>
    <phoneticPr fontId="2" type="noConversion"/>
  </si>
  <si>
    <t>납부 계</t>
    <phoneticPr fontId="2" type="noConversion"/>
  </si>
  <si>
    <t>손예진</t>
    <phoneticPr fontId="2" type="noConversion"/>
  </si>
  <si>
    <t>이연희</t>
    <phoneticPr fontId="2" type="noConversion"/>
  </si>
  <si>
    <t>현장명</t>
    <phoneticPr fontId="2" type="noConversion"/>
  </si>
  <si>
    <t>귀속월</t>
    <phoneticPr fontId="2" type="noConversion"/>
  </si>
  <si>
    <t>전효성</t>
    <phoneticPr fontId="2" type="noConversion"/>
  </si>
  <si>
    <t>김태희</t>
    <phoneticPr fontId="2" type="noConversion"/>
  </si>
  <si>
    <t>문채원</t>
    <phoneticPr fontId="2" type="noConversion"/>
  </si>
  <si>
    <t>진기주</t>
    <phoneticPr fontId="2" type="noConversion"/>
  </si>
  <si>
    <t>고아성</t>
    <phoneticPr fontId="2" type="noConversion"/>
  </si>
  <si>
    <t>2021년</t>
    <phoneticPr fontId="2" type="noConversion"/>
  </si>
  <si>
    <t>상한</t>
    <phoneticPr fontId="2" type="noConversion"/>
  </si>
  <si>
    <t>하한</t>
    <phoneticPr fontId="2" type="noConversion"/>
  </si>
  <si>
    <t>하한액</t>
    <phoneticPr fontId="2" type="noConversion"/>
  </si>
  <si>
    <t>상한액</t>
    <phoneticPr fontId="2" type="noConversion"/>
  </si>
  <si>
    <t>건강보험료</t>
    <phoneticPr fontId="2" type="noConversion"/>
  </si>
  <si>
    <t>2021.7.1.</t>
    <phoneticPr fontId="2" type="noConversion"/>
  </si>
  <si>
    <t>건강보험 보수월액</t>
    <phoneticPr fontId="2" type="noConversion"/>
  </si>
  <si>
    <t>요양보험료</t>
    <phoneticPr fontId="2" type="noConversion"/>
  </si>
  <si>
    <t>연도
/보수월액</t>
    <phoneticPr fontId="2" type="noConversion"/>
  </si>
  <si>
    <t>국민연금보험료</t>
    <phoneticPr fontId="2" type="noConversion"/>
  </si>
  <si>
    <t>2022년</t>
    <phoneticPr fontId="2" type="noConversion"/>
  </si>
  <si>
    <t>2022.7.1.</t>
    <phoneticPr fontId="2" type="noConversion"/>
  </si>
  <si>
    <t>향후 확인</t>
    <phoneticPr fontId="2" type="noConversion"/>
  </si>
  <si>
    <t>근로소득세</t>
    <phoneticPr fontId="2" type="noConversion"/>
  </si>
  <si>
    <t>지방소득세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</si>
</sst>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00%"/>
    <numFmt numFmtId="177" formatCode="0.00000%"/>
    <numFmt numFmtId="178" formatCode="0.0%"/>
    <numFmt numFmtId="179" formatCode="0.000000%"/>
    <numFmt numFmtId="180" formatCode="0.0000000%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rgb="FF000000"/>
      <name val="Malgun Gothic"/>
      <family val="3"/>
      <charset val="129"/>
    </font>
    <font>
      <sz val="11"/>
      <color theme="0"/>
      <name val="맑은 고딕"/>
      <family val="2"/>
      <charset val="129"/>
      <scheme val="minor"/>
    </font>
    <font>
      <sz val="11"/>
      <color theme="8"/>
      <name val="맑은 고딕"/>
      <family val="2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3" fontId="6" fillId="3" borderId="1" xfId="0" applyNumberFormat="1" applyFont="1" applyFill="1" applyBorder="1">
      <alignment vertical="center"/>
    </xf>
    <xf numFmtId="0" fontId="0" fillId="4" borderId="4" xfId="0" applyFill="1" applyBorder="1">
      <alignment vertical="center"/>
    </xf>
    <xf numFmtId="3" fontId="0" fillId="5" borderId="1" xfId="0" applyNumberFormat="1" applyFill="1" applyBorder="1">
      <alignment vertical="center"/>
    </xf>
    <xf numFmtId="3" fontId="0" fillId="5" borderId="4" xfId="0" applyNumberFormat="1" applyFill="1" applyBorder="1">
      <alignment vertical="center"/>
    </xf>
    <xf numFmtId="0" fontId="7" fillId="0" borderId="0" xfId="3">
      <alignment vertical="center"/>
    </xf>
    <xf numFmtId="0" fontId="0" fillId="0" borderId="0" xfId="0" quotePrefix="1">
      <alignment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0" fillId="0" borderId="1" xfId="2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6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0" fillId="5" borderId="1" xfId="0" applyNumberFormat="1" applyFill="1" applyBorder="1">
      <alignment vertical="center"/>
    </xf>
    <xf numFmtId="177" fontId="0" fillId="5" borderId="1" xfId="0" applyNumberFormat="1" applyFill="1" applyBorder="1">
      <alignment vertical="center"/>
    </xf>
    <xf numFmtId="41" fontId="10" fillId="2" borderId="1" xfId="1" applyFont="1" applyFill="1" applyBorder="1">
      <alignment vertical="center"/>
    </xf>
    <xf numFmtId="178" fontId="4" fillId="0" borderId="0" xfId="2" applyNumberFormat="1" applyFont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10" fontId="0" fillId="0" borderId="0" xfId="2" applyNumberFormat="1" applyFont="1">
      <alignment vertical="center"/>
    </xf>
    <xf numFmtId="176" fontId="0" fillId="0" borderId="0" xfId="2" applyNumberFormat="1" applyFo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3" fontId="0" fillId="0" borderId="18" xfId="0" applyNumberFormat="1" applyBorder="1">
      <alignment vertical="center"/>
    </xf>
    <xf numFmtId="10" fontId="5" fillId="10" borderId="0" xfId="0" applyNumberFormat="1" applyFont="1" applyFill="1">
      <alignment vertical="center"/>
    </xf>
    <xf numFmtId="3" fontId="0" fillId="10" borderId="1" xfId="0" applyNumberFormat="1" applyFill="1" applyBorder="1">
      <alignment vertical="center"/>
    </xf>
    <xf numFmtId="3" fontId="0" fillId="3" borderId="1" xfId="0" applyNumberFormat="1" applyFill="1" applyBorder="1">
      <alignment vertical="center"/>
    </xf>
    <xf numFmtId="3" fontId="0" fillId="5" borderId="19" xfId="0" applyNumberForma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3" fontId="0" fillId="2" borderId="3" xfId="0" applyNumberFormat="1" applyFill="1" applyBorder="1">
      <alignment vertical="center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3" fontId="0" fillId="2" borderId="19" xfId="0" applyNumberFormat="1" applyFill="1" applyBorder="1">
      <alignment vertical="center"/>
    </xf>
    <xf numFmtId="3" fontId="4" fillId="0" borderId="26" xfId="0" applyNumberFormat="1" applyFont="1" applyBorder="1">
      <alignment vertical="center"/>
    </xf>
    <xf numFmtId="0" fontId="5" fillId="5" borderId="27" xfId="0" applyFont="1" applyFill="1" applyBorder="1" applyAlignment="1">
      <alignment horizontal="center" vertical="center"/>
    </xf>
    <xf numFmtId="3" fontId="5" fillId="5" borderId="27" xfId="0" applyNumberFormat="1" applyFont="1" applyFill="1" applyBorder="1">
      <alignment vertical="center"/>
    </xf>
    <xf numFmtId="0" fontId="0" fillId="11" borderId="28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0" fontId="4" fillId="0" borderId="36" xfId="2" applyNumberFormat="1" applyFont="1" applyBorder="1" applyAlignment="1">
      <alignment horizontal="center" vertical="center"/>
    </xf>
    <xf numFmtId="10" fontId="4" fillId="0" borderId="37" xfId="2" applyNumberFormat="1" applyFont="1" applyBorder="1" applyAlignment="1">
      <alignment horizontal="center" vertical="center"/>
    </xf>
    <xf numFmtId="10" fontId="4" fillId="0" borderId="38" xfId="2" applyNumberFormat="1" applyFont="1" applyBorder="1">
      <alignment vertical="center"/>
    </xf>
    <xf numFmtId="41" fontId="0" fillId="5" borderId="1" xfId="1" applyFont="1" applyFill="1" applyBorder="1">
      <alignment vertical="center"/>
    </xf>
    <xf numFmtId="41" fontId="0" fillId="5" borderId="4" xfId="1" applyFont="1" applyFill="1" applyBorder="1">
      <alignment vertical="center"/>
    </xf>
    <xf numFmtId="10" fontId="0" fillId="3" borderId="1" xfId="0" applyNumberFormat="1" applyFill="1" applyBorder="1">
      <alignment vertical="center"/>
    </xf>
    <xf numFmtId="177" fontId="0" fillId="3" borderId="1" xfId="2" applyNumberFormat="1" applyFont="1" applyFill="1" applyBorder="1">
      <alignment vertical="center"/>
    </xf>
    <xf numFmtId="178" fontId="4" fillId="0" borderId="39" xfId="2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11" borderId="29" xfId="2" applyNumberFormat="1" applyFont="1" applyFill="1" applyBorder="1" applyAlignment="1">
      <alignment horizontal="center" vertical="center"/>
    </xf>
    <xf numFmtId="176" fontId="0" fillId="11" borderId="1" xfId="2" applyNumberFormat="1" applyFont="1" applyFill="1" applyBorder="1" applyAlignment="1">
      <alignment horizontal="center" vertical="center"/>
    </xf>
    <xf numFmtId="176" fontId="0" fillId="11" borderId="34" xfId="2" applyNumberFormat="1" applyFont="1" applyFill="1" applyBorder="1" applyAlignment="1">
      <alignment horizontal="center" vertical="center"/>
    </xf>
    <xf numFmtId="176" fontId="0" fillId="11" borderId="30" xfId="2" applyNumberFormat="1" applyFont="1" applyFill="1" applyBorder="1" applyAlignment="1">
      <alignment horizontal="center" vertical="center"/>
    </xf>
    <xf numFmtId="176" fontId="0" fillId="11" borderId="32" xfId="2" applyNumberFormat="1" applyFont="1" applyFill="1" applyBorder="1" applyAlignment="1">
      <alignment horizontal="center" vertical="center"/>
    </xf>
    <xf numFmtId="176" fontId="0" fillId="11" borderId="35" xfId="2" applyNumberFormat="1" applyFont="1" applyFill="1" applyBorder="1" applyAlignment="1">
      <alignment horizontal="center" vertical="center"/>
    </xf>
    <xf numFmtId="180" fontId="0" fillId="0" borderId="0" xfId="2" applyNumberFormat="1" applyFont="1">
      <alignment vertical="center"/>
    </xf>
    <xf numFmtId="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13" borderId="41" xfId="0" applyFont="1" applyFill="1" applyBorder="1" applyAlignment="1">
      <alignment horizontal="center" vertical="center"/>
    </xf>
    <xf numFmtId="0" fontId="0" fillId="14" borderId="1" xfId="0" applyFill="1" applyBorder="1">
      <alignment vertical="center"/>
    </xf>
    <xf numFmtId="3" fontId="0" fillId="5" borderId="42" xfId="0" applyNumberFormat="1" applyFill="1" applyBorder="1">
      <alignment vertical="center"/>
    </xf>
    <xf numFmtId="41" fontId="5" fillId="3" borderId="19" xfId="0" applyNumberFormat="1" applyFont="1" applyFill="1" applyBorder="1">
      <alignment vertical="center"/>
    </xf>
    <xf numFmtId="0" fontId="0" fillId="14" borderId="2" xfId="0" applyFill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9" fontId="0" fillId="1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176" fontId="0" fillId="5" borderId="1" xfId="0" applyNumberForma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I$1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I$2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38100</xdr:rowOff>
        </xdr:from>
        <xdr:to>
          <xdr:col>7</xdr:col>
          <xdr:colOff>19050</xdr:colOff>
          <xdr:row>18</xdr:row>
          <xdr:rowOff>57150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고용보험 산재보험  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200025</xdr:rowOff>
        </xdr:from>
        <xdr:to>
          <xdr:col>5</xdr:col>
          <xdr:colOff>962025</xdr:colOff>
          <xdr:row>18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16</xdr:row>
          <xdr:rowOff>200025</xdr:rowOff>
        </xdr:from>
        <xdr:to>
          <xdr:col>6</xdr:col>
          <xdr:colOff>581025</xdr:colOff>
          <xdr:row>18</xdr:row>
          <xdr:rowOff>9525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원도급자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66675</xdr:colOff>
      <xdr:row>0</xdr:row>
      <xdr:rowOff>0</xdr:rowOff>
    </xdr:from>
    <xdr:to>
      <xdr:col>8</xdr:col>
      <xdr:colOff>200885</xdr:colOff>
      <xdr:row>12</xdr:row>
      <xdr:rowOff>95699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6163535" cy="32198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161925</xdr:rowOff>
        </xdr:from>
        <xdr:to>
          <xdr:col>7</xdr:col>
          <xdr:colOff>57150</xdr:colOff>
          <xdr:row>21</xdr:row>
          <xdr:rowOff>180975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연도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20</xdr:row>
          <xdr:rowOff>66675</xdr:rowOff>
        </xdr:from>
        <xdr:to>
          <xdr:col>5</xdr:col>
          <xdr:colOff>838200</xdr:colOff>
          <xdr:row>21</xdr:row>
          <xdr:rowOff>95250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2021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1028700</xdr:colOff>
          <xdr:row>20</xdr:row>
          <xdr:rowOff>85725</xdr:rowOff>
        </xdr:from>
        <xdr:to>
          <xdr:col>6</xdr:col>
          <xdr:colOff>495300</xdr:colOff>
          <xdr:row>21</xdr:row>
          <xdr:rowOff>114300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2022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228600</xdr:colOff>
      <xdr:row>25</xdr:row>
      <xdr:rowOff>61165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047750"/>
          <a:ext cx="7772400" cy="425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omments" Target="../comments1.xml"/><Relationship Id="rId2" Type="http://schemas.openxmlformats.org/officeDocument/2006/relationships/hyperlink" Target="https://cafe.daum.net/transtax/QJhz/35" TargetMode="External"/><Relationship Id="rId1" Type="http://schemas.openxmlformats.org/officeDocument/2006/relationships/hyperlink" Target="https://cafe.daum.net/transtax/FWkz/200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kcomwel.or.kr/kcomwel/paym/paym/tari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EB99-ABF3-4E19-A72D-3678CA060F2F}">
  <dimension ref="A1:S42"/>
  <sheetViews>
    <sheetView showGridLines="0" tabSelected="1" topLeftCell="A10" workbookViewId="0">
      <selection activeCell="G26" sqref="G26"/>
    </sheetView>
  </sheetViews>
  <sheetFormatPr defaultRowHeight="16.5"/>
  <cols>
    <col min="1" max="1" width="1.625" customWidth="1"/>
    <col min="2" max="2" width="11.875" bestFit="1" customWidth="1"/>
    <col min="3" max="3" width="9.25" style="1" bestFit="1" customWidth="1"/>
    <col min="4" max="4" width="12" style="1" customWidth="1"/>
    <col min="5" max="5" width="9" style="1"/>
    <col min="6" max="6" width="14.375" style="1" customWidth="1"/>
    <col min="7" max="7" width="12.375" style="1" customWidth="1"/>
    <col min="8" max="8" width="10.25" style="1" customWidth="1"/>
    <col min="9" max="9" width="11.875" style="1" bestFit="1" customWidth="1"/>
    <col min="10" max="10" width="12.375" style="1" customWidth="1"/>
    <col min="11" max="11" width="11" style="1" bestFit="1" customWidth="1"/>
    <col min="12" max="12" width="15" style="1" bestFit="1" customWidth="1"/>
    <col min="13" max="16" width="14.375" style="1" customWidth="1"/>
    <col min="17" max="18" width="12.75" style="1" customWidth="1"/>
    <col min="19" max="19" width="12.375" style="1" bestFit="1" customWidth="1"/>
    <col min="20" max="16384" width="9" style="1"/>
  </cols>
  <sheetData>
    <row r="1" spans="3:15" customFormat="1"/>
    <row r="2" spans="3:15" customFormat="1">
      <c r="K2" s="12" t="s">
        <v>31</v>
      </c>
    </row>
    <row r="3" spans="3:15" customFormat="1"/>
    <row r="4" spans="3:15" customFormat="1"/>
    <row r="5" spans="3:15" customFormat="1">
      <c r="K5" s="2" t="s">
        <v>4</v>
      </c>
    </row>
    <row r="6" spans="3:15" customFormat="1">
      <c r="K6" s="13" t="s">
        <v>12</v>
      </c>
    </row>
    <row r="7" spans="3:15" customFormat="1">
      <c r="K7" s="96" t="s">
        <v>7</v>
      </c>
      <c r="L7" s="96"/>
      <c r="M7" s="76" t="s">
        <v>14</v>
      </c>
      <c r="N7" s="76" t="s">
        <v>15</v>
      </c>
      <c r="O7" s="76" t="s">
        <v>16</v>
      </c>
    </row>
    <row r="8" spans="3:15" customFormat="1">
      <c r="K8" s="96" t="s">
        <v>13</v>
      </c>
      <c r="L8" s="96"/>
      <c r="M8" s="20">
        <f>8/1000</f>
        <v>8.0000000000000002E-3</v>
      </c>
      <c r="N8" s="20">
        <f>8/1000</f>
        <v>8.0000000000000002E-3</v>
      </c>
      <c r="O8" s="21">
        <f>SUM(M8:N8)</f>
        <v>1.6E-2</v>
      </c>
    </row>
    <row r="9" spans="3:15" customFormat="1">
      <c r="K9" s="100" t="s">
        <v>21</v>
      </c>
      <c r="L9" s="3" t="s">
        <v>17</v>
      </c>
      <c r="M9" s="20">
        <v>0</v>
      </c>
      <c r="N9" s="20">
        <f>2.5/1000</f>
        <v>2.5000000000000001E-3</v>
      </c>
      <c r="O9" s="21">
        <f t="shared" ref="O9:O12" si="0">SUM(M9:N9)</f>
        <v>2.5000000000000001E-3</v>
      </c>
    </row>
    <row r="10" spans="3:15" customFormat="1" ht="30">
      <c r="K10" s="96"/>
      <c r="L10" s="15" t="s">
        <v>18</v>
      </c>
      <c r="M10" s="19"/>
      <c r="N10" s="17">
        <f>4.5/1000</f>
        <v>4.4999999999999997E-3</v>
      </c>
      <c r="O10" s="18">
        <f t="shared" si="0"/>
        <v>4.4999999999999997E-3</v>
      </c>
    </row>
    <row r="11" spans="3:15" customFormat="1" ht="27">
      <c r="K11" s="96"/>
      <c r="L11" s="16" t="s">
        <v>19</v>
      </c>
      <c r="M11" s="19"/>
      <c r="N11" s="17">
        <f>6.5/1000</f>
        <v>6.4999999999999997E-3</v>
      </c>
      <c r="O11" s="18">
        <f t="shared" si="0"/>
        <v>6.4999999999999997E-3</v>
      </c>
    </row>
    <row r="12" spans="3:15" customFormat="1" ht="40.5">
      <c r="K12" s="96"/>
      <c r="L12" s="16" t="s">
        <v>20</v>
      </c>
      <c r="M12" s="19"/>
      <c r="N12" s="17">
        <f>8.5/1000</f>
        <v>8.5000000000000006E-3</v>
      </c>
      <c r="O12" s="18">
        <f t="shared" si="0"/>
        <v>8.5000000000000006E-3</v>
      </c>
    </row>
    <row r="13" spans="3:15" customFormat="1">
      <c r="K13" s="76" t="s">
        <v>22</v>
      </c>
      <c r="L13" s="3"/>
      <c r="M13" s="21">
        <f>SUM(M8:M9)</f>
        <v>8.0000000000000002E-3</v>
      </c>
      <c r="N13" s="21">
        <f t="shared" ref="N13:O13" si="1">SUM(N8:N9)</f>
        <v>1.0500000000000001E-2</v>
      </c>
      <c r="O13" s="21">
        <f t="shared" si="1"/>
        <v>1.8499999999999999E-2</v>
      </c>
    </row>
    <row r="14" spans="3:15" customFormat="1"/>
    <row r="15" spans="3:15" customFormat="1">
      <c r="C15" t="s">
        <v>30</v>
      </c>
      <c r="K15" s="38">
        <f>6%*4.5%</f>
        <v>2.6999999999999997E-3</v>
      </c>
    </row>
    <row r="16" spans="3:15" customFormat="1">
      <c r="L16" s="1">
        <v>200000</v>
      </c>
    </row>
    <row r="17" spans="2:19" customFormat="1" ht="17.25" thickBot="1">
      <c r="L17" s="1">
        <f>L16-150000</f>
        <v>50000</v>
      </c>
      <c r="O17" s="12" t="s">
        <v>11</v>
      </c>
    </row>
    <row r="18" spans="2:19" customFormat="1" ht="17.25" thickBot="1">
      <c r="B18" t="s">
        <v>34</v>
      </c>
      <c r="C18" s="30" t="s">
        <v>29</v>
      </c>
      <c r="D18" s="31"/>
      <c r="E18" s="32"/>
      <c r="I18" s="6">
        <v>1</v>
      </c>
      <c r="K18" s="37">
        <f>L18/L17</f>
        <v>2.7E-2</v>
      </c>
      <c r="L18">
        <f>L17*6%*45%</f>
        <v>1350</v>
      </c>
      <c r="O18" t="s">
        <v>23</v>
      </c>
    </row>
    <row r="19" spans="2:19" customFormat="1" ht="17.25" thickBot="1">
      <c r="B19" t="s">
        <v>33</v>
      </c>
      <c r="C19" s="33" t="s">
        <v>28</v>
      </c>
      <c r="D19" s="34"/>
      <c r="E19" s="35"/>
      <c r="N19" s="2" t="s">
        <v>9</v>
      </c>
      <c r="O19" s="74">
        <v>0.01</v>
      </c>
    </row>
    <row r="20" spans="2:19" customFormat="1" ht="17.25" thickBot="1">
      <c r="C20" s="66"/>
      <c r="D20" s="66"/>
      <c r="E20" s="66"/>
      <c r="O20" s="25"/>
    </row>
    <row r="21" spans="2:19" customFormat="1" ht="17.25" thickBot="1">
      <c r="B21" s="2" t="s">
        <v>61</v>
      </c>
      <c r="C21" s="67">
        <v>6.8599999999999994E-2</v>
      </c>
      <c r="D21" s="68">
        <v>0.1152</v>
      </c>
      <c r="E21" s="69">
        <v>0.09</v>
      </c>
      <c r="I21" s="6">
        <v>2</v>
      </c>
      <c r="L21" t="s">
        <v>62</v>
      </c>
      <c r="O21" s="25"/>
    </row>
    <row r="22" spans="2:19" customFormat="1" ht="17.25" thickBot="1">
      <c r="B22" s="2" t="s">
        <v>72</v>
      </c>
      <c r="C22" s="67">
        <v>6.9900000000000004E-2</v>
      </c>
      <c r="D22" s="68">
        <v>0.1227</v>
      </c>
      <c r="E22" s="69">
        <v>0.09</v>
      </c>
      <c r="L22" t="s">
        <v>63</v>
      </c>
      <c r="O22" s="25"/>
    </row>
    <row r="23" spans="2:19" customFormat="1" ht="34.5" customHeight="1">
      <c r="B23" s="96" t="s">
        <v>2</v>
      </c>
      <c r="C23" s="29" t="s">
        <v>0</v>
      </c>
      <c r="D23" s="29" t="s">
        <v>1</v>
      </c>
      <c r="E23" s="36" t="s">
        <v>32</v>
      </c>
      <c r="F23" s="76" t="s">
        <v>4</v>
      </c>
      <c r="G23" s="101" t="s">
        <v>35</v>
      </c>
      <c r="H23" s="102"/>
      <c r="I23" s="100" t="s">
        <v>5</v>
      </c>
      <c r="K23" s="26" t="s">
        <v>7</v>
      </c>
      <c r="L23" s="27" t="s">
        <v>0</v>
      </c>
      <c r="M23" s="27" t="s">
        <v>3</v>
      </c>
      <c r="N23" s="27" t="s">
        <v>4</v>
      </c>
      <c r="O23" s="27" t="s">
        <v>9</v>
      </c>
      <c r="P23" s="28" t="s">
        <v>27</v>
      </c>
      <c r="Q23" s="87" t="s">
        <v>75</v>
      </c>
      <c r="R23" s="88" t="s">
        <v>76</v>
      </c>
      <c r="S23" s="89" t="s">
        <v>50</v>
      </c>
    </row>
    <row r="24" spans="2:19" customFormat="1" ht="17.25" thickBot="1">
      <c r="B24" s="96"/>
      <c r="C24" s="111">
        <f>CHOOSE(I21,C21/2,C22/2)</f>
        <v>3.4950000000000002E-2</v>
      </c>
      <c r="D24" s="22">
        <f>CHOOSE(I21,D21,D22)</f>
        <v>0.1227</v>
      </c>
      <c r="E24" s="105">
        <f>E22/2</f>
        <v>4.4999999999999998E-2</v>
      </c>
      <c r="F24" s="98">
        <f>IF(I18=1,$M$13,0)</f>
        <v>8.0000000000000002E-3</v>
      </c>
      <c r="G24" s="103"/>
      <c r="H24" s="104"/>
      <c r="I24" s="96"/>
      <c r="K24" s="77" t="s">
        <v>6</v>
      </c>
      <c r="L24" s="10">
        <f>C26+D26</f>
        <v>213820</v>
      </c>
      <c r="M24" s="10">
        <f>E26</f>
        <v>235800</v>
      </c>
      <c r="N24" s="70">
        <f>IF($I$18=1,TRUNC(B26*$N$13,-1),0)</f>
        <v>57210</v>
      </c>
      <c r="O24" s="24">
        <f>IF(I18=1,TRUNC(B26*O19,-1),0)</f>
        <v>54490</v>
      </c>
      <c r="P24" s="10">
        <f>SUM(L24:O24)</f>
        <v>561320</v>
      </c>
      <c r="Q24" s="93"/>
      <c r="R24" s="93"/>
      <c r="S24" s="90"/>
    </row>
    <row r="25" spans="2:19" customFormat="1" ht="27.75" thickBot="1">
      <c r="B25" s="97"/>
      <c r="C25" s="111"/>
      <c r="D25" s="23">
        <f>CHOOSE(I21,C21*D24/2,C22*D24/2)</f>
        <v>4.2883650000000006E-3</v>
      </c>
      <c r="E25" s="106"/>
      <c r="F25" s="99"/>
      <c r="G25" s="39" t="s">
        <v>36</v>
      </c>
      <c r="H25" s="39" t="s">
        <v>37</v>
      </c>
      <c r="I25" s="96"/>
      <c r="K25" s="14" t="s">
        <v>8</v>
      </c>
      <c r="L25" s="11">
        <f>L24</f>
        <v>213820</v>
      </c>
      <c r="M25" s="11">
        <f>M24</f>
        <v>235800</v>
      </c>
      <c r="N25" s="71">
        <f>F26</f>
        <v>43590</v>
      </c>
      <c r="O25" s="9"/>
      <c r="P25" s="91">
        <f>SUM(L25:N25)</f>
        <v>493210</v>
      </c>
      <c r="Q25" s="94"/>
      <c r="R25" s="95"/>
      <c r="S25" s="92">
        <f>B26-P25</f>
        <v>4956290</v>
      </c>
    </row>
    <row r="26" spans="2:19" customFormat="1" ht="18" thickTop="1" thickBot="1">
      <c r="B26" s="60">
        <v>5449500</v>
      </c>
      <c r="C26" s="59">
        <f>TRUNC(MAX(MIN(B26,D42),C42)*C24,-1)</f>
        <v>190460</v>
      </c>
      <c r="D26" s="5">
        <f>TRUNC(C26*D24,-1)</f>
        <v>23360</v>
      </c>
      <c r="E26" s="5">
        <f>CHOOSE(I21,TRUNC(TRUNC(MAX(MIN(B26,D36),C36),-3)*E24,-1),TRUNC(TRUNC(MAX(MIN(B26,D37),C37),-3)*E24,-1))</f>
        <v>235800</v>
      </c>
      <c r="F26" s="5">
        <f>IF(I18=1,TRUNC(B26*F24,-1),0)</f>
        <v>43590</v>
      </c>
      <c r="G26" s="7"/>
      <c r="H26" s="7"/>
      <c r="I26" s="8">
        <f>B26-SUM(C26:H26)</f>
        <v>4956290</v>
      </c>
      <c r="K26" s="61" t="s">
        <v>10</v>
      </c>
      <c r="L26" s="62">
        <f>SUM(L24:L25)</f>
        <v>427640</v>
      </c>
      <c r="M26" s="62">
        <f t="shared" ref="M26:N26" si="2">SUM(M24:M25)</f>
        <v>471600</v>
      </c>
      <c r="N26" s="62">
        <f t="shared" si="2"/>
        <v>100800</v>
      </c>
      <c r="O26" s="62">
        <f>O24</f>
        <v>54490</v>
      </c>
      <c r="P26" s="62">
        <f>SUM(P24:P25)</f>
        <v>1054530</v>
      </c>
    </row>
    <row r="27" spans="2:19" customFormat="1" ht="17.25" thickTop="1">
      <c r="C27" s="108">
        <f>SUM(C24,D25)*2</f>
        <v>7.8476730000000008E-2</v>
      </c>
      <c r="D27" s="108"/>
      <c r="F27" s="1"/>
      <c r="K27" s="63" t="s">
        <v>6</v>
      </c>
      <c r="L27" s="78">
        <f>L24/$B$26</f>
        <v>3.9236627213505827E-2</v>
      </c>
      <c r="M27" s="78">
        <f t="shared" ref="M27:P29" si="3">M24/$B$26</f>
        <v>4.3270024772914945E-2</v>
      </c>
      <c r="N27" s="78">
        <f t="shared" si="3"/>
        <v>1.0498210845031655E-2</v>
      </c>
      <c r="O27" s="78">
        <f t="shared" si="3"/>
        <v>9.9990824846316172E-3</v>
      </c>
      <c r="P27" s="81">
        <f t="shared" si="3"/>
        <v>0.10300394531608405</v>
      </c>
    </row>
    <row r="28" spans="2:19" customFormat="1">
      <c r="C28" s="72">
        <f>C21</f>
        <v>6.8599999999999994E-2</v>
      </c>
      <c r="D28" s="73">
        <f>D21*C21</f>
        <v>7.9027199999999985E-3</v>
      </c>
      <c r="F28" s="1"/>
      <c r="K28" s="64" t="s">
        <v>8</v>
      </c>
      <c r="L28" s="79">
        <f>L25/$B$26</f>
        <v>3.9236627213505827E-2</v>
      </c>
      <c r="M28" s="79">
        <f t="shared" si="3"/>
        <v>4.3270024772914945E-2</v>
      </c>
      <c r="N28" s="79">
        <f t="shared" si="3"/>
        <v>7.9988989815579416E-3</v>
      </c>
      <c r="O28" s="79">
        <f t="shared" si="3"/>
        <v>0</v>
      </c>
      <c r="P28" s="82">
        <f t="shared" si="3"/>
        <v>9.0505550967978715E-2</v>
      </c>
    </row>
    <row r="29" spans="2:19" customFormat="1" ht="17.25" thickBot="1">
      <c r="B29" s="1"/>
      <c r="C29" s="72">
        <f>C22</f>
        <v>6.9900000000000004E-2</v>
      </c>
      <c r="D29" s="73">
        <f>D22*C22</f>
        <v>8.5767300000000012E-3</v>
      </c>
      <c r="K29" s="65" t="s">
        <v>10</v>
      </c>
      <c r="L29" s="80">
        <f>L26/$B$26</f>
        <v>7.8473254427011654E-2</v>
      </c>
      <c r="M29" s="80">
        <f t="shared" si="3"/>
        <v>8.6540049545829889E-2</v>
      </c>
      <c r="N29" s="80">
        <f t="shared" si="3"/>
        <v>1.8497109826589597E-2</v>
      </c>
      <c r="O29" s="80">
        <f t="shared" si="3"/>
        <v>9.9990824846316172E-3</v>
      </c>
      <c r="P29" s="83">
        <f t="shared" si="3"/>
        <v>0.19350949628406275</v>
      </c>
    </row>
    <row r="30" spans="2:19" customFormat="1">
      <c r="L30" s="84">
        <v>7.6502719999999996E-2</v>
      </c>
      <c r="M30" s="85">
        <v>0.09</v>
      </c>
    </row>
    <row r="31" spans="2:19" customFormat="1">
      <c r="C31" s="72">
        <f>C21/2</f>
        <v>3.4299999999999997E-2</v>
      </c>
      <c r="D31" s="73">
        <f>D26/B26</f>
        <v>4.286631801082668E-3</v>
      </c>
    </row>
    <row r="32" spans="2:19" customFormat="1">
      <c r="C32" s="72">
        <f>C22/2</f>
        <v>3.4950000000000002E-2</v>
      </c>
      <c r="D32" s="73">
        <f>D26/B26</f>
        <v>4.286631801082668E-3</v>
      </c>
    </row>
    <row r="33" spans="2:11" customFormat="1"/>
    <row r="34" spans="2:11" customFormat="1">
      <c r="B34" s="100" t="s">
        <v>70</v>
      </c>
      <c r="C34" s="96" t="s">
        <v>3</v>
      </c>
      <c r="D34" s="96"/>
      <c r="E34" s="1"/>
      <c r="F34" s="107" t="s">
        <v>71</v>
      </c>
      <c r="G34" s="107"/>
    </row>
    <row r="35" spans="2:11" customFormat="1">
      <c r="B35" s="96"/>
      <c r="C35" s="76" t="s">
        <v>64</v>
      </c>
      <c r="D35" s="76" t="s">
        <v>65</v>
      </c>
      <c r="E35" s="1"/>
      <c r="F35" s="76" t="s">
        <v>64</v>
      </c>
      <c r="G35" s="76" t="s">
        <v>65</v>
      </c>
    </row>
    <row r="36" spans="2:11">
      <c r="B36" s="86" t="s">
        <v>67</v>
      </c>
      <c r="C36" s="44">
        <v>330000</v>
      </c>
      <c r="D36" s="44">
        <v>5240000</v>
      </c>
      <c r="F36" s="44">
        <f>C36*E21</f>
        <v>29700</v>
      </c>
      <c r="G36" s="44">
        <f>D36*E21</f>
        <v>471600</v>
      </c>
    </row>
    <row r="37" spans="2:11">
      <c r="B37" s="109" t="s">
        <v>73</v>
      </c>
      <c r="C37" s="110">
        <v>330000</v>
      </c>
      <c r="D37" s="110">
        <v>5240000</v>
      </c>
      <c r="E37" s="1" t="s">
        <v>74</v>
      </c>
      <c r="F37" s="44">
        <f>C37*E22</f>
        <v>29700</v>
      </c>
      <c r="G37" s="44">
        <f>D37*E22</f>
        <v>471600</v>
      </c>
    </row>
    <row r="39" spans="2:11">
      <c r="B39" s="100" t="s">
        <v>70</v>
      </c>
      <c r="C39" s="96" t="s">
        <v>68</v>
      </c>
      <c r="D39" s="96"/>
      <c r="F39" s="107" t="s">
        <v>63</v>
      </c>
      <c r="G39" s="107"/>
      <c r="H39" s="107"/>
      <c r="I39" s="107" t="s">
        <v>62</v>
      </c>
      <c r="J39" s="107"/>
      <c r="K39" s="107"/>
    </row>
    <row r="40" spans="2:11">
      <c r="B40" s="96"/>
      <c r="C40" s="76" t="s">
        <v>64</v>
      </c>
      <c r="D40" s="76" t="s">
        <v>65</v>
      </c>
      <c r="F40" s="75" t="s">
        <v>66</v>
      </c>
      <c r="G40" s="75" t="s">
        <v>69</v>
      </c>
      <c r="H40" s="75" t="s">
        <v>16</v>
      </c>
      <c r="I40" s="75" t="s">
        <v>66</v>
      </c>
      <c r="J40" s="75" t="s">
        <v>69</v>
      </c>
      <c r="K40" s="75" t="s">
        <v>16</v>
      </c>
    </row>
    <row r="41" spans="2:11">
      <c r="B41" s="86">
        <v>2021</v>
      </c>
      <c r="C41" s="44">
        <v>279300</v>
      </c>
      <c r="D41" s="44">
        <v>102739068</v>
      </c>
      <c r="F41" s="44">
        <f>C41*C21</f>
        <v>19159.98</v>
      </c>
      <c r="G41" s="44">
        <f>TRUNC(F41*$D$21,-1)</f>
        <v>2200</v>
      </c>
      <c r="H41" s="44">
        <f>SUM(F41:G41)</f>
        <v>21359.98</v>
      </c>
      <c r="I41" s="44">
        <f>D41*C21</f>
        <v>7047900.0647999998</v>
      </c>
      <c r="J41" s="44">
        <f>TRUNC(I41*$D$21,-1)</f>
        <v>811910</v>
      </c>
      <c r="K41" s="44">
        <f>SUM(I41:J41)</f>
        <v>7859810.0647999998</v>
      </c>
    </row>
    <row r="42" spans="2:11">
      <c r="B42" s="76">
        <v>2022</v>
      </c>
      <c r="C42" s="44">
        <v>279256</v>
      </c>
      <c r="D42" s="44">
        <v>104536481</v>
      </c>
      <c r="F42" s="44">
        <f>C42*C22</f>
        <v>19519.9944</v>
      </c>
      <c r="G42" s="44">
        <f>TRUNC(F42*D22,-1)</f>
        <v>2390</v>
      </c>
      <c r="H42" s="44">
        <f>SUM(F42:G42)</f>
        <v>21909.9944</v>
      </c>
      <c r="I42" s="44">
        <f>D42*C22</f>
        <v>7307100.0219000001</v>
      </c>
      <c r="J42" s="44">
        <f>TRUNC(I42*D22,-1)</f>
        <v>896580</v>
      </c>
      <c r="K42" s="44">
        <f>SUM(I42:J42)</f>
        <v>8203680.0219000001</v>
      </c>
    </row>
  </sheetData>
  <mergeCells count="17">
    <mergeCell ref="I39:K39"/>
    <mergeCell ref="C27:D27"/>
    <mergeCell ref="B34:B35"/>
    <mergeCell ref="C34:D34"/>
    <mergeCell ref="F34:G34"/>
    <mergeCell ref="B39:B40"/>
    <mergeCell ref="C39:D39"/>
    <mergeCell ref="F39:H39"/>
    <mergeCell ref="K7:L7"/>
    <mergeCell ref="K8:L8"/>
    <mergeCell ref="K9:K12"/>
    <mergeCell ref="B23:B25"/>
    <mergeCell ref="G23:H24"/>
    <mergeCell ref="I23:I25"/>
    <mergeCell ref="C24:C25"/>
    <mergeCell ref="E24:E25"/>
    <mergeCell ref="F24:F25"/>
  </mergeCells>
  <phoneticPr fontId="2" type="noConversion"/>
  <hyperlinks>
    <hyperlink ref="O17" r:id="rId1" xr:uid="{98EBD1DA-C025-4F2A-A8B1-C1952C979F27}"/>
    <hyperlink ref="K2" r:id="rId2" xr:uid="{E4BFD993-F71A-4A34-9018-96F722EE12F2}"/>
  </hyperlinks>
  <pageMargins left="0.7" right="0.7" top="0.75" bottom="0.75" header="0.3" footer="0.3"/>
  <pageSetup paperSize="9" orientation="portrait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Group Box 1">
              <controlPr defaultSize="0" autoFill="0" autoPict="0">
                <anchor moveWithCells="1">
                  <from>
                    <xdr:col>5</xdr:col>
                    <xdr:colOff>47625</xdr:colOff>
                    <xdr:row>16</xdr:row>
                    <xdr:rowOff>38100</xdr:rowOff>
                  </from>
                  <to>
                    <xdr:col>7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Option Button 2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200025</xdr:rowOff>
                  </from>
                  <to>
                    <xdr:col>5</xdr:col>
                    <xdr:colOff>962025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Option Button 3">
              <controlPr defaultSize="0" autoFill="0" autoLine="0" autoPict="0">
                <anchor moveWithCells="1">
                  <from>
                    <xdr:col>5</xdr:col>
                    <xdr:colOff>1038225</xdr:colOff>
                    <xdr:row>16</xdr:row>
                    <xdr:rowOff>200025</xdr:rowOff>
                  </from>
                  <to>
                    <xdr:col>6</xdr:col>
                    <xdr:colOff>581025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Group Box 4">
              <controlPr defaultSize="0" autoFill="0" autoPict="0">
                <anchor moveWithCells="1">
                  <from>
                    <xdr:col>5</xdr:col>
                    <xdr:colOff>57150</xdr:colOff>
                    <xdr:row>19</xdr:row>
                    <xdr:rowOff>161925</xdr:rowOff>
                  </from>
                  <to>
                    <xdr:col>7</xdr:col>
                    <xdr:colOff>57150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Option Button 5">
              <controlPr defaultSize="0" autoFill="0" autoLine="0" autoPict="0">
                <anchor moveWithCells="1">
                  <from>
                    <xdr:col>5</xdr:col>
                    <xdr:colOff>285750</xdr:colOff>
                    <xdr:row>20</xdr:row>
                    <xdr:rowOff>66675</xdr:rowOff>
                  </from>
                  <to>
                    <xdr:col>5</xdr:col>
                    <xdr:colOff>838200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Option Button 6">
              <controlPr defaultSize="0" autoFill="0" autoLine="0" autoPict="0">
                <anchor moveWithCells="1">
                  <from>
                    <xdr:col>5</xdr:col>
                    <xdr:colOff>1028700</xdr:colOff>
                    <xdr:row>20</xdr:row>
                    <xdr:rowOff>85725</xdr:rowOff>
                  </from>
                  <to>
                    <xdr:col>6</xdr:col>
                    <xdr:colOff>495300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259B-2771-4691-8A7E-939F7A0A7279}">
  <sheetPr>
    <pageSetUpPr fitToPage="1"/>
  </sheetPr>
  <dimension ref="B1:BA14"/>
  <sheetViews>
    <sheetView workbookViewId="0">
      <selection activeCell="C4" sqref="C4"/>
    </sheetView>
  </sheetViews>
  <sheetFormatPr defaultRowHeight="16.5" outlineLevelCol="1"/>
  <cols>
    <col min="1" max="2" width="4.875" customWidth="1"/>
    <col min="5" max="36" width="4.375" style="2" customWidth="1" outlineLevel="1"/>
    <col min="37" max="38" width="9" customWidth="1" outlineLevel="1"/>
    <col min="39" max="39" width="11.25" customWidth="1"/>
    <col min="40" max="40" width="9.25" bestFit="1" customWidth="1"/>
    <col min="47" max="47" width="11" bestFit="1" customWidth="1"/>
    <col min="49" max="50" width="9.25" bestFit="1" customWidth="1"/>
  </cols>
  <sheetData>
    <row r="1" spans="2:53">
      <c r="B1" t="s">
        <v>55</v>
      </c>
    </row>
    <row r="2" spans="2:53">
      <c r="B2" t="s">
        <v>54</v>
      </c>
      <c r="AN2" s="47" t="e">
        <f>#REF!</f>
        <v>#REF!</v>
      </c>
      <c r="AO2" s="47" t="e">
        <f>#REF!</f>
        <v>#REF!</v>
      </c>
      <c r="AP2" s="47" t="e">
        <f>#REF!</f>
        <v>#REF!</v>
      </c>
      <c r="AQ2" s="47" t="e">
        <f>#REF!</f>
        <v>#REF!</v>
      </c>
      <c r="AW2" s="96" t="s">
        <v>6</v>
      </c>
      <c r="AX2" s="96"/>
      <c r="AZ2" s="96" t="s">
        <v>51</v>
      </c>
      <c r="BA2" s="96"/>
    </row>
    <row r="3" spans="2:53" s="2" customFormat="1" ht="33" customHeight="1" thickBot="1">
      <c r="B3" s="4" t="s">
        <v>38</v>
      </c>
      <c r="C3" s="4" t="s">
        <v>38</v>
      </c>
      <c r="D3" s="4" t="s">
        <v>39</v>
      </c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4">
        <v>29</v>
      </c>
      <c r="AH3" s="4">
        <v>30</v>
      </c>
      <c r="AI3" s="4">
        <v>31</v>
      </c>
      <c r="AJ3" s="4" t="s">
        <v>40</v>
      </c>
      <c r="AK3" s="4" t="s">
        <v>41</v>
      </c>
      <c r="AL3" s="4" t="s">
        <v>42</v>
      </c>
      <c r="AM3" s="45" t="s">
        <v>43</v>
      </c>
      <c r="AN3" s="4" t="s">
        <v>0</v>
      </c>
      <c r="AO3" s="4" t="s">
        <v>1</v>
      </c>
      <c r="AP3" s="4" t="s">
        <v>3</v>
      </c>
      <c r="AQ3" s="4" t="s">
        <v>4</v>
      </c>
      <c r="AR3" s="51" t="s">
        <v>47</v>
      </c>
      <c r="AS3" s="51" t="s">
        <v>48</v>
      </c>
      <c r="AT3" s="4" t="s">
        <v>49</v>
      </c>
      <c r="AU3" s="4" t="s">
        <v>50</v>
      </c>
      <c r="AW3" s="4" t="s">
        <v>0</v>
      </c>
      <c r="AX3" s="4" t="s">
        <v>3</v>
      </c>
      <c r="AZ3" s="4" t="s">
        <v>0</v>
      </c>
      <c r="BA3" s="4" t="s">
        <v>3</v>
      </c>
    </row>
    <row r="4" spans="2:53" ht="23.25" customHeight="1">
      <c r="B4" s="3">
        <v>1</v>
      </c>
      <c r="C4" s="40" t="s">
        <v>44</v>
      </c>
      <c r="D4" s="40" t="s">
        <v>52</v>
      </c>
      <c r="E4" s="41"/>
      <c r="F4" s="4">
        <v>1</v>
      </c>
      <c r="G4" s="4">
        <v>1</v>
      </c>
      <c r="H4" s="4">
        <v>1</v>
      </c>
      <c r="I4" s="4">
        <v>1</v>
      </c>
      <c r="J4" s="4">
        <v>1</v>
      </c>
      <c r="K4" s="42"/>
      <c r="L4" s="4">
        <v>1</v>
      </c>
      <c r="M4" s="4">
        <v>1</v>
      </c>
      <c r="N4" s="4">
        <v>1</v>
      </c>
      <c r="O4" s="4">
        <v>1</v>
      </c>
      <c r="P4" s="4">
        <v>1</v>
      </c>
      <c r="Q4" s="43">
        <v>1</v>
      </c>
      <c r="R4" s="41"/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1"/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1"/>
      <c r="AG4" s="4">
        <v>1</v>
      </c>
      <c r="AH4" s="4">
        <v>1</v>
      </c>
      <c r="AI4" s="43">
        <v>1</v>
      </c>
      <c r="AJ4" s="4">
        <f>SUM(E4:AI4)</f>
        <v>26</v>
      </c>
      <c r="AK4" s="3"/>
      <c r="AL4" s="44">
        <v>180000</v>
      </c>
      <c r="AM4" s="46">
        <f>AJ4*AL4</f>
        <v>4680000</v>
      </c>
      <c r="AN4" s="10" t="e">
        <f>TRUNC($AM4*AN$2,-1)</f>
        <v>#REF!</v>
      </c>
      <c r="AO4" s="10" t="e">
        <f>TRUNC($AN4*AO$2,-1)</f>
        <v>#REF!</v>
      </c>
      <c r="AP4" s="10" t="e">
        <f t="shared" ref="AP4:AQ10" si="0">TRUNC($AM4*AP$2,-1)</f>
        <v>#REF!</v>
      </c>
      <c r="AQ4" s="46" t="e">
        <f t="shared" si="0"/>
        <v>#REF!</v>
      </c>
      <c r="AR4" s="53"/>
      <c r="AS4" s="54"/>
      <c r="AT4" s="50" t="e">
        <f>SUM(AN4:AS4)</f>
        <v>#REF!</v>
      </c>
      <c r="AU4" s="10" t="e">
        <f>AM4-AT4</f>
        <v>#REF!</v>
      </c>
      <c r="AW4" s="48" t="e">
        <f>SUM(AN4:AO4)</f>
        <v>#REF!</v>
      </c>
      <c r="AX4" s="48" t="e">
        <f>AP4</f>
        <v>#REF!</v>
      </c>
      <c r="AZ4" s="49" t="e">
        <f>SUM(AN4:AO4,AW4)</f>
        <v>#REF!</v>
      </c>
      <c r="BA4" s="49" t="e">
        <f t="shared" ref="BA4:BA10" si="1">SUM(AP4,AX4)</f>
        <v>#REF!</v>
      </c>
    </row>
    <row r="5" spans="2:53" ht="23.25" customHeight="1">
      <c r="B5" s="3">
        <v>2</v>
      </c>
      <c r="C5" s="40" t="s">
        <v>45</v>
      </c>
      <c r="D5" s="40" t="s">
        <v>53</v>
      </c>
      <c r="E5" s="41"/>
      <c r="F5" s="4">
        <v>1</v>
      </c>
      <c r="G5" s="4">
        <v>1</v>
      </c>
      <c r="H5" s="4">
        <v>1</v>
      </c>
      <c r="I5" s="4">
        <v>1</v>
      </c>
      <c r="J5" s="4">
        <v>1</v>
      </c>
      <c r="K5" s="42"/>
      <c r="L5" s="4">
        <v>1</v>
      </c>
      <c r="M5" s="4">
        <v>1</v>
      </c>
      <c r="N5" s="4">
        <v>1</v>
      </c>
      <c r="O5" s="4">
        <v>1</v>
      </c>
      <c r="P5" s="4">
        <v>1</v>
      </c>
      <c r="Q5" s="43">
        <v>1</v>
      </c>
      <c r="R5" s="41"/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1"/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1"/>
      <c r="AG5" s="4">
        <v>1</v>
      </c>
      <c r="AH5" s="4">
        <v>1</v>
      </c>
      <c r="AI5" s="43">
        <v>1</v>
      </c>
      <c r="AJ5" s="40">
        <f t="shared" ref="AJ5:AJ10" si="2">SUM(E5:AI5)</f>
        <v>26</v>
      </c>
      <c r="AK5" s="3"/>
      <c r="AL5" s="44">
        <v>160000</v>
      </c>
      <c r="AM5" s="46">
        <f t="shared" ref="AM5:AM10" si="3">AJ5*AL5</f>
        <v>4160000</v>
      </c>
      <c r="AN5" s="10" t="e">
        <f t="shared" ref="AN5:AN10" si="4">TRUNC($AM5*AN$2,-1)</f>
        <v>#REF!</v>
      </c>
      <c r="AO5" s="10" t="e">
        <f t="shared" ref="AO5:AO10" si="5">TRUNC($AN5*AO$2,-1)</f>
        <v>#REF!</v>
      </c>
      <c r="AP5" s="10" t="e">
        <f t="shared" si="0"/>
        <v>#REF!</v>
      </c>
      <c r="AQ5" s="46" t="e">
        <f t="shared" si="0"/>
        <v>#REF!</v>
      </c>
      <c r="AR5" s="55"/>
      <c r="AS5" s="56"/>
      <c r="AT5" s="50" t="e">
        <f t="shared" ref="AT5:AT10" si="6">SUM(AN5:AS5)</f>
        <v>#REF!</v>
      </c>
      <c r="AU5" s="10" t="e">
        <f t="shared" ref="AU5:AU10" si="7">AM5-AT5</f>
        <v>#REF!</v>
      </c>
      <c r="AW5" s="48" t="e">
        <f t="shared" ref="AW5:AW10" si="8">SUM(AN5:AO5)</f>
        <v>#REF!</v>
      </c>
      <c r="AX5" s="48" t="e">
        <f t="shared" ref="AX5:AX10" si="9">AP5</f>
        <v>#REF!</v>
      </c>
      <c r="AZ5" s="49" t="e">
        <f t="shared" ref="AZ5:AZ10" si="10">SUM(AN5:AO5,AW5)</f>
        <v>#REF!</v>
      </c>
      <c r="BA5" s="49" t="e">
        <f t="shared" si="1"/>
        <v>#REF!</v>
      </c>
    </row>
    <row r="6" spans="2:53" ht="23.25" customHeight="1">
      <c r="B6" s="3">
        <v>3</v>
      </c>
      <c r="C6" s="40" t="s">
        <v>44</v>
      </c>
      <c r="D6" s="40" t="s">
        <v>56</v>
      </c>
      <c r="E6" s="41"/>
      <c r="F6" s="4">
        <v>1</v>
      </c>
      <c r="G6" s="4">
        <v>1</v>
      </c>
      <c r="H6" s="4">
        <v>1</v>
      </c>
      <c r="I6" s="4">
        <v>1</v>
      </c>
      <c r="J6" s="4">
        <v>1</v>
      </c>
      <c r="K6" s="42"/>
      <c r="L6" s="4">
        <v>1</v>
      </c>
      <c r="M6" s="4">
        <v>1</v>
      </c>
      <c r="N6" s="4">
        <v>1</v>
      </c>
      <c r="O6" s="4">
        <v>1</v>
      </c>
      <c r="P6" s="4">
        <v>1</v>
      </c>
      <c r="Q6" s="43">
        <v>1</v>
      </c>
      <c r="R6" s="41"/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1"/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1"/>
      <c r="AG6" s="4">
        <v>1</v>
      </c>
      <c r="AH6" s="4">
        <v>1</v>
      </c>
      <c r="AI6" s="43">
        <v>1</v>
      </c>
      <c r="AJ6" s="40">
        <f t="shared" si="2"/>
        <v>26</v>
      </c>
      <c r="AK6" s="3"/>
      <c r="AL6" s="44">
        <v>160000</v>
      </c>
      <c r="AM6" s="46">
        <f t="shared" si="3"/>
        <v>4160000</v>
      </c>
      <c r="AN6" s="10" t="e">
        <f t="shared" si="4"/>
        <v>#REF!</v>
      </c>
      <c r="AO6" s="10" t="e">
        <f t="shared" si="5"/>
        <v>#REF!</v>
      </c>
      <c r="AP6" s="10" t="e">
        <f t="shared" si="0"/>
        <v>#REF!</v>
      </c>
      <c r="AQ6" s="46" t="e">
        <f t="shared" si="0"/>
        <v>#REF!</v>
      </c>
      <c r="AR6" s="55"/>
      <c r="AS6" s="56"/>
      <c r="AT6" s="50" t="e">
        <f t="shared" si="6"/>
        <v>#REF!</v>
      </c>
      <c r="AU6" s="10" t="e">
        <f t="shared" si="7"/>
        <v>#REF!</v>
      </c>
      <c r="AW6" s="48" t="e">
        <f t="shared" si="8"/>
        <v>#REF!</v>
      </c>
      <c r="AX6" s="48" t="e">
        <f t="shared" si="9"/>
        <v>#REF!</v>
      </c>
      <c r="AZ6" s="49" t="e">
        <f t="shared" si="10"/>
        <v>#REF!</v>
      </c>
      <c r="BA6" s="49" t="e">
        <f t="shared" si="1"/>
        <v>#REF!</v>
      </c>
    </row>
    <row r="7" spans="2:53" ht="23.25" customHeight="1">
      <c r="B7" s="3">
        <v>4</v>
      </c>
      <c r="C7" s="40" t="s">
        <v>44</v>
      </c>
      <c r="D7" s="40" t="s">
        <v>57</v>
      </c>
      <c r="E7" s="41"/>
      <c r="F7" s="4">
        <v>1</v>
      </c>
      <c r="G7" s="4">
        <v>1</v>
      </c>
      <c r="H7" s="4">
        <v>1</v>
      </c>
      <c r="I7" s="4">
        <v>1</v>
      </c>
      <c r="J7" s="4">
        <v>1</v>
      </c>
      <c r="K7" s="42"/>
      <c r="L7" s="4">
        <v>1</v>
      </c>
      <c r="M7" s="4">
        <v>1</v>
      </c>
      <c r="N7" s="4">
        <v>1</v>
      </c>
      <c r="O7" s="4">
        <v>1</v>
      </c>
      <c r="P7" s="4">
        <v>1</v>
      </c>
      <c r="Q7" s="43">
        <v>1</v>
      </c>
      <c r="R7" s="41"/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1"/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1"/>
      <c r="AG7" s="4">
        <v>1</v>
      </c>
      <c r="AH7" s="4">
        <v>1</v>
      </c>
      <c r="AI7" s="43">
        <v>1</v>
      </c>
      <c r="AJ7" s="40">
        <f t="shared" si="2"/>
        <v>26</v>
      </c>
      <c r="AK7" s="3"/>
      <c r="AL7" s="44">
        <v>160000</v>
      </c>
      <c r="AM7" s="46">
        <f t="shared" si="3"/>
        <v>4160000</v>
      </c>
      <c r="AN7" s="10" t="e">
        <f t="shared" si="4"/>
        <v>#REF!</v>
      </c>
      <c r="AO7" s="10" t="e">
        <f t="shared" si="5"/>
        <v>#REF!</v>
      </c>
      <c r="AP7" s="10" t="e">
        <f t="shared" si="0"/>
        <v>#REF!</v>
      </c>
      <c r="AQ7" s="46" t="e">
        <f t="shared" si="0"/>
        <v>#REF!</v>
      </c>
      <c r="AR7" s="55"/>
      <c r="AS7" s="56"/>
      <c r="AT7" s="50" t="e">
        <f t="shared" si="6"/>
        <v>#REF!</v>
      </c>
      <c r="AU7" s="10" t="e">
        <f t="shared" si="7"/>
        <v>#REF!</v>
      </c>
      <c r="AW7" s="48" t="e">
        <f t="shared" si="8"/>
        <v>#REF!</v>
      </c>
      <c r="AX7" s="48" t="e">
        <f t="shared" si="9"/>
        <v>#REF!</v>
      </c>
      <c r="AZ7" s="49" t="e">
        <f t="shared" si="10"/>
        <v>#REF!</v>
      </c>
      <c r="BA7" s="49" t="e">
        <f t="shared" si="1"/>
        <v>#REF!</v>
      </c>
    </row>
    <row r="8" spans="2:53" ht="23.25" customHeight="1">
      <c r="B8" s="3">
        <v>5</v>
      </c>
      <c r="C8" s="40" t="s">
        <v>45</v>
      </c>
      <c r="D8" s="40" t="s">
        <v>58</v>
      </c>
      <c r="E8" s="41"/>
      <c r="F8" s="4">
        <v>1</v>
      </c>
      <c r="G8" s="4">
        <v>1</v>
      </c>
      <c r="H8" s="4">
        <v>1</v>
      </c>
      <c r="I8" s="4">
        <v>1</v>
      </c>
      <c r="J8" s="4">
        <v>1</v>
      </c>
      <c r="K8" s="42"/>
      <c r="L8" s="4">
        <v>1</v>
      </c>
      <c r="M8" s="4">
        <v>1</v>
      </c>
      <c r="N8" s="4">
        <v>1</v>
      </c>
      <c r="O8" s="4">
        <v>1</v>
      </c>
      <c r="P8" s="4">
        <v>1</v>
      </c>
      <c r="Q8" s="43">
        <v>1</v>
      </c>
      <c r="R8" s="41"/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1"/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1"/>
      <c r="AG8" s="4">
        <v>1</v>
      </c>
      <c r="AH8" s="4">
        <v>1</v>
      </c>
      <c r="AI8" s="43">
        <v>1</v>
      </c>
      <c r="AJ8" s="40">
        <f t="shared" si="2"/>
        <v>26</v>
      </c>
      <c r="AK8" s="3"/>
      <c r="AL8" s="44">
        <v>160000</v>
      </c>
      <c r="AM8" s="46">
        <f t="shared" si="3"/>
        <v>4160000</v>
      </c>
      <c r="AN8" s="10" t="e">
        <f t="shared" si="4"/>
        <v>#REF!</v>
      </c>
      <c r="AO8" s="10" t="e">
        <f t="shared" si="5"/>
        <v>#REF!</v>
      </c>
      <c r="AP8" s="10" t="e">
        <f t="shared" si="0"/>
        <v>#REF!</v>
      </c>
      <c r="AQ8" s="46" t="e">
        <f t="shared" si="0"/>
        <v>#REF!</v>
      </c>
      <c r="AR8" s="55"/>
      <c r="AS8" s="56"/>
      <c r="AT8" s="50" t="e">
        <f t="shared" si="6"/>
        <v>#REF!</v>
      </c>
      <c r="AU8" s="10" t="e">
        <f t="shared" si="7"/>
        <v>#REF!</v>
      </c>
      <c r="AW8" s="48" t="e">
        <f t="shared" si="8"/>
        <v>#REF!</v>
      </c>
      <c r="AX8" s="48" t="e">
        <f t="shared" si="9"/>
        <v>#REF!</v>
      </c>
      <c r="AZ8" s="49" t="e">
        <f t="shared" si="10"/>
        <v>#REF!</v>
      </c>
      <c r="BA8" s="49" t="e">
        <f t="shared" si="1"/>
        <v>#REF!</v>
      </c>
    </row>
    <row r="9" spans="2:53" ht="23.25" customHeight="1">
      <c r="B9" s="3">
        <v>6</v>
      </c>
      <c r="C9" s="40" t="s">
        <v>45</v>
      </c>
      <c r="D9" s="40" t="s">
        <v>59</v>
      </c>
      <c r="E9" s="41"/>
      <c r="F9" s="4">
        <v>1</v>
      </c>
      <c r="G9" s="4">
        <v>1</v>
      </c>
      <c r="H9" s="4">
        <v>1</v>
      </c>
      <c r="I9" s="4">
        <v>1</v>
      </c>
      <c r="J9" s="4">
        <v>1</v>
      </c>
      <c r="K9" s="42"/>
      <c r="L9" s="4">
        <v>1</v>
      </c>
      <c r="M9" s="4">
        <v>1</v>
      </c>
      <c r="N9" s="4">
        <v>1</v>
      </c>
      <c r="O9" s="4">
        <v>1</v>
      </c>
      <c r="P9" s="4">
        <v>1</v>
      </c>
      <c r="Q9" s="43">
        <v>1</v>
      </c>
      <c r="R9" s="41"/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1"/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41"/>
      <c r="AG9" s="4">
        <v>1</v>
      </c>
      <c r="AH9" s="4">
        <v>1</v>
      </c>
      <c r="AI9" s="43">
        <v>1</v>
      </c>
      <c r="AJ9" s="40">
        <f t="shared" si="2"/>
        <v>26</v>
      </c>
      <c r="AK9" s="3"/>
      <c r="AL9" s="44">
        <v>180000</v>
      </c>
      <c r="AM9" s="46">
        <f t="shared" si="3"/>
        <v>4680000</v>
      </c>
      <c r="AN9" s="10" t="e">
        <f t="shared" si="4"/>
        <v>#REF!</v>
      </c>
      <c r="AO9" s="10" t="e">
        <f t="shared" si="5"/>
        <v>#REF!</v>
      </c>
      <c r="AP9" s="10" t="e">
        <f t="shared" si="0"/>
        <v>#REF!</v>
      </c>
      <c r="AQ9" s="46" t="e">
        <f t="shared" si="0"/>
        <v>#REF!</v>
      </c>
      <c r="AR9" s="55"/>
      <c r="AS9" s="56"/>
      <c r="AT9" s="50" t="e">
        <f t="shared" si="6"/>
        <v>#REF!</v>
      </c>
      <c r="AU9" s="10" t="e">
        <f t="shared" si="7"/>
        <v>#REF!</v>
      </c>
      <c r="AW9" s="48" t="e">
        <f t="shared" si="8"/>
        <v>#REF!</v>
      </c>
      <c r="AX9" s="48" t="e">
        <f t="shared" si="9"/>
        <v>#REF!</v>
      </c>
      <c r="AZ9" s="49" t="e">
        <f t="shared" si="10"/>
        <v>#REF!</v>
      </c>
      <c r="BA9" s="49" t="e">
        <f t="shared" si="1"/>
        <v>#REF!</v>
      </c>
    </row>
    <row r="10" spans="2:53" ht="23.25" customHeight="1" thickBot="1">
      <c r="B10" s="3">
        <v>7</v>
      </c>
      <c r="C10" s="40" t="s">
        <v>46</v>
      </c>
      <c r="D10" s="40" t="s">
        <v>60</v>
      </c>
      <c r="E10" s="41"/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2"/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3">
        <v>1</v>
      </c>
      <c r="R10" s="41"/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1"/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1"/>
      <c r="AG10" s="4">
        <v>1</v>
      </c>
      <c r="AH10" s="4">
        <v>1</v>
      </c>
      <c r="AI10" s="43">
        <v>1</v>
      </c>
      <c r="AJ10" s="40">
        <f t="shared" si="2"/>
        <v>26</v>
      </c>
      <c r="AK10" s="3"/>
      <c r="AL10" s="44">
        <v>180000</v>
      </c>
      <c r="AM10" s="46">
        <f t="shared" si="3"/>
        <v>4680000</v>
      </c>
      <c r="AN10" s="10" t="e">
        <f t="shared" si="4"/>
        <v>#REF!</v>
      </c>
      <c r="AO10" s="10" t="e">
        <f t="shared" si="5"/>
        <v>#REF!</v>
      </c>
      <c r="AP10" s="10" t="e">
        <f t="shared" si="0"/>
        <v>#REF!</v>
      </c>
      <c r="AQ10" s="46" t="e">
        <f t="shared" si="0"/>
        <v>#REF!</v>
      </c>
      <c r="AR10" s="57"/>
      <c r="AS10" s="58"/>
      <c r="AT10" s="50" t="e">
        <f t="shared" si="6"/>
        <v>#REF!</v>
      </c>
      <c r="AU10" s="10" t="e">
        <f t="shared" si="7"/>
        <v>#REF!</v>
      </c>
      <c r="AW10" s="48" t="e">
        <f t="shared" si="8"/>
        <v>#REF!</v>
      </c>
      <c r="AX10" s="48" t="e">
        <f t="shared" si="9"/>
        <v>#REF!</v>
      </c>
      <c r="AZ10" s="49" t="e">
        <f t="shared" si="10"/>
        <v>#REF!</v>
      </c>
      <c r="BA10" s="49" t="e">
        <f t="shared" si="1"/>
        <v>#REF!</v>
      </c>
    </row>
    <row r="11" spans="2:53">
      <c r="AM11" s="5">
        <f>SUM(AM4:AM10)</f>
        <v>30680000</v>
      </c>
      <c r="AN11" s="5" t="e">
        <f>SUM(AN4:AN10)</f>
        <v>#REF!</v>
      </c>
      <c r="AO11" s="5" t="e">
        <f t="shared" ref="AO11:AT11" si="11">SUM(AO4:AO10)</f>
        <v>#REF!</v>
      </c>
      <c r="AP11" s="5" t="e">
        <f t="shared" si="11"/>
        <v>#REF!</v>
      </c>
      <c r="AQ11" s="5" t="e">
        <f t="shared" si="11"/>
        <v>#REF!</v>
      </c>
      <c r="AR11" s="52">
        <f t="shared" si="11"/>
        <v>0</v>
      </c>
      <c r="AS11" s="52">
        <f t="shared" si="11"/>
        <v>0</v>
      </c>
      <c r="AT11" s="5" t="e">
        <f t="shared" si="11"/>
        <v>#REF!</v>
      </c>
      <c r="AU11" s="5" t="e">
        <f>SUM(AU4:AU10)</f>
        <v>#REF!</v>
      </c>
      <c r="AW11" s="5" t="e">
        <f>SUM(AW4:AW10)</f>
        <v>#REF!</v>
      </c>
      <c r="AX11" s="5" t="e">
        <f>SUM(AX4:AX10)</f>
        <v>#REF!</v>
      </c>
      <c r="AZ11" s="5" t="e">
        <f>SUM(AZ4:AZ10)</f>
        <v>#REF!</v>
      </c>
      <c r="BA11" s="5" t="e">
        <f>SUM(BA4:BA10)</f>
        <v>#REF!</v>
      </c>
    </row>
    <row r="13" spans="2:53">
      <c r="AW13" s="1" t="e">
        <f>AW11*2</f>
        <v>#REF!</v>
      </c>
      <c r="AX13" s="1" t="e">
        <f>AX11*2</f>
        <v>#REF!</v>
      </c>
    </row>
    <row r="14" spans="2:53">
      <c r="AW14" t="e">
        <f>AZ11=AW13</f>
        <v>#REF!</v>
      </c>
      <c r="AX14" t="e">
        <f>BA11=AX13</f>
        <v>#REF!</v>
      </c>
    </row>
  </sheetData>
  <mergeCells count="2">
    <mergeCell ref="AZ2:BA2"/>
    <mergeCell ref="AW2:AX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verticalDpi="0" r:id="rId1"/>
  <headerFooter>
    <oddHeader>&amp;C2월 근무일지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AF65-C7DB-430E-91E3-5339511EED0D}">
  <dimension ref="B2:D3"/>
  <sheetViews>
    <sheetView workbookViewId="0">
      <selection activeCell="D3" sqref="D3"/>
    </sheetView>
  </sheetViews>
  <sheetFormatPr defaultRowHeight="16.5"/>
  <sheetData>
    <row r="2" spans="2:4">
      <c r="B2" t="s">
        <v>25</v>
      </c>
      <c r="D2" t="s">
        <v>26</v>
      </c>
    </row>
    <row r="3" spans="2:4">
      <c r="B3" s="12" t="s">
        <v>24</v>
      </c>
    </row>
  </sheetData>
  <phoneticPr fontId="2" type="noConversion"/>
  <hyperlinks>
    <hyperlink ref="B3" r:id="rId1" xr:uid="{B406BDF0-C46D-4DDC-950C-00FCE65FB48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요율공제액 (상한 하한적용)</vt:lpstr>
      <vt:lpstr>일용직대장</vt:lpstr>
      <vt:lpstr>산재보험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2021-04-08T22:58:56Z</dcterms:created>
  <dcterms:modified xsi:type="dcterms:W3CDTF">2022-01-31T20:37:42Z</dcterms:modified>
</cp:coreProperties>
</file>