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0년귀속 법인세\0 - 제출서식\"/>
    </mc:Choice>
  </mc:AlternateContent>
  <xr:revisionPtr revIDLastSave="0" documentId="8_{F77D3E7B-003E-443D-9009-F192B221CA44}" xr6:coauthVersionLast="47" xr6:coauthVersionMax="47" xr10:uidLastSave="{00000000-0000-0000-0000-000000000000}"/>
  <bookViews>
    <workbookView xWindow="-60" yWindow="-60" windowWidth="28920" windowHeight="16320" xr2:uid="{8A224F0F-ADDB-4F34-9599-425F3573F956}"/>
  </bookViews>
  <sheets>
    <sheet name="개요(선택)" sheetId="1" r:id="rId1"/>
    <sheet name="CASE1(상시증가-청년증가-청년외감소)" sheetId="2" r:id="rId2"/>
    <sheet name="CASE2(상시감소-청년감소-청년외증가)" sheetId="3" r:id="rId3"/>
    <sheet name="CASE3(상시감소-청년감소-청년외감소)" sheetId="4" r:id="rId4"/>
    <sheet name="CASE4(상시증가-청년감소-청년외증가)" sheetId="5" r:id="rId5"/>
    <sheet name="CASE5-(상시감소-청년증가-청년외감소)" sheetId="6" r:id="rId6"/>
    <sheet name="CASE6(상시증가-청년증가-청년외증가)" sheetId="7" r:id="rId7"/>
    <sheet name="고용증대세액공제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7" l="1"/>
  <c r="B60" i="2"/>
  <c r="V4" i="1"/>
  <c r="V3" i="1"/>
  <c r="U4" i="1"/>
  <c r="U3" i="1"/>
  <c r="G6" i="5" l="1"/>
  <c r="H6" i="3"/>
  <c r="V5" i="1"/>
  <c r="U5" i="1" l="1"/>
  <c r="Q9" i="1"/>
  <c r="S9" i="1"/>
  <c r="S10" i="1" s="1"/>
  <c r="S15" i="1" s="1"/>
  <c r="S7" i="1"/>
  <c r="S4" i="1"/>
  <c r="R9" i="1"/>
  <c r="R7" i="1"/>
  <c r="R10" i="1" s="1"/>
  <c r="R15" i="1" s="1"/>
  <c r="R4" i="1"/>
  <c r="Q7" i="1"/>
  <c r="Q10" i="1" s="1"/>
  <c r="Q4" i="1"/>
  <c r="P4" i="1"/>
  <c r="T10" i="1" l="1"/>
  <c r="U10" i="1" s="1"/>
  <c r="T11" i="1"/>
  <c r="T15" i="1" s="1"/>
  <c r="U15" i="1" s="1"/>
  <c r="U16" i="1" s="1"/>
  <c r="S8" i="1"/>
  <c r="Q8" i="1"/>
  <c r="R8" i="1"/>
  <c r="Q15" i="1"/>
  <c r="D12" i="1"/>
  <c r="C13" i="2" s="1"/>
  <c r="D11" i="1"/>
  <c r="C12" i="2" s="1"/>
  <c r="N14" i="1"/>
  <c r="L14" i="1"/>
  <c r="H7" i="3" l="1"/>
  <c r="C63" i="3" s="1"/>
  <c r="V16" i="1"/>
  <c r="W16" i="1" s="1"/>
  <c r="I14" i="1"/>
  <c r="G14" i="1"/>
  <c r="D14" i="1" l="1"/>
  <c r="B11" i="7"/>
  <c r="B10" i="6"/>
  <c r="B10" i="5"/>
  <c r="B10" i="4"/>
  <c r="B10" i="3"/>
  <c r="B11" i="2"/>
  <c r="E67" i="7" l="1"/>
  <c r="C13" i="7"/>
  <c r="E20" i="7" s="1"/>
  <c r="C12" i="7"/>
  <c r="E19" i="7" s="1"/>
  <c r="E68" i="2"/>
  <c r="E9" i="7"/>
  <c r="D9" i="7"/>
  <c r="C9" i="7"/>
  <c r="H8" i="7"/>
  <c r="C30" i="7" s="1"/>
  <c r="G8" i="7"/>
  <c r="C20" i="7" s="1"/>
  <c r="H7" i="7"/>
  <c r="G7" i="7"/>
  <c r="C19" i="7" s="1"/>
  <c r="B66" i="6"/>
  <c r="C12" i="6"/>
  <c r="E29" i="6" s="1"/>
  <c r="C11" i="6"/>
  <c r="E8" i="6"/>
  <c r="D8" i="6"/>
  <c r="B55" i="6" s="1"/>
  <c r="C8" i="6"/>
  <c r="H7" i="6"/>
  <c r="C63" i="6" s="1"/>
  <c r="G7" i="6"/>
  <c r="C20" i="6" s="1"/>
  <c r="H6" i="6"/>
  <c r="G6" i="6"/>
  <c r="C19" i="6" s="1"/>
  <c r="C12" i="5"/>
  <c r="E20" i="5" s="1"/>
  <c r="C11" i="5"/>
  <c r="E8" i="5"/>
  <c r="D8" i="5"/>
  <c r="C8" i="5"/>
  <c r="H7" i="5"/>
  <c r="C70" i="5" s="1"/>
  <c r="G7" i="5"/>
  <c r="C20" i="5" s="1"/>
  <c r="H6" i="5"/>
  <c r="B72" i="5" s="1"/>
  <c r="C19" i="5"/>
  <c r="C12" i="4"/>
  <c r="E20" i="4" s="1"/>
  <c r="C11" i="4"/>
  <c r="E62" i="4" s="1"/>
  <c r="E8" i="4"/>
  <c r="D8" i="4"/>
  <c r="C8" i="4"/>
  <c r="H7" i="4"/>
  <c r="C63" i="4" s="1"/>
  <c r="G7" i="4"/>
  <c r="C20" i="4" s="1"/>
  <c r="H6" i="4"/>
  <c r="G6" i="4"/>
  <c r="C19" i="4" s="1"/>
  <c r="C9" i="2"/>
  <c r="D9" i="2"/>
  <c r="E9" i="2"/>
  <c r="D8" i="3"/>
  <c r="E8" i="3"/>
  <c r="C8" i="3"/>
  <c r="C12" i="3"/>
  <c r="E63" i="3" s="1"/>
  <c r="C11" i="3"/>
  <c r="E20" i="2"/>
  <c r="E19" i="2"/>
  <c r="C29" i="3"/>
  <c r="C44" i="3" s="1"/>
  <c r="G7" i="3"/>
  <c r="C20" i="3" s="1"/>
  <c r="C62" i="3"/>
  <c r="G6" i="3"/>
  <c r="B65" i="3" s="1"/>
  <c r="B68" i="3" s="1"/>
  <c r="H8" i="2"/>
  <c r="C68" i="2" s="1"/>
  <c r="H7" i="2"/>
  <c r="C67" i="2" s="1"/>
  <c r="G8" i="2"/>
  <c r="C20" i="2" s="1"/>
  <c r="G7" i="2"/>
  <c r="C19" i="2" s="1"/>
  <c r="C21" i="6" l="1"/>
  <c r="C21" i="5"/>
  <c r="B62" i="5"/>
  <c r="B55" i="4"/>
  <c r="B55" i="3"/>
  <c r="E19" i="3"/>
  <c r="G19" i="3" s="1"/>
  <c r="D68" i="3"/>
  <c r="F68" i="3"/>
  <c r="C21" i="2"/>
  <c r="H8" i="3"/>
  <c r="H10" i="3" s="1"/>
  <c r="C19" i="3"/>
  <c r="C21" i="4"/>
  <c r="C21" i="7"/>
  <c r="H9" i="7"/>
  <c r="H9" i="2"/>
  <c r="C29" i="2" s="1"/>
  <c r="C29" i="4"/>
  <c r="C44" i="4" s="1"/>
  <c r="G8" i="4"/>
  <c r="C29" i="7"/>
  <c r="C31" i="7" s="1"/>
  <c r="G9" i="7"/>
  <c r="D84" i="5"/>
  <c r="B73" i="5" s="1"/>
  <c r="C74" i="5"/>
  <c r="B75" i="4"/>
  <c r="C64" i="3"/>
  <c r="B66" i="3" s="1"/>
  <c r="G8" i="3"/>
  <c r="B75" i="3"/>
  <c r="G9" i="2"/>
  <c r="E19" i="5"/>
  <c r="G19" i="5" s="1"/>
  <c r="D85" i="5"/>
  <c r="E19" i="4"/>
  <c r="G19" i="4" s="1"/>
  <c r="G8" i="5"/>
  <c r="B82" i="5"/>
  <c r="C42" i="7"/>
  <c r="C66" i="7"/>
  <c r="C67" i="7"/>
  <c r="G67" i="7" s="1"/>
  <c r="C43" i="7"/>
  <c r="G43" i="7" s="1"/>
  <c r="G20" i="7"/>
  <c r="C48" i="7" s="1"/>
  <c r="G19" i="7"/>
  <c r="E30" i="7"/>
  <c r="G30" i="7" s="1"/>
  <c r="E29" i="7"/>
  <c r="C30" i="2"/>
  <c r="C42" i="2"/>
  <c r="C43" i="2"/>
  <c r="G43" i="2" s="1"/>
  <c r="G19" i="2"/>
  <c r="C47" i="2" s="1"/>
  <c r="G20" i="2"/>
  <c r="B70" i="2" s="1"/>
  <c r="G68" i="2"/>
  <c r="C69" i="2"/>
  <c r="H77" i="6"/>
  <c r="C13" i="6"/>
  <c r="G8" i="6"/>
  <c r="E28" i="6"/>
  <c r="H8" i="6"/>
  <c r="E20" i="6"/>
  <c r="G20" i="6" s="1"/>
  <c r="C62" i="6"/>
  <c r="E63" i="6"/>
  <c r="G63" i="6" s="1"/>
  <c r="E19" i="6"/>
  <c r="G19" i="6" s="1"/>
  <c r="C29" i="6"/>
  <c r="E62" i="6"/>
  <c r="D79" i="6"/>
  <c r="B65" i="6"/>
  <c r="C29" i="5"/>
  <c r="D34" i="5" s="1"/>
  <c r="G20" i="5"/>
  <c r="B53" i="5" s="1"/>
  <c r="C13" i="5"/>
  <c r="E29" i="5"/>
  <c r="C69" i="5"/>
  <c r="E70" i="5"/>
  <c r="G70" i="5" s="1"/>
  <c r="H8" i="5"/>
  <c r="C28" i="5" s="1"/>
  <c r="E28" i="5"/>
  <c r="E69" i="5"/>
  <c r="D86" i="5"/>
  <c r="G20" i="4"/>
  <c r="C13" i="4"/>
  <c r="E29" i="4"/>
  <c r="C62" i="4"/>
  <c r="C64" i="4" s="1"/>
  <c r="E63" i="4"/>
  <c r="G63" i="4" s="1"/>
  <c r="D78" i="4"/>
  <c r="D81" i="4" s="1"/>
  <c r="H8" i="4"/>
  <c r="C28" i="4" s="1"/>
  <c r="E28" i="4"/>
  <c r="D79" i="4"/>
  <c r="B65" i="4"/>
  <c r="C13" i="3"/>
  <c r="D78" i="3"/>
  <c r="D81" i="3" s="1"/>
  <c r="D79" i="3"/>
  <c r="E29" i="3"/>
  <c r="E62" i="3"/>
  <c r="G62" i="3" s="1"/>
  <c r="E28" i="3"/>
  <c r="E20" i="3"/>
  <c r="G20" i="3" s="1"/>
  <c r="E30" i="2"/>
  <c r="E29" i="2"/>
  <c r="C21" i="3"/>
  <c r="D77" i="3" l="1"/>
  <c r="H11" i="3"/>
  <c r="H13" i="3" s="1"/>
  <c r="H15" i="3" s="1"/>
  <c r="H16" i="3" s="1"/>
  <c r="C30" i="4"/>
  <c r="C31" i="2"/>
  <c r="C33" i="5"/>
  <c r="C30" i="5"/>
  <c r="G29" i="2"/>
  <c r="I64" i="3"/>
  <c r="C28" i="3"/>
  <c r="C43" i="3" s="1"/>
  <c r="G44" i="4"/>
  <c r="D80" i="3"/>
  <c r="G63" i="3"/>
  <c r="G64" i="3" s="1"/>
  <c r="G30" i="2"/>
  <c r="C44" i="2"/>
  <c r="G44" i="2" s="1"/>
  <c r="G29" i="7"/>
  <c r="G31" i="7" s="1"/>
  <c r="B78" i="6"/>
  <c r="J77" i="6"/>
  <c r="B67" i="6" s="1"/>
  <c r="J64" i="3"/>
  <c r="G42" i="2"/>
  <c r="G21" i="4"/>
  <c r="C15" i="4" s="1"/>
  <c r="J6" i="5"/>
  <c r="L6" i="5" s="1"/>
  <c r="D74" i="5"/>
  <c r="E74" i="5" s="1"/>
  <c r="B69" i="7"/>
  <c r="C68" i="7"/>
  <c r="C44" i="7"/>
  <c r="G42" i="7"/>
  <c r="C47" i="7"/>
  <c r="G21" i="7"/>
  <c r="G21" i="2"/>
  <c r="C15" i="2" s="1"/>
  <c r="C48" i="2"/>
  <c r="C40" i="2" s="1"/>
  <c r="C70" i="2"/>
  <c r="I69" i="2"/>
  <c r="J69" i="2"/>
  <c r="C28" i="6"/>
  <c r="C43" i="6" s="1"/>
  <c r="G29" i="6"/>
  <c r="C44" i="6"/>
  <c r="G44" i="6" s="1"/>
  <c r="G21" i="6"/>
  <c r="C15" i="6" s="1"/>
  <c r="C64" i="6"/>
  <c r="G62" i="6"/>
  <c r="G64" i="6" s="1"/>
  <c r="G21" i="5"/>
  <c r="C15" i="5" s="1"/>
  <c r="C71" i="5"/>
  <c r="C72" i="5" s="1"/>
  <c r="G69" i="5"/>
  <c r="G71" i="5" s="1"/>
  <c r="C46" i="5"/>
  <c r="G46" i="5" s="1"/>
  <c r="C43" i="5" s="1"/>
  <c r="G29" i="5"/>
  <c r="C65" i="3"/>
  <c r="G29" i="4"/>
  <c r="G28" i="4"/>
  <c r="G30" i="4" s="1"/>
  <c r="C43" i="4"/>
  <c r="D80" i="4"/>
  <c r="D77" i="4"/>
  <c r="G62" i="4"/>
  <c r="G64" i="4" s="1"/>
  <c r="G29" i="3"/>
  <c r="G21" i="3"/>
  <c r="C27" i="7" l="1"/>
  <c r="E66" i="7" s="1"/>
  <c r="G66" i="7" s="1"/>
  <c r="G68" i="7" s="1"/>
  <c r="G43" i="4"/>
  <c r="C45" i="4"/>
  <c r="G66" i="3"/>
  <c r="C59" i="3" s="1"/>
  <c r="G59" i="3" s="1"/>
  <c r="E68" i="3"/>
  <c r="C68" i="3"/>
  <c r="G31" i="2"/>
  <c r="C27" i="2" s="1"/>
  <c r="E67" i="2" s="1"/>
  <c r="G67" i="2" s="1"/>
  <c r="G69" i="2" s="1"/>
  <c r="G28" i="6"/>
  <c r="C30" i="6"/>
  <c r="G30" i="6" s="1"/>
  <c r="G43" i="3"/>
  <c r="C45" i="3"/>
  <c r="J45" i="3" s="1"/>
  <c r="G28" i="3"/>
  <c r="C30" i="3"/>
  <c r="I44" i="2"/>
  <c r="J44" i="2"/>
  <c r="G67" i="6"/>
  <c r="G44" i="7"/>
  <c r="J44" i="7"/>
  <c r="I44" i="7"/>
  <c r="J68" i="7"/>
  <c r="I68" i="7"/>
  <c r="C69" i="7"/>
  <c r="C15" i="7"/>
  <c r="C40" i="7"/>
  <c r="D25" i="7" s="1"/>
  <c r="C49" i="7"/>
  <c r="C49" i="2"/>
  <c r="C65" i="6"/>
  <c r="J64" i="6"/>
  <c r="I64" i="6"/>
  <c r="G43" i="6"/>
  <c r="C45" i="6"/>
  <c r="G73" i="5"/>
  <c r="J71" i="5"/>
  <c r="I71" i="5"/>
  <c r="G28" i="5"/>
  <c r="C45" i="5"/>
  <c r="C26" i="4"/>
  <c r="D24" i="4"/>
  <c r="C15" i="3"/>
  <c r="J64" i="4"/>
  <c r="I64" i="4"/>
  <c r="C65" i="4"/>
  <c r="G66" i="4" s="1"/>
  <c r="C59" i="4" s="1"/>
  <c r="B66" i="4"/>
  <c r="G70" i="7" l="1"/>
  <c r="C63" i="7" s="1"/>
  <c r="G68" i="3"/>
  <c r="G30" i="3"/>
  <c r="D24" i="3" s="1"/>
  <c r="D25" i="2"/>
  <c r="G71" i="2"/>
  <c r="C64" i="2" s="1"/>
  <c r="G44" i="3"/>
  <c r="G45" i="3" s="1"/>
  <c r="D24" i="6"/>
  <c r="C26" i="6"/>
  <c r="I45" i="3"/>
  <c r="C59" i="6"/>
  <c r="C66" i="5"/>
  <c r="L66" i="5" s="1"/>
  <c r="L61" i="5" s="1"/>
  <c r="G74" i="5"/>
  <c r="C50" i="5"/>
  <c r="G45" i="5"/>
  <c r="G45" i="6"/>
  <c r="J45" i="6"/>
  <c r="I45" i="6"/>
  <c r="C34" i="5"/>
  <c r="G30" i="5"/>
  <c r="G34" i="5" s="1"/>
  <c r="C47" i="5"/>
  <c r="J45" i="4"/>
  <c r="I45" i="4"/>
  <c r="G45" i="4"/>
  <c r="C26" i="3" l="1"/>
  <c r="G47" i="5"/>
  <c r="C51" i="5"/>
  <c r="C26" i="5"/>
  <c r="D24" i="5" s="1"/>
  <c r="J47" i="5"/>
  <c r="I47" i="5"/>
  <c r="L58" i="5" l="1"/>
  <c r="L24" i="5"/>
  <c r="L59" i="5" s="1"/>
  <c r="L60" i="5" s="1"/>
  <c r="L62" i="5" s="1"/>
</calcChain>
</file>

<file path=xl/sharedStrings.xml><?xml version="1.0" encoding="utf-8"?>
<sst xmlns="http://schemas.openxmlformats.org/spreadsheetml/2006/main" count="612" uniqueCount="167">
  <si>
    <t>CASE1</t>
    <phoneticPr fontId="2" type="noConversion"/>
  </si>
  <si>
    <t>CASE2</t>
    <phoneticPr fontId="2" type="noConversion"/>
  </si>
  <si>
    <t>CASE3</t>
  </si>
  <si>
    <t>CASE4</t>
  </si>
  <si>
    <t>CASE5</t>
  </si>
  <si>
    <t>CASE6</t>
  </si>
  <si>
    <t>전체 상시근로자수</t>
    <phoneticPr fontId="2" type="noConversion"/>
  </si>
  <si>
    <t>증가</t>
    <phoneticPr fontId="2" type="noConversion"/>
  </si>
  <si>
    <t>감소</t>
    <phoneticPr fontId="2" type="noConversion"/>
  </si>
  <si>
    <t>청년</t>
    <phoneticPr fontId="2" type="noConversion"/>
  </si>
  <si>
    <t>청년 외</t>
    <phoneticPr fontId="2" type="noConversion"/>
  </si>
  <si>
    <t>구분</t>
    <phoneticPr fontId="2" type="noConversion"/>
  </si>
  <si>
    <t>전체 상시근로자수 (①+②)</t>
    <phoneticPr fontId="2" type="noConversion"/>
  </si>
  <si>
    <t>2018년</t>
    <phoneticPr fontId="2" type="noConversion"/>
  </si>
  <si>
    <t>2019년</t>
    <phoneticPr fontId="2" type="noConversion"/>
  </si>
  <si>
    <t>증감</t>
    <phoneticPr fontId="2" type="noConversion"/>
  </si>
  <si>
    <t>청년외</t>
    <phoneticPr fontId="2" type="noConversion"/>
  </si>
  <si>
    <t xml:space="preserve">    (1) 근로자수 계산</t>
    <phoneticPr fontId="2" type="noConversion"/>
  </si>
  <si>
    <t xml:space="preserve">        쳥년</t>
    <phoneticPr fontId="2" type="noConversion"/>
  </si>
  <si>
    <t xml:space="preserve">        청년외</t>
    <phoneticPr fontId="2" type="noConversion"/>
  </si>
  <si>
    <t xml:space="preserve">    (2) 공제금액</t>
    <phoneticPr fontId="2" type="noConversion"/>
  </si>
  <si>
    <t>X</t>
    <phoneticPr fontId="2" type="noConversion"/>
  </si>
  <si>
    <t>=</t>
    <phoneticPr fontId="2" type="noConversion"/>
  </si>
  <si>
    <t xml:space="preserve">  1) 1차년도 공제금액</t>
    <phoneticPr fontId="2" type="noConversion"/>
  </si>
  <si>
    <t xml:space="preserve">   1) 1차년도 공제금액</t>
    <phoneticPr fontId="2" type="noConversion"/>
  </si>
  <si>
    <t xml:space="preserve">※ 조세특례제한법 제29조의7 제1항제1호 </t>
    <phoneticPr fontId="2" type="noConversion"/>
  </si>
  <si>
    <t>청년 정규직 근로자와 장애인 근로자 등 대통령령으로 정하는 상시근로자의 증가한</t>
    <phoneticPr fontId="2" type="noConversion"/>
  </si>
  <si>
    <t>인원수(증가한 상시근로자의 인원 수를 한도로 한다)에 400만원[중견기업의 경우에는</t>
    <phoneticPr fontId="2" type="noConversion"/>
  </si>
  <si>
    <t xml:space="preserve">800만원, 중소기업의 경우에는 1,100만원(중소기업으로서 수도권 밖의 지역에서 </t>
    <phoneticPr fontId="2" type="noConversion"/>
  </si>
  <si>
    <t>증가한 경우에는 1,200만원)]을 곱한 금액</t>
    <phoneticPr fontId="2" type="noConversion"/>
  </si>
  <si>
    <t>(생략) 해당 과세연도의 대통령령으로 정하는 상시근로자의 수가 직전 과세연도의 상</t>
    <phoneticPr fontId="2" type="noConversion"/>
  </si>
  <si>
    <t>시근로자의 수보다 증가한 경우에는 다음 각 호에 따른 금액을 더한 금액을 해당</t>
    <phoneticPr fontId="2" type="noConversion"/>
  </si>
  <si>
    <t>과세연도와 해당 과세연도의 종료일부터 1년[중소기업 및 대통령령으로 정하는 중견</t>
    <phoneticPr fontId="2" type="noConversion"/>
  </si>
  <si>
    <t>기업의 경우에는 2년]이 되는 날이 속하는 과세연도까지의 소득세(사업소득에 대한</t>
    <phoneticPr fontId="2" type="noConversion"/>
  </si>
  <si>
    <t>소득세만 해당한다) 또는 법인세에서 공제한다.</t>
    <phoneticPr fontId="2" type="noConversion"/>
  </si>
  <si>
    <t>=&gt; 전체 상시근로자 감소한 바 1차년도 공제금액 없음</t>
    <phoneticPr fontId="2" type="noConversion"/>
  </si>
  <si>
    <t xml:space="preserve">  2) 2차년도 공제금액 </t>
    <phoneticPr fontId="2" type="noConversion"/>
  </si>
  <si>
    <t>(없음)</t>
    <phoneticPr fontId="2" type="noConversion"/>
  </si>
  <si>
    <t xml:space="preserve">     (2) 공제금액 없음</t>
    <phoneticPr fontId="2" type="noConversion"/>
  </si>
  <si>
    <t xml:space="preserve">       ※ 조세특례제한법 제29조의7 제2항</t>
    <phoneticPr fontId="2" type="noConversion"/>
  </si>
  <si>
    <t>제1항에 따라 소득세 또는 법인세를 공제받은 내국인이 최초로 공제를 받은 과세</t>
    <phoneticPr fontId="2" type="noConversion"/>
  </si>
  <si>
    <t>연도의 종료일부터 2년이 되는 날이 속하는 과세연도의 종료일까지의 기간 중 전체</t>
    <phoneticPr fontId="2" type="noConversion"/>
  </si>
  <si>
    <t>상시근로자의 수가 최초로 공제를 받은 과세연도에 비하여 감소한 경우에는 감소한</t>
    <phoneticPr fontId="2" type="noConversion"/>
  </si>
  <si>
    <t>과세연도부터 제1항을 적용하지 아니하고, (이하생략)</t>
    <phoneticPr fontId="2" type="noConversion"/>
  </si>
  <si>
    <t xml:space="preserve">   1) 1차년도 납부금액</t>
    <phoneticPr fontId="2" type="noConversion"/>
  </si>
  <si>
    <t xml:space="preserve">      ※ 조세특례제한법 시행령 제26조의7 제5항제1호가목</t>
    <phoneticPr fontId="2" type="noConversion"/>
  </si>
  <si>
    <t>1) 청년등 상시근로자의 감소한 인원 수가 상시근로자의 감소한 인원 수 이상인 경우</t>
    <phoneticPr fontId="2" type="noConversion"/>
  </si>
  <si>
    <t>{①최초로 공제받은 과세연도 대비 청년등 상시근로자의 감소한 인원 수(최초로 공제받은 과세연도에 청년등 상시근로자의 증가한 인원 수를 한도로 한다)-②상시근로자의 감소한 인원 수}×(③법 제29조의7제1항제1호의 금액-④같은 항 제2호의 금액)</t>
    <phoneticPr fontId="2" type="noConversion"/>
  </si>
  <si>
    <t>+(⑤상시근로자의 감소한 인원 수×⑥법 제29조의7제1항제1호의 금액)</t>
    <phoneticPr fontId="2" type="noConversion"/>
  </si>
  <si>
    <t xml:space="preserve">         (최초로 공제받은 과세연도에 청년등 상시근로자의 증가한 인원 수를 한도로 한다.)</t>
    <phoneticPr fontId="2" type="noConversion"/>
  </si>
  <si>
    <t xml:space="preserve">       ② 상시근로자의 감소한 인원 수</t>
    <phoneticPr fontId="2" type="noConversion"/>
  </si>
  <si>
    <t>명</t>
    <phoneticPr fontId="2" type="noConversion"/>
  </si>
  <si>
    <t xml:space="preserve">       ③ 법 제29조의7제1항제1호의 금액</t>
    <phoneticPr fontId="2" type="noConversion"/>
  </si>
  <si>
    <t>원</t>
    <phoneticPr fontId="2" type="noConversion"/>
  </si>
  <si>
    <t xml:space="preserve">       ④ 같은 항 제2호의 금액</t>
    <phoneticPr fontId="2" type="noConversion"/>
  </si>
  <si>
    <t xml:space="preserve">       ⑤ 상시근로자의 감소한 인원 수</t>
    <phoneticPr fontId="2" type="noConversion"/>
  </si>
  <si>
    <t xml:space="preserve">       ⑥ 법 제29조의7제1항제1호의 금액</t>
    <phoneticPr fontId="2" type="noConversion"/>
  </si>
  <si>
    <t>공제금액 없음</t>
    <phoneticPr fontId="2" type="noConversion"/>
  </si>
  <si>
    <t xml:space="preserve">    (2) 공제금액 계산</t>
    <phoneticPr fontId="2" type="noConversion"/>
  </si>
  <si>
    <t>청년:</t>
    <phoneticPr fontId="2" type="noConversion"/>
  </si>
  <si>
    <t>청년외:</t>
    <phoneticPr fontId="2" type="noConversion"/>
  </si>
  <si>
    <t>원 공제</t>
    <phoneticPr fontId="2" type="noConversion"/>
  </si>
  <si>
    <t xml:space="preserve">※ 조세특례제한법 제29조의7 제1항제2호      </t>
    <phoneticPr fontId="2" type="noConversion"/>
  </si>
  <si>
    <t>청년등 상시근로자 외 상시근로자의 증가한 인원 수(증가한 상시근로자의 인원 수를</t>
    <phoneticPr fontId="2" type="noConversion"/>
  </si>
  <si>
    <t>한도로 한다) × 0(중견기업의 경우에는 450만원, 중소기업의 경우에는 다음 각 목에</t>
    <phoneticPr fontId="2" type="noConversion"/>
  </si>
  <si>
    <t>따른 금액)</t>
    <phoneticPr fontId="2" type="noConversion"/>
  </si>
  <si>
    <t>가. 수도권 내의 지역에서 증가한 경우: 700만원....(이하생략)</t>
    <phoneticPr fontId="2" type="noConversion"/>
  </si>
  <si>
    <t xml:space="preserve">      ※ 조세특례제한법 시행령 제26조의7 제5항제1호가목 2) 그 밖의 경우</t>
    <phoneticPr fontId="2" type="noConversion"/>
  </si>
  <si>
    <t xml:space="preserve">{①최초로 공제받은 과세연도 대비 청년등 상시근로자의 감소한 인원 수(최초로 공제받은 과세연도에 청년등 상시근로자의 증가한 인원 수를 한도로 한다)×②법 제29조의7제1항제1호의 금액}+{③최초로 공제받은 과세연도 대비 청년등 상시근로자 외 </t>
    <phoneticPr fontId="2" type="noConversion"/>
  </si>
  <si>
    <r>
      <t>상시근로자의 감소한 인원 수(</t>
    </r>
    <r>
      <rPr>
        <b/>
        <u/>
        <sz val="11"/>
        <color theme="1"/>
        <rFont val="맑은 고딕"/>
        <family val="3"/>
        <charset val="129"/>
        <scheme val="minor"/>
      </rPr>
      <t>상시근로자의 감소한 인원 수를 한도로 한다</t>
    </r>
    <r>
      <rPr>
        <sz val="11"/>
        <color theme="1"/>
        <rFont val="맑은 고딕"/>
        <family val="2"/>
        <charset val="129"/>
        <scheme val="minor"/>
      </rPr>
      <t>)×④법 제29조의7제1항제2호의 금액}</t>
    </r>
    <phoneticPr fontId="2" type="noConversion"/>
  </si>
  <si>
    <t xml:space="preserve">=&gt; ① 최초로 공제받은 과세연도 대비 청년등 상시근로자의 감소한 인원 수 </t>
    <phoneticPr fontId="2" type="noConversion"/>
  </si>
  <si>
    <t>(-)</t>
    <phoneticPr fontId="2" type="noConversion"/>
  </si>
  <si>
    <t xml:space="preserve">      ③ 최초로 공제받은 과세연도 대비 청년등 상시근로자 외 상시근로자의 감소한 인원 수</t>
    <phoneticPr fontId="2" type="noConversion"/>
  </si>
  <si>
    <t xml:space="preserve">      ② 법 제29조의7제1항제1호의 금액</t>
    <phoneticPr fontId="2" type="noConversion"/>
  </si>
  <si>
    <t xml:space="preserve">       ④ 법 제29조의7제1항제2호의 금액</t>
    <phoneticPr fontId="2" type="noConversion"/>
  </si>
  <si>
    <t>원 납부</t>
    <phoneticPr fontId="2" type="noConversion"/>
  </si>
  <si>
    <t>※ 조세특례제한법 제29조의7 제1항</t>
    <phoneticPr fontId="2" type="noConversion"/>
  </si>
  <si>
    <t>(생략) 상시근로자의 수가 직전 과세연도의 상시근로자의 수보다 증가한 경우에는</t>
    <phoneticPr fontId="2" type="noConversion"/>
  </si>
  <si>
    <t>다음 각 호에 따른 금액을 더한 금액을 해당 과세연도와 해당 과세연도의 종료일부터</t>
    <phoneticPr fontId="2" type="noConversion"/>
  </si>
  <si>
    <t>1년[중소기업 및 대통령령으로 정하는 중견기업의 경우에는 2년]이 되는 날이 속하는</t>
    <phoneticPr fontId="2" type="noConversion"/>
  </si>
  <si>
    <t>과세연도까지의 소득세(사업소득에 대한소득세만 해당한다) 또는 법인세에서 공제한다.</t>
    <phoneticPr fontId="2" type="noConversion"/>
  </si>
  <si>
    <t xml:space="preserve">   (2) 납부금액 없음</t>
    <phoneticPr fontId="2" type="noConversion"/>
  </si>
  <si>
    <t xml:space="preserve">   =&gt; 전체상시근로자 및 청년상시근로자 감소하지 않은 바, 납부할 세액 없음</t>
    <phoneticPr fontId="2" type="noConversion"/>
  </si>
  <si>
    <t xml:space="preserve">※ 조세특례제한법 시행령 제26조의7 제5항제1호에서 ①전체상시근로자가 감소하는 </t>
    <phoneticPr fontId="2" type="noConversion"/>
  </si>
  <si>
    <t xml:space="preserve">경우 또는 ②전체상시근로자 수는 감소하지 않으면서 청년 등 상시근로자 수가 </t>
    <phoneticPr fontId="2" type="noConversion"/>
  </si>
  <si>
    <t>감소한 경우에만 납부하도록 하고 있음</t>
    <phoneticPr fontId="2" type="noConversion"/>
  </si>
  <si>
    <t>(생략) 해당 과세연도의 대통령령으로 정하는 상시근로자의 수가 직전 과세연도의 상시근로자의 수보다 증가한 경우에는</t>
    <phoneticPr fontId="2" type="noConversion"/>
  </si>
  <si>
    <t>다음 각 호에 따른 금액을 더한 금액을 해당
과세연도와 해당 과세연도의 종료일부터 1년[중소기업 및 대통령령으로 정하는 중견</t>
    <phoneticPr fontId="2" type="noConversion"/>
  </si>
  <si>
    <t>기업의 경우에는 2년]이 되는 날이 속하는 과세연도까지의 소득세(사업소득에 대한 소득세만 해당한다) 또는 법인세에서 공제한다.</t>
    <phoneticPr fontId="2" type="noConversion"/>
  </si>
  <si>
    <t>(생략) 다음 각 호에 따른 금액을 더한 금액을 해당 과세연도와 해당과세연도의 종료일</t>
    <phoneticPr fontId="2" type="noConversion"/>
  </si>
  <si>
    <t>부터 1년[중소기업의 경우에는 2년]....(이하생략)</t>
    <phoneticPr fontId="2" type="noConversion"/>
  </si>
  <si>
    <t>확실치 않음. 검토 참고용으로 만 사용</t>
    <phoneticPr fontId="2" type="noConversion"/>
  </si>
  <si>
    <t>CASE1</t>
    <phoneticPr fontId="2" type="noConversion"/>
  </si>
  <si>
    <t>CASE2</t>
    <phoneticPr fontId="2" type="noConversion"/>
  </si>
  <si>
    <t>CASE3</t>
    <phoneticPr fontId="2" type="noConversion"/>
  </si>
  <si>
    <t>CASE4</t>
    <phoneticPr fontId="2" type="noConversion"/>
  </si>
  <si>
    <t>CASE5</t>
    <phoneticPr fontId="2" type="noConversion"/>
  </si>
  <si>
    <t>CASE6</t>
    <phoneticPr fontId="2" type="noConversion"/>
  </si>
  <si>
    <t>차액</t>
    <phoneticPr fontId="2" type="noConversion"/>
  </si>
  <si>
    <t>청년등 상시근로자수(①)</t>
    <phoneticPr fontId="2" type="noConversion"/>
  </si>
  <si>
    <t>청년등 외 상시근로자수(②)</t>
    <phoneticPr fontId="2" type="noConversion"/>
  </si>
  <si>
    <t>증가</t>
    <phoneticPr fontId="2" type="noConversion"/>
  </si>
  <si>
    <t>농특세</t>
    <phoneticPr fontId="2" type="noConversion"/>
  </si>
  <si>
    <t>환급</t>
    <phoneticPr fontId="2" type="noConversion"/>
  </si>
  <si>
    <t>납부</t>
    <phoneticPr fontId="2" type="noConversion"/>
  </si>
  <si>
    <t>기납부세액</t>
    <phoneticPr fontId="2" type="noConversion"/>
  </si>
  <si>
    <t>농어촌특별세 과세표준 및 세액조정내역</t>
    <phoneticPr fontId="2" type="noConversion"/>
  </si>
  <si>
    <t>과세표준</t>
    <phoneticPr fontId="2" type="noConversion"/>
  </si>
  <si>
    <t>산출세액</t>
    <phoneticPr fontId="2" type="noConversion"/>
  </si>
  <si>
    <t>총부담세액</t>
    <phoneticPr fontId="2" type="noConversion"/>
  </si>
  <si>
    <t>차감납부할세액</t>
    <phoneticPr fontId="2" type="noConversion"/>
  </si>
  <si>
    <t>중소기업 - 수도권 밖</t>
    <phoneticPr fontId="2" type="noConversion"/>
  </si>
  <si>
    <t>중소기업 - 수도권 안</t>
    <phoneticPr fontId="2" type="noConversion"/>
  </si>
  <si>
    <t>③ 최저한세 적용된다.</t>
    <phoneticPr fontId="2" type="noConversion"/>
  </si>
  <si>
    <t>최저한세로 인한 이월 CHECK!!</t>
    <phoneticPr fontId="2" type="noConversion"/>
  </si>
  <si>
    <t>④ 농어촌특별세 해당된다.</t>
    <phoneticPr fontId="2" type="noConversion"/>
  </si>
  <si>
    <t>중견기업</t>
    <phoneticPr fontId="2" type="noConversion"/>
  </si>
  <si>
    <t>일반기업</t>
    <phoneticPr fontId="2" type="noConversion"/>
  </si>
  <si>
    <t>중소기업 - 수도권 내</t>
    <phoneticPr fontId="2" type="noConversion"/>
  </si>
  <si>
    <t>중소기업 - 수도권 밖</t>
    <phoneticPr fontId="2" type="noConversion"/>
  </si>
  <si>
    <t>최저한세로 인한 이월-소멸 CHECK!!</t>
    <phoneticPr fontId="2" type="noConversion"/>
  </si>
  <si>
    <t>청년등</t>
    <phoneticPr fontId="2" type="noConversion"/>
  </si>
  <si>
    <t>청년등 외</t>
    <phoneticPr fontId="2" type="noConversion"/>
  </si>
  <si>
    <t>상시근로자 제외</t>
    <phoneticPr fontId="2" type="noConversion"/>
  </si>
  <si>
    <t>가. 「기간제 및 단시간근로자 보호 등에 관한 법률」에 따른 기간제근로자 및 단시간근로자</t>
    <phoneticPr fontId="2" type="noConversion"/>
  </si>
  <si>
    <t>나. 「파견근로자보호 등에 관한 법률」에 따른 파견근로자</t>
    <phoneticPr fontId="2" type="noConversion"/>
  </si>
  <si>
    <t>다. 「청소년 보호법」 제2조제5호 각 목에 따른 업소에 근무하는 같은 조 제1호에 따른 청소년</t>
    <phoneticPr fontId="2" type="noConversion"/>
  </si>
  <si>
    <t>청년등</t>
    <phoneticPr fontId="2" type="noConversion"/>
  </si>
  <si>
    <t xml:space="preserve">⑨란부터 ⑪란까지의 청년 등 상시 근로자란 15세 이상 29세 이하인 근로자 중 </t>
    <phoneticPr fontId="2" type="noConversion"/>
  </si>
  <si>
    <t xml:space="preserve">다음 각 목의 어느 하나에 해당하는 사람을 제외한 근로자(해당 근로자가 병역을 이행한 경우에는 그 기간(6년을 한도로 합니다)을 현재 연령에서 빼고 계산한 연령이 29세 이하인 사람을 포함)와 </t>
    <phoneticPr fontId="2" type="noConversion"/>
  </si>
  <si>
    <t xml:space="preserve">근로계약 체결일 현재 </t>
    <phoneticPr fontId="2" type="noConversion"/>
  </si>
  <si>
    <t>「장애인복지법」의 적용을 받는 장애인,</t>
    <phoneticPr fontId="2" type="noConversion"/>
  </si>
  <si>
    <t xml:space="preserve"> 「국가유공자 등 예우 및 지원에 관한 법률」에 따른 상이자,</t>
    <phoneticPr fontId="2" type="noConversion"/>
  </si>
  <si>
    <t xml:space="preserve"> 「5ㆍ18민주유공자예우에 관한 법률」 제4조제2호에 따른 5ㆍ18민주화운동부상자,</t>
    <phoneticPr fontId="2" type="noConversion"/>
  </si>
  <si>
    <t xml:space="preserve"> 「고엽제후유의증 등 환자지원 및 단체설립에 관한 법률」 제2조제3호에 따른 고엽제후유의증환자로서 장애등급 판정을 받은 사람</t>
    <phoneticPr fontId="2" type="noConversion"/>
  </si>
  <si>
    <t>(5ㆍ18민주화운동부상자, 고엽제후유의증환자로서 장애등급 판정을 받은 사람은 2019년 과세연도부터 적용됩니다)을 말합니다.</t>
    <phoneticPr fontId="2" type="noConversion"/>
  </si>
  <si>
    <t xml:space="preserve">가. 근로계약기간이 1년 미만인 근로자. 다만, 근로계약의 연속된 갱신으로 인하여 그 근로계약의 총 기간이 1년 이상인 근로자는 상시근로자로 봅니다.
</t>
    <phoneticPr fontId="2" type="noConversion"/>
  </si>
  <si>
    <t xml:space="preserve">나. 「근로기준법」 제2조제1항제8호에 따른 단시간근로자. 다만, 1개월간의 소정근로시간이 60시간 이상인 근로자는 상시근로자로 봅니다.
</t>
    <phoneticPr fontId="2" type="noConversion"/>
  </si>
  <si>
    <t xml:space="preserve">다. 「법인세법 시행령」 제42조제1항 각 호의 어느 하나에 해당하는 임원
</t>
    <phoneticPr fontId="2" type="noConversion"/>
  </si>
  <si>
    <t xml:space="preserve">라. 해당 기업의 최대주주 또는 최대출자자(개인사업자의 경우에는 대표자를 말한다)와 그 배우자
</t>
    <phoneticPr fontId="2" type="noConversion"/>
  </si>
  <si>
    <t xml:space="preserve">마. 라목에 해당하는 자의 직계존비속(그 배우자를 포함) 및 「국세기본법 시행령」 제1조의2제1항에 따른 친족관계인 사람
</t>
    <phoneticPr fontId="2" type="noConversion"/>
  </si>
  <si>
    <t>바. 「소득세법 시행령」 제196조에 따른 근로소득원천징수부에 의하여 근로소득세를 원천징수한 사실이 확인되지 아니하고,</t>
    <phoneticPr fontId="2" type="noConversion"/>
  </si>
  <si>
    <t xml:space="preserve">     「국민연금법」 제3조제1항제11호 및 제12호에 따른 부담금 및 기여금 또는 「국민건강보험법」 제69조에 따른 직장가입자의 보험료에 해당하는 금액의 납부사실도 확인되지 아니하는 자</t>
    <phoneticPr fontId="2" type="noConversion"/>
  </si>
  <si>
    <t>⑦ 제6항을 적용할 때 ★공제받은 과세연도★에 제3항에 따른 청년 정규직 근로자에 해당한 자는 이후 과세연도에도 청년 정규직 근로자로 보아 청년 정규직 근로자 수를 계산한다.(2020.02.11. 개정)</t>
    <phoneticPr fontId="2" type="noConversion"/>
  </si>
  <si>
    <t>제8조 【고용을 증대시킨 기업에 대한 세액공제의 사후관리에 관한 적용례】</t>
    <phoneticPr fontId="2" type="noConversion"/>
  </si>
  <si>
    <t>제26조의7 제5항 및 제6항의 개정규정은 이 영 시행 이후 과세표준을 신고하는 분부터 적용한다.</t>
    <phoneticPr fontId="2" type="noConversion"/>
  </si>
  <si>
    <t>청년고용증대기업에대한공제세액</t>
    <phoneticPr fontId="2" type="noConversion"/>
  </si>
  <si>
    <t>구분</t>
    <phoneticPr fontId="2" type="noConversion"/>
  </si>
  <si>
    <t>청년등</t>
    <phoneticPr fontId="2" type="noConversion"/>
  </si>
  <si>
    <t>청년등외</t>
    <phoneticPr fontId="2" type="noConversion"/>
  </si>
  <si>
    <t>전체상시근로자</t>
    <phoneticPr fontId="2" type="noConversion"/>
  </si>
  <si>
    <t>고용증대기업에대한공제세액계산서</t>
    <phoneticPr fontId="2" type="noConversion"/>
  </si>
  <si>
    <t>청년고용증대기업에 대한 공제세액계산서</t>
    <phoneticPr fontId="2" type="noConversion"/>
  </si>
  <si>
    <r>
      <t xml:space="preserve">공제받은 과세연도 대비 직전 과세연도의 </t>
    </r>
    <r>
      <rPr>
        <b/>
        <sz val="11"/>
        <color rgb="FFC00000"/>
        <rFont val="맑은 고딕"/>
        <family val="3"/>
        <charset val="129"/>
        <scheme val="minor"/>
      </rPr>
      <t>청년 정규직 근로자 감소 인원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b/>
        <sz val="11"/>
        <color rgb="FFC00000"/>
        <rFont val="맑은 고딕"/>
        <family val="3"/>
        <charset val="129"/>
        <scheme val="minor"/>
      </rPr>
      <t>전체 정규직 근로자 감소 인원</t>
    </r>
    <r>
      <rPr>
        <sz val="11"/>
        <color theme="1"/>
        <rFont val="맑은 고딕"/>
        <family val="2"/>
        <charset val="129"/>
        <scheme val="minor"/>
      </rPr>
      <t xml:space="preserve"> 또는 </t>
    </r>
    <r>
      <rPr>
        <b/>
        <sz val="11"/>
        <color rgb="FFC00000"/>
        <rFont val="맑은 고딕"/>
        <family val="3"/>
        <charset val="129"/>
        <scheme val="minor"/>
      </rPr>
      <t>상시근로자 감소 인원</t>
    </r>
    <r>
      <rPr>
        <sz val="11"/>
        <color theme="1"/>
        <rFont val="맑은 고딕"/>
        <family val="2"/>
        <charset val="129"/>
        <scheme val="minor"/>
      </rPr>
      <t xml:space="preserve"> 중 
(2017.05.08 개정)</t>
    </r>
    <phoneticPr fontId="2" type="noConversion"/>
  </si>
  <si>
    <t>공제시 전체 상시근로자에서 받았으니 0.75?</t>
    <phoneticPr fontId="2" type="noConversion"/>
  </si>
  <si>
    <r>
      <rPr>
        <b/>
        <u/>
        <sz val="11"/>
        <color rgb="FFC00000"/>
        <rFont val="맑은 고딕"/>
        <family val="3"/>
        <charset val="129"/>
        <scheme val="minor"/>
      </rPr>
      <t>가장 큰 수</t>
    </r>
    <r>
      <rPr>
        <sz val="11"/>
        <color theme="1"/>
        <rFont val="맑은 고딕"/>
        <family val="2"/>
        <charset val="129"/>
        <scheme val="minor"/>
      </rPr>
      <t>에 300만원(공제받은 과세연도에 중소기업의 경우에는 1,000만원, 중견기업의 경우에는  700만원)을 곱한 금액(공제받은 과세연도가 직전 과세연도인 경우에는 영으로 본다)</t>
    </r>
    <phoneticPr fontId="2" type="noConversion"/>
  </si>
  <si>
    <t>※ 공동사업자 주의 지분별 안분</t>
    <phoneticPr fontId="2" type="noConversion"/>
  </si>
  <si>
    <t>계</t>
    <phoneticPr fontId="2" type="noConversion"/>
  </si>
  <si>
    <t>세법하고 안맞음. 아니면 부호(-)붙인 상태에서 큰수 여부? 흠냐..</t>
    <phoneticPr fontId="2" type="noConversion"/>
  </si>
  <si>
    <t>2017VS2020</t>
    <phoneticPr fontId="2" type="noConversion"/>
  </si>
  <si>
    <t>2018VS2020</t>
    <phoneticPr fontId="2" type="noConversion"/>
  </si>
  <si>
    <t>2020년</t>
    <phoneticPr fontId="2" type="noConversion"/>
  </si>
  <si>
    <t>1. 2019년도 공제금액 계산</t>
    <phoneticPr fontId="2" type="noConversion"/>
  </si>
  <si>
    <t>2. 2020년도 공제금액 계산 (1) + (2) =</t>
    <phoneticPr fontId="2" type="noConversion"/>
  </si>
  <si>
    <t>=&gt; 상시근로자 및 청년상시근로자 감소하지 않은 바, 2019년도에 공제받은  금액을 2020년도에 한 번 더 공제</t>
    <phoneticPr fontId="2" type="noConversion"/>
  </si>
  <si>
    <t>2. 2020년도 납부(추징)할 금액 계산</t>
    <phoneticPr fontId="2" type="noConversion"/>
  </si>
  <si>
    <t>2020년공제금액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</si>
</sst>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.000"/>
    <numFmt numFmtId="177" formatCode="_-* #,##0.00_-;\-* #,##0.00_-;_-* &quot;-&quot;_-;_-@_-"/>
    <numFmt numFmtId="178" formatCode="_-* #,##0.00_-;[Red]\▲#,##0.00_-;_-* &quot;-&quot;??_-;_-@_-"/>
    <numFmt numFmtId="179" formatCode="_-* #,##0.00_-;\▲\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8" tint="-0.499984740745262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b/>
      <sz val="11"/>
      <color rgb="FFC00000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rgb="FFFF0000"/>
      </left>
      <right style="thick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 style="thick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3" fontId="0" fillId="0" borderId="4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6" fillId="0" borderId="0" xfId="0" applyNumberFormat="1" applyFont="1">
      <alignment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>
      <alignment vertical="center"/>
    </xf>
    <xf numFmtId="0" fontId="0" fillId="0" borderId="5" xfId="0" applyBorder="1">
      <alignment vertical="center"/>
    </xf>
    <xf numFmtId="41" fontId="4" fillId="0" borderId="5" xfId="1" applyFont="1" applyBorder="1">
      <alignment vertical="center"/>
    </xf>
    <xf numFmtId="41" fontId="0" fillId="0" borderId="0" xfId="0" applyNumberFormat="1">
      <alignment vertical="center"/>
    </xf>
    <xf numFmtId="0" fontId="0" fillId="2" borderId="0" xfId="0" applyFill="1">
      <alignment vertical="center"/>
    </xf>
    <xf numFmtId="3" fontId="6" fillId="3" borderId="0" xfId="0" applyNumberFormat="1" applyFont="1" applyFill="1">
      <alignment vertical="center"/>
    </xf>
    <xf numFmtId="41" fontId="7" fillId="3" borderId="0" xfId="0" applyNumberFormat="1" applyFont="1" applyFill="1">
      <alignment vertical="center"/>
    </xf>
    <xf numFmtId="0" fontId="0" fillId="3" borderId="0" xfId="0" applyFill="1">
      <alignment vertical="center"/>
    </xf>
    <xf numFmtId="0" fontId="8" fillId="0" borderId="0" xfId="0" quotePrefix="1" applyFont="1">
      <alignment vertical="center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3" fontId="0" fillId="0" borderId="5" xfId="0" applyNumberFormat="1" applyBorder="1">
      <alignment vertical="center"/>
    </xf>
    <xf numFmtId="0" fontId="10" fillId="0" borderId="0" xfId="2">
      <alignment vertical="center"/>
    </xf>
    <xf numFmtId="0" fontId="0" fillId="2" borderId="6" xfId="0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3" fontId="11" fillId="4" borderId="0" xfId="0" applyNumberFormat="1" applyFont="1" applyFill="1">
      <alignment vertical="center"/>
    </xf>
    <xf numFmtId="9" fontId="0" fillId="0" borderId="0" xfId="0" applyNumberFormat="1">
      <alignment vertical="center"/>
    </xf>
    <xf numFmtId="3" fontId="7" fillId="4" borderId="0" xfId="0" applyNumberFormat="1" applyFont="1" applyFill="1">
      <alignment vertical="center"/>
    </xf>
    <xf numFmtId="176" fontId="0" fillId="0" borderId="0" xfId="0" applyNumberFormat="1">
      <alignment vertical="center"/>
    </xf>
    <xf numFmtId="0" fontId="0" fillId="4" borderId="0" xfId="0" applyFill="1" applyAlignment="1">
      <alignment horizontal="center" vertical="center"/>
    </xf>
    <xf numFmtId="41" fontId="0" fillId="3" borderId="6" xfId="0" applyNumberFormat="1" applyFill="1" applyBorder="1">
      <alignment vertical="center"/>
    </xf>
    <xf numFmtId="0" fontId="7" fillId="0" borderId="0" xfId="0" applyFont="1">
      <alignment vertical="center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3" fontId="5" fillId="0" borderId="0" xfId="0" applyNumberFormat="1" applyFont="1">
      <alignment vertical="center"/>
    </xf>
    <xf numFmtId="3" fontId="0" fillId="0" borderId="0" xfId="0" applyNumberFormat="1" applyAlignment="1">
      <alignment horizontal="right" vertical="center"/>
    </xf>
    <xf numFmtId="3" fontId="11" fillId="6" borderId="0" xfId="0" applyNumberFormat="1" applyFont="1" applyFill="1">
      <alignment vertical="center"/>
    </xf>
    <xf numFmtId="177" fontId="0" fillId="0" borderId="7" xfId="1" applyNumberFormat="1" applyFont="1" applyBorder="1">
      <alignment vertical="center"/>
    </xf>
    <xf numFmtId="177" fontId="0" fillId="5" borderId="8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>
      <alignment vertical="center"/>
    </xf>
    <xf numFmtId="178" fontId="0" fillId="0" borderId="4" xfId="0" applyNumberFormat="1" applyBorder="1">
      <alignment vertical="center"/>
    </xf>
    <xf numFmtId="2" fontId="5" fillId="0" borderId="2" xfId="0" applyNumberFormat="1" applyFont="1" applyBorder="1" applyAlignment="1">
      <alignment horizontal="center" vertical="center"/>
    </xf>
    <xf numFmtId="43" fontId="0" fillId="0" borderId="4" xfId="0" applyNumberFormat="1" applyBorder="1">
      <alignment vertical="center"/>
    </xf>
    <xf numFmtId="4" fontId="0" fillId="0" borderId="4" xfId="0" applyNumberFormat="1" applyBorder="1">
      <alignment vertical="center"/>
    </xf>
    <xf numFmtId="2" fontId="0" fillId="0" borderId="0" xfId="0" applyNumberFormat="1">
      <alignment vertical="center"/>
    </xf>
    <xf numFmtId="179" fontId="0" fillId="0" borderId="1" xfId="1" applyNumberFormat="1" applyFont="1" applyBorder="1" applyAlignment="1">
      <alignment horizontal="right" vertical="center"/>
    </xf>
    <xf numFmtId="179" fontId="0" fillId="0" borderId="2" xfId="1" applyNumberFormat="1" applyFont="1" applyBorder="1" applyAlignment="1">
      <alignment horizontal="right" vertical="center"/>
    </xf>
    <xf numFmtId="179" fontId="0" fillId="0" borderId="3" xfId="1" applyNumberFormat="1" applyFont="1" applyBorder="1" applyAlignment="1">
      <alignment horizontal="right" vertical="center"/>
    </xf>
    <xf numFmtId="179" fontId="0" fillId="0" borderId="4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77" fontId="4" fillId="0" borderId="9" xfId="1" applyNumberFormat="1" applyFont="1" applyBorder="1">
      <alignment vertical="center"/>
    </xf>
    <xf numFmtId="177" fontId="0" fillId="5" borderId="10" xfId="1" applyNumberFormat="1" applyFont="1" applyFill="1" applyBorder="1">
      <alignment vertical="center"/>
    </xf>
    <xf numFmtId="177" fontId="4" fillId="0" borderId="11" xfId="1" applyNumberFormat="1" applyFont="1" applyFill="1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6" xfId="1" applyNumberFormat="1" applyFont="1" applyBorder="1">
      <alignment vertical="center"/>
    </xf>
    <xf numFmtId="177" fontId="0" fillId="0" borderId="17" xfId="1" applyNumberFormat="1" applyFont="1" applyBorder="1">
      <alignment vertical="center"/>
    </xf>
    <xf numFmtId="177" fontId="0" fillId="5" borderId="18" xfId="1" applyNumberFormat="1" applyFont="1" applyFill="1" applyBorder="1">
      <alignment vertical="center"/>
    </xf>
    <xf numFmtId="177" fontId="0" fillId="5" borderId="19" xfId="1" applyNumberFormat="1" applyFont="1" applyFill="1" applyBorder="1">
      <alignment vertical="center"/>
    </xf>
    <xf numFmtId="177" fontId="4" fillId="0" borderId="20" xfId="1" applyNumberFormat="1" applyFont="1" applyFill="1" applyBorder="1">
      <alignment vertical="center"/>
    </xf>
    <xf numFmtId="177" fontId="4" fillId="0" borderId="21" xfId="1" applyNumberFormat="1" applyFont="1" applyFill="1" applyBorder="1">
      <alignment vertical="center"/>
    </xf>
    <xf numFmtId="177" fontId="4" fillId="0" borderId="22" xfId="1" applyNumberFormat="1" applyFont="1" applyFill="1" applyBorder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3" fontId="11" fillId="0" borderId="0" xfId="0" applyNumberFormat="1" applyFont="1">
      <alignment vertical="center"/>
    </xf>
    <xf numFmtId="41" fontId="11" fillId="0" borderId="0" xfId="0" applyNumberFormat="1" applyFont="1">
      <alignment vertical="center"/>
    </xf>
    <xf numFmtId="3" fontId="16" fillId="0" borderId="0" xfId="0" applyNumberFormat="1" applyFont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7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C$19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7</xdr:row>
          <xdr:rowOff>85725</xdr:rowOff>
        </xdr:from>
        <xdr:to>
          <xdr:col>4</xdr:col>
          <xdr:colOff>609600</xdr:colOff>
          <xdr:row>9</xdr:row>
          <xdr:rowOff>190500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8</xdr:row>
          <xdr:rowOff>76200</xdr:rowOff>
        </xdr:from>
        <xdr:to>
          <xdr:col>2</xdr:col>
          <xdr:colOff>600075</xdr:colOff>
          <xdr:row>9</xdr:row>
          <xdr:rowOff>104775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수도권 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</xdr:row>
          <xdr:rowOff>76200</xdr:rowOff>
        </xdr:from>
        <xdr:to>
          <xdr:col>2</xdr:col>
          <xdr:colOff>1504950</xdr:colOff>
          <xdr:row>9</xdr:row>
          <xdr:rowOff>104775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수도권 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1628775</xdr:colOff>
          <xdr:row>8</xdr:row>
          <xdr:rowOff>76200</xdr:rowOff>
        </xdr:from>
        <xdr:to>
          <xdr:col>3</xdr:col>
          <xdr:colOff>514350</xdr:colOff>
          <xdr:row>9</xdr:row>
          <xdr:rowOff>104775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중견기업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8</xdr:row>
          <xdr:rowOff>76200</xdr:rowOff>
        </xdr:from>
        <xdr:to>
          <xdr:col>4</xdr:col>
          <xdr:colOff>476250</xdr:colOff>
          <xdr:row>9</xdr:row>
          <xdr:rowOff>104775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일반기업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57150</xdr:colOff>
      <xdr:row>18</xdr:row>
      <xdr:rowOff>57150</xdr:rowOff>
    </xdr:from>
    <xdr:to>
      <xdr:col>13</xdr:col>
      <xdr:colOff>893</xdr:colOff>
      <xdr:row>61</xdr:row>
      <xdr:rowOff>153671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47EA956-83E2-40E8-A7DC-B9756D2B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943350"/>
          <a:ext cx="6401693" cy="9107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28</xdr:row>
      <xdr:rowOff>190499</xdr:rowOff>
    </xdr:from>
    <xdr:to>
      <xdr:col>14</xdr:col>
      <xdr:colOff>409574</xdr:colOff>
      <xdr:row>86</xdr:row>
      <xdr:rowOff>188696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9" y="6057899"/>
          <a:ext cx="8715375" cy="12152097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4</xdr:row>
      <xdr:rowOff>38100</xdr:rowOff>
    </xdr:from>
    <xdr:to>
      <xdr:col>13</xdr:col>
      <xdr:colOff>190500</xdr:colOff>
      <xdr:row>26</xdr:row>
      <xdr:rowOff>112960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9F95970-E08A-474C-A6A4-32CB5562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876300"/>
          <a:ext cx="7772400" cy="468496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25</xdr:col>
      <xdr:colOff>229493</xdr:colOff>
      <xdr:row>47</xdr:row>
      <xdr:rowOff>96521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85ADBB5D-9C81-4FB1-B0EA-138AFBCC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38200"/>
          <a:ext cx="6401693" cy="91071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27</xdr:col>
      <xdr:colOff>228600</xdr:colOff>
      <xdr:row>69</xdr:row>
      <xdr:rowOff>192621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2D2792FF-328D-4BE1-BC44-1D662D73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058400"/>
          <a:ext cx="7772400" cy="459317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89</xdr:row>
      <xdr:rowOff>57150</xdr:rowOff>
    </xdr:from>
    <xdr:to>
      <xdr:col>12</xdr:col>
      <xdr:colOff>254979</xdr:colOff>
      <xdr:row>137</xdr:row>
      <xdr:rowOff>57150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EC39132-ADB2-456B-88FA-79D557FA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8707100"/>
          <a:ext cx="713202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CA49-1002-4843-99A7-D7B5B98EE2C7}">
  <sheetPr codeName="Sheet1"/>
  <dimension ref="A1:W48"/>
  <sheetViews>
    <sheetView showGridLines="0" tabSelected="1" workbookViewId="0">
      <selection activeCell="A8" sqref="A8"/>
    </sheetView>
  </sheetViews>
  <sheetFormatPr defaultRowHeight="16.5"/>
  <cols>
    <col min="3" max="3" width="25" customWidth="1"/>
    <col min="4" max="4" width="13" bestFit="1" customWidth="1"/>
    <col min="7" max="7" width="10.25" bestFit="1" customWidth="1"/>
    <col min="9" max="9" width="10.25" bestFit="1" customWidth="1"/>
    <col min="12" max="12" width="10.25" style="9" bestFit="1" customWidth="1"/>
    <col min="13" max="13" width="9" style="9"/>
    <col min="14" max="14" width="9.25" style="9" bestFit="1" customWidth="1"/>
    <col min="15" max="15" width="15.125" style="9" bestFit="1" customWidth="1"/>
    <col min="16" max="21" width="12.625" style="9" customWidth="1"/>
    <col min="22" max="22" width="9" style="9"/>
    <col min="23" max="23" width="10" style="9" bestFit="1" customWidth="1"/>
    <col min="24" max="16384" width="9" style="9"/>
  </cols>
  <sheetData>
    <row r="1" spans="2:23" customFormat="1" ht="17.25" thickBot="1">
      <c r="B1" t="s">
        <v>91</v>
      </c>
      <c r="Q1" s="64" t="s">
        <v>146</v>
      </c>
      <c r="R1" t="s">
        <v>151</v>
      </c>
    </row>
    <row r="2" spans="2:23" customFormat="1" ht="17.25" thickTop="1">
      <c r="B2" s="1" t="s">
        <v>0</v>
      </c>
      <c r="C2" t="s">
        <v>6</v>
      </c>
      <c r="D2" s="1" t="s">
        <v>7</v>
      </c>
      <c r="F2" s="2" t="s">
        <v>121</v>
      </c>
      <c r="G2" s="1" t="s">
        <v>7</v>
      </c>
      <c r="I2" t="s">
        <v>122</v>
      </c>
      <c r="J2" s="1" t="s">
        <v>8</v>
      </c>
      <c r="L2" s="31" t="s">
        <v>92</v>
      </c>
      <c r="O2" s="3" t="s">
        <v>147</v>
      </c>
      <c r="P2" s="60">
        <v>2017</v>
      </c>
      <c r="Q2" s="65">
        <v>2018</v>
      </c>
      <c r="R2" s="66">
        <v>2019</v>
      </c>
      <c r="S2" s="67">
        <v>2020</v>
      </c>
      <c r="U2" t="s">
        <v>159</v>
      </c>
      <c r="V2" t="s">
        <v>160</v>
      </c>
    </row>
    <row r="3" spans="2:23" customFormat="1">
      <c r="B3" s="1" t="s">
        <v>1</v>
      </c>
      <c r="C3" t="s">
        <v>6</v>
      </c>
      <c r="D3" s="1" t="s">
        <v>8</v>
      </c>
      <c r="F3" s="2" t="s">
        <v>121</v>
      </c>
      <c r="G3" s="1" t="s">
        <v>8</v>
      </c>
      <c r="I3" t="s">
        <v>122</v>
      </c>
      <c r="J3" s="1" t="s">
        <v>7</v>
      </c>
      <c r="L3" s="31" t="s">
        <v>93</v>
      </c>
      <c r="O3" s="4" t="s">
        <v>148</v>
      </c>
      <c r="P3" s="61">
        <v>4.58</v>
      </c>
      <c r="Q3" s="68">
        <v>6.5</v>
      </c>
      <c r="R3" s="46">
        <v>8.41</v>
      </c>
      <c r="S3" s="69">
        <v>7.75</v>
      </c>
      <c r="U3" s="41">
        <f>S3-P3</f>
        <v>3.17</v>
      </c>
      <c r="V3" s="42">
        <f>S3-Q3</f>
        <v>1.25</v>
      </c>
    </row>
    <row r="4" spans="2:23" customFormat="1" ht="17.25" thickBot="1">
      <c r="B4" s="1" t="s">
        <v>2</v>
      </c>
      <c r="C4" t="s">
        <v>6</v>
      </c>
      <c r="D4" s="1" t="s">
        <v>8</v>
      </c>
      <c r="F4" s="2" t="s">
        <v>121</v>
      </c>
      <c r="G4" s="1" t="s">
        <v>8</v>
      </c>
      <c r="I4" t="s">
        <v>122</v>
      </c>
      <c r="J4" s="1" t="s">
        <v>8</v>
      </c>
      <c r="L4" s="31" t="s">
        <v>94</v>
      </c>
      <c r="O4" s="7" t="s">
        <v>149</v>
      </c>
      <c r="P4" s="62">
        <f>P5-P3</f>
        <v>2</v>
      </c>
      <c r="Q4" s="70">
        <f>Q5-Q3</f>
        <v>2</v>
      </c>
      <c r="R4" s="47">
        <f>R5-R3</f>
        <v>2</v>
      </c>
      <c r="S4" s="71">
        <f>S5-S3</f>
        <v>2.58</v>
      </c>
      <c r="U4" s="53">
        <f>S4-P4</f>
        <v>0.58000000000000007</v>
      </c>
      <c r="V4" s="54">
        <f>S4-Q4</f>
        <v>0.58000000000000007</v>
      </c>
    </row>
    <row r="5" spans="2:23" customFormat="1" ht="18" thickTop="1" thickBot="1">
      <c r="B5" s="1" t="s">
        <v>3</v>
      </c>
      <c r="C5" t="s">
        <v>6</v>
      </c>
      <c r="D5" s="1" t="s">
        <v>7</v>
      </c>
      <c r="F5" s="2" t="s">
        <v>121</v>
      </c>
      <c r="G5" s="1" t="s">
        <v>8</v>
      </c>
      <c r="I5" t="s">
        <v>122</v>
      </c>
      <c r="J5" s="1" t="s">
        <v>7</v>
      </c>
      <c r="L5" s="31" t="s">
        <v>95</v>
      </c>
      <c r="O5" s="5" t="s">
        <v>150</v>
      </c>
      <c r="P5" s="63">
        <v>6.58</v>
      </c>
      <c r="Q5" s="72">
        <v>8.5</v>
      </c>
      <c r="R5" s="73">
        <v>10.41</v>
      </c>
      <c r="S5" s="74">
        <v>10.33</v>
      </c>
      <c r="U5" s="41">
        <f>S5-P5</f>
        <v>3.75</v>
      </c>
      <c r="V5" s="42">
        <f t="shared" ref="V5" si="0">S5-Q5</f>
        <v>1.83</v>
      </c>
    </row>
    <row r="6" spans="2:23" customFormat="1" ht="17.25" thickTop="1">
      <c r="B6" s="1" t="s">
        <v>4</v>
      </c>
      <c r="C6" t="s">
        <v>6</v>
      </c>
      <c r="D6" s="1" t="s">
        <v>8</v>
      </c>
      <c r="F6" s="2" t="s">
        <v>121</v>
      </c>
      <c r="G6" s="1" t="s">
        <v>7</v>
      </c>
      <c r="I6" t="s">
        <v>122</v>
      </c>
      <c r="J6" s="1" t="s">
        <v>8</v>
      </c>
      <c r="L6" s="31" t="s">
        <v>96</v>
      </c>
    </row>
    <row r="7" spans="2:23" customFormat="1">
      <c r="B7" s="1" t="s">
        <v>5</v>
      </c>
      <c r="C7" t="s">
        <v>6</v>
      </c>
      <c r="D7" s="1" t="s">
        <v>7</v>
      </c>
      <c r="F7" s="2" t="s">
        <v>121</v>
      </c>
      <c r="G7" s="1" t="s">
        <v>7</v>
      </c>
      <c r="I7" t="s">
        <v>122</v>
      </c>
      <c r="J7" s="1" t="s">
        <v>7</v>
      </c>
      <c r="L7" s="31" t="s">
        <v>97</v>
      </c>
      <c r="Q7" s="48">
        <f>Q3-P3</f>
        <v>1.92</v>
      </c>
      <c r="R7" s="48">
        <f>R3-Q3</f>
        <v>1.9100000000000001</v>
      </c>
      <c r="S7" s="48">
        <f>S3-R3</f>
        <v>-0.66000000000000014</v>
      </c>
    </row>
    <row r="8" spans="2:23" customFormat="1">
      <c r="Q8" s="48">
        <f>Q4-P4</f>
        <v>0</v>
      </c>
      <c r="R8" s="48">
        <f t="shared" ref="R8:S9" si="1">R4-Q4</f>
        <v>0</v>
      </c>
      <c r="S8" s="48">
        <f>S4-R4</f>
        <v>0.58000000000000007</v>
      </c>
    </row>
    <row r="9" spans="2:23" customFormat="1" ht="17.25" thickBot="1">
      <c r="Q9" s="51">
        <f>Q5-P5</f>
        <v>1.92</v>
      </c>
      <c r="R9" s="51">
        <f t="shared" si="1"/>
        <v>1.9100000000000001</v>
      </c>
      <c r="S9" s="51">
        <f t="shared" si="1"/>
        <v>-8.0000000000000071E-2</v>
      </c>
      <c r="T9" s="1" t="s">
        <v>157</v>
      </c>
    </row>
    <row r="10" spans="2:23" customFormat="1" ht="17.25" thickTop="1">
      <c r="G10" s="1" t="s">
        <v>111</v>
      </c>
      <c r="I10" t="s">
        <v>112</v>
      </c>
      <c r="L10" t="s">
        <v>116</v>
      </c>
      <c r="N10" t="s">
        <v>117</v>
      </c>
      <c r="Q10" s="42">
        <f>MIN(Q7,Q9)</f>
        <v>1.92</v>
      </c>
      <c r="R10" s="42">
        <f>MIN(R7,R9)</f>
        <v>1.9100000000000001</v>
      </c>
      <c r="S10" s="42">
        <f>S9</f>
        <v>-8.0000000000000071E-2</v>
      </c>
      <c r="T10" s="42">
        <f>SUM(Q10:S10)</f>
        <v>3.75</v>
      </c>
      <c r="U10" t="b">
        <f>U5=T10</f>
        <v>1</v>
      </c>
    </row>
    <row r="11" spans="2:23">
      <c r="C11" s="4" t="s">
        <v>99</v>
      </c>
      <c r="D11" s="33">
        <f>CHOOSE($C$19,G11,I11,L11,N11)</f>
        <v>12000000</v>
      </c>
      <c r="G11" s="9">
        <v>12000000</v>
      </c>
      <c r="I11" s="9">
        <v>11000000</v>
      </c>
      <c r="L11" s="9">
        <v>8000000</v>
      </c>
      <c r="N11" s="9">
        <v>4000000</v>
      </c>
      <c r="T11" s="42">
        <f>S9</f>
        <v>-8.0000000000000071E-2</v>
      </c>
      <c r="U11" s="9" t="s">
        <v>154</v>
      </c>
    </row>
    <row r="12" spans="2:23" ht="17.25" thickBot="1">
      <c r="C12" s="7" t="s">
        <v>100</v>
      </c>
      <c r="D12" s="33">
        <f>CHOOSE($C$19,G12,I12,L12,N12)</f>
        <v>7700000</v>
      </c>
      <c r="G12" s="9">
        <v>7700000</v>
      </c>
      <c r="I12" s="9">
        <v>7000000</v>
      </c>
      <c r="L12" s="9">
        <v>4500000</v>
      </c>
      <c r="N12" s="9">
        <v>0</v>
      </c>
      <c r="U12" s="9" t="s">
        <v>158</v>
      </c>
    </row>
    <row r="13" spans="2:23" ht="18" thickTop="1" thickBot="1">
      <c r="P13" s="44" t="s">
        <v>146</v>
      </c>
      <c r="Q13" s="43">
        <v>10000000</v>
      </c>
      <c r="R13" s="43">
        <v>10000000</v>
      </c>
      <c r="S13" s="43">
        <v>10000000</v>
      </c>
      <c r="T13" s="43">
        <v>10000000</v>
      </c>
    </row>
    <row r="14" spans="2:23" ht="17.25" thickBot="1">
      <c r="C14" t="s">
        <v>98</v>
      </c>
      <c r="D14" s="39">
        <f>D11-D12</f>
        <v>4300000</v>
      </c>
      <c r="G14" s="9">
        <f>G11-G12</f>
        <v>4300000</v>
      </c>
      <c r="I14" s="9">
        <f>I11-I12</f>
        <v>4000000</v>
      </c>
      <c r="L14" s="9">
        <f>L11-L12</f>
        <v>3500000</v>
      </c>
      <c r="N14" s="9">
        <f>N11-N12</f>
        <v>4000000</v>
      </c>
    </row>
    <row r="15" spans="2:23">
      <c r="Q15" s="45">
        <f>Q10*Q13</f>
        <v>19200000</v>
      </c>
      <c r="R15" s="45">
        <f>R10*R13</f>
        <v>19100000</v>
      </c>
      <c r="S15" s="45">
        <f>S10*S13</f>
        <v>-800000.0000000007</v>
      </c>
      <c r="T15" s="45">
        <f>T11*T13</f>
        <v>-800000.0000000007</v>
      </c>
      <c r="U15" s="9">
        <f>S15-T15</f>
        <v>0</v>
      </c>
    </row>
    <row r="16" spans="2:23">
      <c r="U16" s="9">
        <f>U15/2</f>
        <v>0</v>
      </c>
      <c r="V16" s="9">
        <f>U16*20%*-1</f>
        <v>0</v>
      </c>
      <c r="W16" s="9">
        <f>SUM(U16:V16)</f>
        <v>0</v>
      </c>
    </row>
    <row r="17" spans="3:15">
      <c r="C17" t="s">
        <v>113</v>
      </c>
      <c r="D17" t="s">
        <v>114</v>
      </c>
      <c r="G17" t="s">
        <v>156</v>
      </c>
      <c r="O17" s="9" t="s">
        <v>152</v>
      </c>
    </row>
    <row r="18" spans="3:15">
      <c r="C18" t="s">
        <v>115</v>
      </c>
      <c r="O18" s="49" t="s">
        <v>153</v>
      </c>
    </row>
    <row r="19" spans="3:15">
      <c r="C19" s="38">
        <v>1</v>
      </c>
      <c r="O19" s="50" t="s">
        <v>155</v>
      </c>
    </row>
    <row r="20" spans="3:15">
      <c r="C20" t="s">
        <v>118</v>
      </c>
    </row>
    <row r="21" spans="3:15">
      <c r="C21" t="s">
        <v>119</v>
      </c>
    </row>
    <row r="22" spans="3:15">
      <c r="C22" t="s">
        <v>116</v>
      </c>
      <c r="F22" t="s">
        <v>123</v>
      </c>
    </row>
    <row r="23" spans="3:15">
      <c r="C23" t="s">
        <v>117</v>
      </c>
      <c r="F23" t="s">
        <v>124</v>
      </c>
    </row>
    <row r="24" spans="3:15">
      <c r="F24" t="s">
        <v>125</v>
      </c>
    </row>
    <row r="25" spans="3:15">
      <c r="F25" t="s">
        <v>126</v>
      </c>
    </row>
    <row r="28" spans="3:15">
      <c r="F28" t="s">
        <v>136</v>
      </c>
    </row>
    <row r="29" spans="3:15">
      <c r="F29" t="s">
        <v>137</v>
      </c>
    </row>
    <row r="30" spans="3:15">
      <c r="F30" t="s">
        <v>138</v>
      </c>
    </row>
    <row r="31" spans="3:15">
      <c r="F31" t="s">
        <v>139</v>
      </c>
    </row>
    <row r="32" spans="3:15">
      <c r="F32" t="s">
        <v>140</v>
      </c>
    </row>
    <row r="33" spans="6:6">
      <c r="F33" t="s">
        <v>141</v>
      </c>
    </row>
    <row r="34" spans="6:6">
      <c r="F34" t="s">
        <v>142</v>
      </c>
    </row>
    <row r="36" spans="6:6">
      <c r="F36" t="s">
        <v>127</v>
      </c>
    </row>
    <row r="37" spans="6:6">
      <c r="F37" s="40" t="s">
        <v>128</v>
      </c>
    </row>
    <row r="38" spans="6:6">
      <c r="F38" t="s">
        <v>129</v>
      </c>
    </row>
    <row r="39" spans="6:6">
      <c r="F39" t="s">
        <v>130</v>
      </c>
    </row>
    <row r="40" spans="6:6">
      <c r="F40" s="40" t="s">
        <v>131</v>
      </c>
    </row>
    <row r="41" spans="6:6">
      <c r="F41" s="40" t="s">
        <v>132</v>
      </c>
    </row>
    <row r="42" spans="6:6">
      <c r="F42" s="40" t="s">
        <v>133</v>
      </c>
    </row>
    <row r="43" spans="6:6">
      <c r="F43" s="40" t="s">
        <v>134</v>
      </c>
    </row>
    <row r="44" spans="6:6">
      <c r="F44" t="s">
        <v>135</v>
      </c>
    </row>
    <row r="46" spans="6:6">
      <c r="F46" s="40" t="s">
        <v>143</v>
      </c>
    </row>
    <row r="47" spans="6:6">
      <c r="F47" s="40" t="s">
        <v>144</v>
      </c>
    </row>
    <row r="48" spans="6:6">
      <c r="F48" s="40" t="s">
        <v>145</v>
      </c>
    </row>
  </sheetData>
  <phoneticPr fontId="2" type="noConversion"/>
  <conditionalFormatting sqref="D2:D7 F2:F7">
    <cfRule type="cellIs" dxfId="69" priority="7" operator="equal">
      <formula>"증가"</formula>
    </cfRule>
    <cfRule type="cellIs" dxfId="68" priority="8" operator="equal">
      <formula>"감소"</formula>
    </cfRule>
  </conditionalFormatting>
  <conditionalFormatting sqref="G2:G7 G10">
    <cfRule type="cellIs" dxfId="67" priority="3" operator="equal">
      <formula>"증가"</formula>
    </cfRule>
    <cfRule type="cellIs" dxfId="66" priority="4" operator="equal">
      <formula>"감소"</formula>
    </cfRule>
  </conditionalFormatting>
  <conditionalFormatting sqref="J2:J7">
    <cfRule type="cellIs" dxfId="65" priority="1" operator="equal">
      <formula>"증가"</formula>
    </cfRule>
    <cfRule type="cellIs" dxfId="64" priority="2" operator="equal">
      <formula>"감소"</formula>
    </cfRule>
  </conditionalFormatting>
  <hyperlinks>
    <hyperlink ref="L2" location="CASE1!C7" display="CASE1" xr:uid="{D64F1897-84B7-43E1-9B0C-FDFDA8EFB677}"/>
    <hyperlink ref="L3" location="CASE2!C6" display="CASE2" xr:uid="{DC63B493-86BA-4FE4-9DDF-426F5CE267D2}"/>
    <hyperlink ref="L4" location="CASE3!C6" display="CASE3" xr:uid="{F4B2A716-C5B3-4857-9042-14F0D9DDD5AA}"/>
    <hyperlink ref="L5" location="CASE4!C6" display="CASE4" xr:uid="{E4732CD1-5BE7-4831-987B-F44E9EBEF44E}"/>
    <hyperlink ref="L6" location="CASE5!C6" display="CASE5" xr:uid="{70CB5946-44AB-424E-BB31-B32FC43DFE15}"/>
    <hyperlink ref="L7" location="CASE6!C7" display="CASE6" xr:uid="{974DB6FC-DEDE-469E-BA24-44B0E8A03233}"/>
  </hyperlink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Group Box 2">
              <controlPr defaultSize="0" autoFill="0" autoPict="0">
                <anchor moveWithCells="1">
                  <from>
                    <xdr:col>1</xdr:col>
                    <xdr:colOff>419100</xdr:colOff>
                    <xdr:row>7</xdr:row>
                    <xdr:rowOff>85725</xdr:rowOff>
                  </from>
                  <to>
                    <xdr:col>4</xdr:col>
                    <xdr:colOff>609600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Option Button 3">
              <controlPr defaultSize="0" autoFill="0" autoLine="0" autoPict="0">
                <anchor moveWithCells="1">
                  <from>
                    <xdr:col>1</xdr:col>
                    <xdr:colOff>495300</xdr:colOff>
                    <xdr:row>8</xdr:row>
                    <xdr:rowOff>76200</xdr:rowOff>
                  </from>
                  <to>
                    <xdr:col>2</xdr:col>
                    <xdr:colOff>600075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Option Button 4">
              <controlPr defaultSize="0" autoFill="0" autoLine="0" autoPict="0">
                <anchor moveWithCells="1">
                  <from>
                    <xdr:col>2</xdr:col>
                    <xdr:colOff>714375</xdr:colOff>
                    <xdr:row>8</xdr:row>
                    <xdr:rowOff>76200</xdr:rowOff>
                  </from>
                  <to>
                    <xdr:col>2</xdr:col>
                    <xdr:colOff>1504950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Option Button 5">
              <controlPr defaultSize="0" autoFill="0" autoLine="0" autoPict="0">
                <anchor moveWithCells="1">
                  <from>
                    <xdr:col>2</xdr:col>
                    <xdr:colOff>1628775</xdr:colOff>
                    <xdr:row>8</xdr:row>
                    <xdr:rowOff>76200</xdr:rowOff>
                  </from>
                  <to>
                    <xdr:col>3</xdr:col>
                    <xdr:colOff>514350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Option Button 7">
              <controlPr defaultSize="0" autoFill="0" autoLine="0" autoPict="0">
                <anchor moveWithCells="1">
                  <from>
                    <xdr:col>3</xdr:col>
                    <xdr:colOff>676275</xdr:colOff>
                    <xdr:row>8</xdr:row>
                    <xdr:rowOff>76200</xdr:rowOff>
                  </from>
                  <to>
                    <xdr:col>4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A3E0-AAEE-4786-A780-C93D474F781E}">
  <sheetPr codeName="Sheet2">
    <tabColor rgb="FF00B050"/>
  </sheetPr>
  <dimension ref="A1:K76"/>
  <sheetViews>
    <sheetView workbookViewId="0">
      <selection activeCell="D11" sqref="D11"/>
    </sheetView>
  </sheetViews>
  <sheetFormatPr defaultRowHeight="16.5"/>
  <cols>
    <col min="2" max="2" width="25" bestFit="1" customWidth="1"/>
    <col min="3" max="3" width="17" customWidth="1"/>
    <col min="4" max="4" width="11.875" bestFit="1" customWidth="1"/>
    <col min="5" max="5" width="10.25" bestFit="1" customWidth="1"/>
    <col min="6" max="7" width="14.875" bestFit="1" customWidth="1"/>
  </cols>
  <sheetData>
    <row r="1" spans="2:10" ht="17.25" thickBot="1"/>
    <row r="2" spans="2:10" ht="17.25" thickBot="1">
      <c r="B2" s="32" t="s">
        <v>0</v>
      </c>
      <c r="C2" t="s">
        <v>6</v>
      </c>
      <c r="D2" s="1" t="s">
        <v>7</v>
      </c>
      <c r="F2" s="2" t="s">
        <v>9</v>
      </c>
      <c r="G2" s="1" t="s">
        <v>7</v>
      </c>
      <c r="I2" t="s">
        <v>10</v>
      </c>
      <c r="J2" s="1" t="s">
        <v>8</v>
      </c>
    </row>
    <row r="5" spans="2:10">
      <c r="G5" t="s">
        <v>15</v>
      </c>
    </row>
    <row r="6" spans="2:10">
      <c r="B6" s="3" t="s">
        <v>11</v>
      </c>
      <c r="C6" s="3" t="s">
        <v>13</v>
      </c>
      <c r="D6" s="3" t="s">
        <v>14</v>
      </c>
      <c r="E6" s="3" t="s">
        <v>161</v>
      </c>
      <c r="G6" s="3">
        <v>2019</v>
      </c>
      <c r="H6" s="3">
        <v>2020</v>
      </c>
    </row>
    <row r="7" spans="2:10">
      <c r="B7" s="4" t="s">
        <v>99</v>
      </c>
      <c r="C7" s="14">
        <v>2</v>
      </c>
      <c r="D7" s="14">
        <v>5</v>
      </c>
      <c r="E7" s="14">
        <v>9</v>
      </c>
      <c r="G7" s="3">
        <f>D7-C7</f>
        <v>3</v>
      </c>
      <c r="H7" s="3">
        <f>E7-D7</f>
        <v>4</v>
      </c>
    </row>
    <row r="8" spans="2:10" ht="17.25" thickBot="1">
      <c r="B8" s="7" t="s">
        <v>100</v>
      </c>
      <c r="C8" s="52">
        <v>1</v>
      </c>
      <c r="D8" s="52">
        <v>3</v>
      </c>
      <c r="E8" s="15">
        <v>2</v>
      </c>
      <c r="G8" s="8">
        <f t="shared" ref="G8:G9" si="0">D8-C8</f>
        <v>2</v>
      </c>
      <c r="H8" s="8">
        <f t="shared" ref="H8:H9" si="1">E8-D8</f>
        <v>-1</v>
      </c>
    </row>
    <row r="9" spans="2:10" ht="17.25" thickTop="1">
      <c r="B9" s="5" t="s">
        <v>12</v>
      </c>
      <c r="C9" s="6">
        <f>SUM(C7:C8)</f>
        <v>3</v>
      </c>
      <c r="D9" s="6">
        <f>SUM(D7:D8)</f>
        <v>8</v>
      </c>
      <c r="E9" s="6">
        <f>SUM(E7:E8)</f>
        <v>11</v>
      </c>
      <c r="G9" s="6">
        <f t="shared" si="0"/>
        <v>5</v>
      </c>
      <c r="H9" s="6">
        <f t="shared" si="1"/>
        <v>3</v>
      </c>
    </row>
    <row r="11" spans="2:10">
      <c r="B11">
        <f>'개요(선택)'!C10</f>
        <v>0</v>
      </c>
    </row>
    <row r="12" spans="2:10">
      <c r="B12" t="s">
        <v>9</v>
      </c>
      <c r="C12" s="17">
        <f>'개요(선택)'!D11</f>
        <v>12000000</v>
      </c>
    </row>
    <row r="13" spans="2:10">
      <c r="B13" t="s">
        <v>16</v>
      </c>
      <c r="C13" s="18">
        <f>'개요(선택)'!D12</f>
        <v>7700000</v>
      </c>
    </row>
    <row r="15" spans="2:10">
      <c r="B15" t="s">
        <v>162</v>
      </c>
      <c r="C15" s="23">
        <f>G21</f>
        <v>51400000</v>
      </c>
    </row>
    <row r="17" spans="1:9">
      <c r="B17" t="s">
        <v>23</v>
      </c>
    </row>
    <row r="18" spans="1:9">
      <c r="B18" t="s">
        <v>17</v>
      </c>
      <c r="G18" t="s">
        <v>20</v>
      </c>
    </row>
    <row r="19" spans="1:9">
      <c r="B19" t="s">
        <v>18</v>
      </c>
      <c r="C19">
        <f>G7</f>
        <v>3</v>
      </c>
      <c r="D19" s="1" t="s">
        <v>21</v>
      </c>
      <c r="E19" s="9">
        <f>$C$12</f>
        <v>12000000</v>
      </c>
      <c r="F19" s="12" t="s">
        <v>22</v>
      </c>
      <c r="G19" s="9">
        <f>C19*E19</f>
        <v>36000000</v>
      </c>
    </row>
    <row r="20" spans="1:9" ht="17.25" thickBot="1">
      <c r="B20" s="10" t="s">
        <v>19</v>
      </c>
      <c r="C20" s="10">
        <f>G8</f>
        <v>2</v>
      </c>
      <c r="D20" s="1" t="s">
        <v>21</v>
      </c>
      <c r="E20" s="9">
        <f>$C$13</f>
        <v>7700000</v>
      </c>
      <c r="F20" s="12" t="s">
        <v>22</v>
      </c>
      <c r="G20" s="13">
        <f>C20*E20</f>
        <v>15400000</v>
      </c>
    </row>
    <row r="21" spans="1:9" ht="17.25" thickTop="1">
      <c r="C21" s="55">
        <f>TRUNC(SUM(C19:C20),2)</f>
        <v>5</v>
      </c>
      <c r="G21" s="9">
        <f>SUM(G19:G20)</f>
        <v>51400000</v>
      </c>
    </row>
    <row r="23" spans="1:9" ht="17.25" thickBot="1">
      <c r="A23" s="19"/>
      <c r="B23" s="19"/>
      <c r="C23" s="19"/>
      <c r="D23" s="19"/>
      <c r="E23" s="19"/>
      <c r="F23" s="19"/>
      <c r="G23" s="19"/>
      <c r="H23" s="19"/>
      <c r="I23" s="19"/>
    </row>
    <row r="25" spans="1:9">
      <c r="B25" s="76" t="s">
        <v>163</v>
      </c>
      <c r="D25" s="23">
        <f>SUM(G21,C27)</f>
        <v>87400000</v>
      </c>
    </row>
    <row r="27" spans="1:9">
      <c r="B27" t="s">
        <v>24</v>
      </c>
      <c r="C27" s="77">
        <f>G31</f>
        <v>36000000</v>
      </c>
    </row>
    <row r="28" spans="1:9">
      <c r="B28" t="s">
        <v>17</v>
      </c>
      <c r="G28" t="s">
        <v>20</v>
      </c>
    </row>
    <row r="29" spans="1:9">
      <c r="B29" t="s">
        <v>18</v>
      </c>
      <c r="C29">
        <f>MIN(H7,H9)</f>
        <v>3</v>
      </c>
      <c r="D29" s="1" t="s">
        <v>21</v>
      </c>
      <c r="E29" s="9">
        <f>$C$12</f>
        <v>12000000</v>
      </c>
      <c r="F29" s="12" t="s">
        <v>22</v>
      </c>
      <c r="G29" s="9">
        <f>C29*E29</f>
        <v>36000000</v>
      </c>
    </row>
    <row r="30" spans="1:9" ht="17.25" thickBot="1">
      <c r="B30" s="10" t="s">
        <v>19</v>
      </c>
      <c r="C30" s="10">
        <f>MAX(H8,0)</f>
        <v>0</v>
      </c>
      <c r="D30" s="1" t="s">
        <v>21</v>
      </c>
      <c r="E30" s="9">
        <f>$C$13</f>
        <v>7700000</v>
      </c>
      <c r="F30" s="12" t="s">
        <v>22</v>
      </c>
      <c r="G30" s="13">
        <f>C30*E30</f>
        <v>0</v>
      </c>
    </row>
    <row r="31" spans="1:9" ht="17.25" thickTop="1">
      <c r="C31" s="55">
        <f>TRUNC(SUM(C29:C30),2)</f>
        <v>3</v>
      </c>
      <c r="G31" s="9">
        <f>SUM(G29:G30)</f>
        <v>36000000</v>
      </c>
    </row>
    <row r="33" spans="1:10">
      <c r="B33" t="s">
        <v>25</v>
      </c>
    </row>
    <row r="34" spans="1:10">
      <c r="B34" t="s">
        <v>26</v>
      </c>
    </row>
    <row r="35" spans="1:10">
      <c r="B35" t="s">
        <v>27</v>
      </c>
    </row>
    <row r="36" spans="1:10">
      <c r="B36" t="s">
        <v>28</v>
      </c>
    </row>
    <row r="37" spans="1:10">
      <c r="B37" t="s">
        <v>29</v>
      </c>
    </row>
    <row r="38" spans="1:10">
      <c r="A38" s="28"/>
      <c r="B38" s="28"/>
      <c r="C38" s="28"/>
      <c r="D38" s="28"/>
      <c r="E38" s="28"/>
      <c r="F38" s="28"/>
      <c r="G38" s="28"/>
      <c r="H38" s="28"/>
      <c r="I38" s="28"/>
    </row>
    <row r="39" spans="1:10">
      <c r="A39" s="28"/>
      <c r="B39" s="28"/>
      <c r="C39" s="28"/>
      <c r="D39" s="28"/>
      <c r="E39" s="28"/>
      <c r="F39" s="28"/>
      <c r="G39" s="28"/>
      <c r="H39" s="28"/>
      <c r="I39" s="28"/>
    </row>
    <row r="40" spans="1:10">
      <c r="B40" t="s">
        <v>36</v>
      </c>
      <c r="C40" s="77">
        <f>SUM(C47:C48)</f>
        <v>51400000</v>
      </c>
      <c r="E40" t="s">
        <v>57</v>
      </c>
    </row>
    <row r="41" spans="1:10">
      <c r="B41" t="s">
        <v>17</v>
      </c>
      <c r="G41" t="s">
        <v>20</v>
      </c>
    </row>
    <row r="42" spans="1:10">
      <c r="B42" t="s">
        <v>18</v>
      </c>
      <c r="C42">
        <f>H7</f>
        <v>4</v>
      </c>
      <c r="D42" s="1" t="s">
        <v>21</v>
      </c>
      <c r="E42" s="9"/>
      <c r="F42" s="12" t="s">
        <v>22</v>
      </c>
      <c r="G42" s="9">
        <f>IF(C42&lt;0,0,G35)</f>
        <v>0</v>
      </c>
    </row>
    <row r="43" spans="1:10" ht="17.25" thickBot="1">
      <c r="B43" s="10" t="s">
        <v>19</v>
      </c>
      <c r="C43" s="10">
        <f>H8</f>
        <v>-1</v>
      </c>
      <c r="D43" s="1" t="s">
        <v>21</v>
      </c>
      <c r="E43" s="9"/>
      <c r="F43" s="12" t="s">
        <v>22</v>
      </c>
      <c r="G43" s="13">
        <f>IF(C43&lt;0,0,G36)</f>
        <v>0</v>
      </c>
    </row>
    <row r="44" spans="1:10" ht="17.25" thickTop="1">
      <c r="C44">
        <f>SUM(C42:C43)</f>
        <v>3</v>
      </c>
      <c r="G44" s="9">
        <f>IF(AND(C44&gt;0,C43&gt;C42),C44*E43,0)</f>
        <v>0</v>
      </c>
      <c r="I44">
        <f>ABS(C44)</f>
        <v>3</v>
      </c>
      <c r="J44" t="str">
        <f>IF(C44=0,"유지",IF(C44&gt;0,"증가","감소"))</f>
        <v>증가</v>
      </c>
    </row>
    <row r="46" spans="1:10">
      <c r="B46" t="s">
        <v>58</v>
      </c>
    </row>
    <row r="47" spans="1:10">
      <c r="B47" s="29" t="s">
        <v>59</v>
      </c>
      <c r="C47" s="9">
        <f>G19</f>
        <v>36000000</v>
      </c>
    </row>
    <row r="48" spans="1:10" ht="17.25" thickBot="1">
      <c r="B48" s="29" t="s">
        <v>60</v>
      </c>
      <c r="C48" s="30">
        <f>G20</f>
        <v>15400000</v>
      </c>
      <c r="G48" s="9"/>
    </row>
    <row r="49" spans="2:11">
      <c r="C49" s="9">
        <f>SUM(C47:C48)</f>
        <v>51400000</v>
      </c>
    </row>
    <row r="51" spans="2:11">
      <c r="B51" s="11" t="s">
        <v>164</v>
      </c>
    </row>
    <row r="54" spans="2:11">
      <c r="B54" t="s">
        <v>76</v>
      </c>
    </row>
    <row r="55" spans="2:11">
      <c r="B55" t="s">
        <v>77</v>
      </c>
    </row>
    <row r="56" spans="2:11">
      <c r="B56" t="s">
        <v>78</v>
      </c>
    </row>
    <row r="57" spans="2:11">
      <c r="B57" t="s">
        <v>79</v>
      </c>
    </row>
    <row r="58" spans="2:11">
      <c r="B58" t="s">
        <v>80</v>
      </c>
    </row>
    <row r="60" spans="2:11">
      <c r="B60" s="11" t="str">
        <f>"=&gt; 전체상시근로자의 수("&amp;E22&amp;"명)가 최초로 공제 받은 과세연도(2019년, "&amp;D22&amp;"명)에 비하여 감소한 바,2차년도 공제금액 없음"</f>
        <v>=&gt; 전체상시근로자의 수(명)가 최초로 공제 받은 과세연도(2019년, 명)에 비하여 감소한 바,2차년도 공제금액 없음</v>
      </c>
    </row>
    <row r="62" spans="2:11">
      <c r="B62" s="76" t="s">
        <v>165</v>
      </c>
      <c r="J62" t="s">
        <v>113</v>
      </c>
      <c r="K62" t="s">
        <v>114</v>
      </c>
    </row>
    <row r="63" spans="2:11">
      <c r="J63" t="s">
        <v>120</v>
      </c>
    </row>
    <row r="64" spans="2:11">
      <c r="B64" t="s">
        <v>44</v>
      </c>
      <c r="C64" s="24">
        <f>G71</f>
        <v>0</v>
      </c>
    </row>
    <row r="66" spans="2:10">
      <c r="B66" t="s">
        <v>17</v>
      </c>
      <c r="G66" t="s">
        <v>20</v>
      </c>
    </row>
    <row r="67" spans="2:10">
      <c r="B67" t="s">
        <v>18</v>
      </c>
      <c r="C67">
        <f>H7</f>
        <v>4</v>
      </c>
      <c r="D67" s="1" t="s">
        <v>21</v>
      </c>
      <c r="E67" s="9">
        <f>C27</f>
        <v>36000000</v>
      </c>
      <c r="F67" s="12" t="s">
        <v>22</v>
      </c>
      <c r="G67" s="9">
        <f>C67*E67</f>
        <v>144000000</v>
      </c>
    </row>
    <row r="68" spans="2:10" ht="17.25" thickBot="1">
      <c r="B68" s="10" t="s">
        <v>19</v>
      </c>
      <c r="C68" s="10">
        <f>H8</f>
        <v>-1</v>
      </c>
      <c r="D68" s="1" t="s">
        <v>21</v>
      </c>
      <c r="E68" s="9">
        <f>C28</f>
        <v>0</v>
      </c>
      <c r="F68" s="12" t="s">
        <v>22</v>
      </c>
      <c r="G68" s="13">
        <f>C68*E68</f>
        <v>0</v>
      </c>
    </row>
    <row r="69" spans="2:10" ht="17.25" thickTop="1">
      <c r="C69">
        <f>SUM(C67:C68)</f>
        <v>3</v>
      </c>
      <c r="G69" s="9">
        <f>SUM(G67:G68)</f>
        <v>144000000</v>
      </c>
      <c r="I69">
        <f>ABS(C69)</f>
        <v>3</v>
      </c>
      <c r="J69" t="str">
        <f>IF(C69=0,"유지",IF(C69&gt;0,"증가","감소"))</f>
        <v>증가</v>
      </c>
    </row>
    <row r="70" spans="2:10">
      <c r="B70" s="22">
        <f>MIN(G20,ABS(H20))</f>
        <v>0</v>
      </c>
      <c r="C70" s="22">
        <f>IF(C69&lt;0,ABS(C69),0)</f>
        <v>0</v>
      </c>
    </row>
    <row r="71" spans="2:10">
      <c r="G71" s="21">
        <f>(B70-C70)*C29+(C70*C27)</f>
        <v>0</v>
      </c>
    </row>
    <row r="72" spans="2:10">
      <c r="B72" t="s">
        <v>81</v>
      </c>
    </row>
    <row r="73" spans="2:10">
      <c r="B73" s="11" t="s">
        <v>82</v>
      </c>
    </row>
    <row r="74" spans="2:10">
      <c r="B74" t="s">
        <v>83</v>
      </c>
    </row>
    <row r="75" spans="2:10">
      <c r="B75" t="s">
        <v>84</v>
      </c>
    </row>
    <row r="76" spans="2:10">
      <c r="B76" t="s">
        <v>85</v>
      </c>
    </row>
  </sheetData>
  <phoneticPr fontId="2" type="noConversion"/>
  <conditionalFormatting sqref="D2 F2">
    <cfRule type="cellIs" dxfId="63" priority="8" operator="equal">
      <formula>"증가"</formula>
    </cfRule>
    <cfRule type="cellIs" dxfId="62" priority="9" operator="equal">
      <formula>"감소"</formula>
    </cfRule>
  </conditionalFormatting>
  <conditionalFormatting sqref="G2">
    <cfRule type="cellIs" dxfId="61" priority="6" operator="equal">
      <formula>"증가"</formula>
    </cfRule>
    <cfRule type="cellIs" dxfId="60" priority="7" operator="equal">
      <formula>"감소"</formula>
    </cfRule>
  </conditionalFormatting>
  <conditionalFormatting sqref="J2">
    <cfRule type="cellIs" dxfId="59" priority="4" operator="equal">
      <formula>"증가"</formula>
    </cfRule>
    <cfRule type="cellIs" dxfId="58" priority="5" operator="equal">
      <formula>"감소"</formula>
    </cfRule>
  </conditionalFormatting>
  <conditionalFormatting sqref="G7:H9">
    <cfRule type="cellIs" dxfId="57" priority="1" operator="greaterThan">
      <formula>0</formula>
    </cfRule>
    <cfRule type="cellIs" dxfId="56" priority="2" operator="equal">
      <formula>0</formula>
    </cfRule>
    <cfRule type="cellIs" dxfId="55" priority="3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0A99-D968-4E84-9645-036E021F04F2}">
  <sheetPr codeName="Sheet3">
    <tabColor theme="5"/>
  </sheetPr>
  <dimension ref="A1:K81"/>
  <sheetViews>
    <sheetView workbookViewId="0">
      <selection activeCell="E7" sqref="E7"/>
    </sheetView>
  </sheetViews>
  <sheetFormatPr defaultRowHeight="16.5"/>
  <cols>
    <col min="2" max="2" width="23.75" customWidth="1"/>
    <col min="3" max="3" width="22.875" bestFit="1" customWidth="1"/>
    <col min="4" max="4" width="13.25" customWidth="1"/>
    <col min="5" max="5" width="10.25" bestFit="1" customWidth="1"/>
    <col min="6" max="6" width="11.875" bestFit="1" customWidth="1"/>
    <col min="7" max="7" width="14.875" bestFit="1" customWidth="1"/>
    <col min="8" max="8" width="11.625" customWidth="1"/>
  </cols>
  <sheetData>
    <row r="1" spans="2:10" ht="17.25" thickBot="1"/>
    <row r="2" spans="2:10" ht="17.25" thickBot="1">
      <c r="B2" s="32" t="s">
        <v>1</v>
      </c>
      <c r="C2" t="s">
        <v>6</v>
      </c>
      <c r="D2" s="1" t="s">
        <v>8</v>
      </c>
      <c r="F2" s="2" t="s">
        <v>9</v>
      </c>
      <c r="G2" s="1" t="s">
        <v>8</v>
      </c>
      <c r="I2" t="s">
        <v>10</v>
      </c>
      <c r="J2" s="1" t="s">
        <v>7</v>
      </c>
    </row>
    <row r="5" spans="2:10">
      <c r="B5" s="3" t="s">
        <v>11</v>
      </c>
      <c r="C5" s="3" t="s">
        <v>13</v>
      </c>
      <c r="D5" s="3" t="s">
        <v>14</v>
      </c>
      <c r="E5" s="3" t="s">
        <v>161</v>
      </c>
      <c r="G5" s="3">
        <v>2019</v>
      </c>
      <c r="H5" s="3">
        <v>2020</v>
      </c>
    </row>
    <row r="6" spans="2:10">
      <c r="B6" s="4" t="s">
        <v>99</v>
      </c>
      <c r="C6" s="14">
        <v>2</v>
      </c>
      <c r="D6" s="14">
        <v>5</v>
      </c>
      <c r="E6" s="14">
        <v>1</v>
      </c>
      <c r="G6" s="3">
        <f>D6-C6</f>
        <v>3</v>
      </c>
      <c r="H6" s="56">
        <f>TRUNC(E6-D6,2)</f>
        <v>-4</v>
      </c>
    </row>
    <row r="7" spans="2:10" ht="17.25" thickBot="1">
      <c r="B7" s="7" t="s">
        <v>100</v>
      </c>
      <c r="C7" s="52">
        <v>1</v>
      </c>
      <c r="D7" s="52">
        <v>3</v>
      </c>
      <c r="E7" s="15">
        <v>5</v>
      </c>
      <c r="G7" s="8">
        <f t="shared" ref="G7:G8" si="0">D7-C7</f>
        <v>2</v>
      </c>
      <c r="H7" s="57">
        <f>TRUNC(E7-D7,2)</f>
        <v>2</v>
      </c>
    </row>
    <row r="8" spans="2:10" ht="17.25" thickTop="1">
      <c r="B8" s="5" t="s">
        <v>12</v>
      </c>
      <c r="C8" s="6">
        <f>SUM(C6:C7)</f>
        <v>3</v>
      </c>
      <c r="D8" s="6">
        <f t="shared" ref="D8:E8" si="1">SUM(D6:D7)</f>
        <v>8</v>
      </c>
      <c r="E8" s="6">
        <f t="shared" si="1"/>
        <v>6</v>
      </c>
      <c r="G8" s="6">
        <f t="shared" si="0"/>
        <v>5</v>
      </c>
      <c r="H8" s="58">
        <f>TRUNC(E8-D8,2)</f>
        <v>-2</v>
      </c>
    </row>
    <row r="10" spans="2:10">
      <c r="B10">
        <f>'개요(선택)'!C10</f>
        <v>0</v>
      </c>
      <c r="H10" s="9">
        <f>H8*C11</f>
        <v>-24000000</v>
      </c>
    </row>
    <row r="11" spans="2:10">
      <c r="B11" t="s">
        <v>9</v>
      </c>
      <c r="C11" s="17">
        <f>'개요(선택)'!D11</f>
        <v>12000000</v>
      </c>
      <c r="H11" s="41">
        <f>H6-H8</f>
        <v>-2</v>
      </c>
    </row>
    <row r="12" spans="2:10" ht="17.25" thickBot="1">
      <c r="B12" s="19" t="s">
        <v>16</v>
      </c>
      <c r="C12" s="20">
        <f>'개요(선택)'!D12</f>
        <v>7700000</v>
      </c>
    </row>
    <row r="13" spans="2:10">
      <c r="C13" s="21">
        <f>C11-C12</f>
        <v>4300000</v>
      </c>
      <c r="H13" s="9">
        <f>H11*C13</f>
        <v>-8600000</v>
      </c>
    </row>
    <row r="15" spans="2:10">
      <c r="B15" t="s">
        <v>162</v>
      </c>
      <c r="C15" s="23">
        <f>G21</f>
        <v>51400000</v>
      </c>
      <c r="H15" s="9">
        <f>SUM(H13,H10)</f>
        <v>-32600000</v>
      </c>
    </row>
    <row r="16" spans="2:10">
      <c r="H16" s="9">
        <f>H15/2</f>
        <v>-16300000</v>
      </c>
    </row>
    <row r="17" spans="1:11">
      <c r="B17" t="s">
        <v>23</v>
      </c>
    </row>
    <row r="18" spans="1:11">
      <c r="B18" t="s">
        <v>17</v>
      </c>
      <c r="G18" t="s">
        <v>20</v>
      </c>
    </row>
    <row r="19" spans="1:11">
      <c r="B19" t="s">
        <v>18</v>
      </c>
      <c r="C19">
        <f>G6</f>
        <v>3</v>
      </c>
      <c r="D19" s="1" t="s">
        <v>21</v>
      </c>
      <c r="E19" s="9">
        <f>C11</f>
        <v>12000000</v>
      </c>
      <c r="F19" s="12" t="s">
        <v>22</v>
      </c>
      <c r="G19" s="9">
        <f>C19*E19</f>
        <v>36000000</v>
      </c>
    </row>
    <row r="20" spans="1:11" ht="17.25" thickBot="1">
      <c r="B20" s="10" t="s">
        <v>19</v>
      </c>
      <c r="C20" s="10">
        <f>G7</f>
        <v>2</v>
      </c>
      <c r="D20" s="1" t="s">
        <v>21</v>
      </c>
      <c r="E20" s="9">
        <f>C12</f>
        <v>7700000</v>
      </c>
      <c r="F20" s="12" t="s">
        <v>22</v>
      </c>
      <c r="G20" s="13">
        <f>C20*E20</f>
        <v>15400000</v>
      </c>
    </row>
    <row r="21" spans="1:11" ht="17.25" thickTop="1">
      <c r="C21">
        <f>SUM(C19:C20)</f>
        <v>5</v>
      </c>
      <c r="G21" s="9">
        <f>SUM(G19:G20)</f>
        <v>51400000</v>
      </c>
    </row>
    <row r="22" spans="1:11" ht="17.25" thickBo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B24" s="76" t="s">
        <v>163</v>
      </c>
      <c r="D24" s="16">
        <f>G30</f>
        <v>0</v>
      </c>
      <c r="E24" t="s">
        <v>57</v>
      </c>
    </row>
    <row r="26" spans="1:11">
      <c r="B26" t="s">
        <v>24</v>
      </c>
      <c r="C26" s="9">
        <f>G30</f>
        <v>0</v>
      </c>
    </row>
    <row r="27" spans="1:11">
      <c r="B27" t="s">
        <v>17</v>
      </c>
      <c r="G27" t="s">
        <v>20</v>
      </c>
    </row>
    <row r="28" spans="1:11">
      <c r="B28" t="s">
        <v>18</v>
      </c>
      <c r="C28">
        <f>MIN(H6,H8)</f>
        <v>-4</v>
      </c>
      <c r="D28" s="1" t="s">
        <v>21</v>
      </c>
      <c r="E28" s="9">
        <f>C11</f>
        <v>12000000</v>
      </c>
      <c r="F28" s="12" t="s">
        <v>22</v>
      </c>
      <c r="G28" s="9">
        <f>C28*E28</f>
        <v>-48000000</v>
      </c>
    </row>
    <row r="29" spans="1:11" ht="17.25" thickBot="1">
      <c r="B29" s="10" t="s">
        <v>19</v>
      </c>
      <c r="C29" s="10">
        <f>MAX(H7,0)</f>
        <v>2</v>
      </c>
      <c r="D29" s="1" t="s">
        <v>21</v>
      </c>
      <c r="E29" s="9">
        <f>C12</f>
        <v>7700000</v>
      </c>
      <c r="F29" s="12" t="s">
        <v>22</v>
      </c>
      <c r="G29" s="13">
        <f>C29*E29</f>
        <v>15400000</v>
      </c>
    </row>
    <row r="30" spans="1:11" ht="17.25" thickTop="1">
      <c r="C30">
        <f>SUM(C28:C29)</f>
        <v>-2</v>
      </c>
      <c r="G30" s="9">
        <f>IF(C30&lt;0,0,SUM(G28:G29))</f>
        <v>0</v>
      </c>
    </row>
    <row r="32" spans="1:11">
      <c r="B32" t="s">
        <v>25</v>
      </c>
    </row>
    <row r="33" spans="2:10">
      <c r="B33" t="s">
        <v>30</v>
      </c>
    </row>
    <row r="34" spans="2:10">
      <c r="B34" t="s">
        <v>31</v>
      </c>
    </row>
    <row r="35" spans="2:10">
      <c r="B35" t="s">
        <v>32</v>
      </c>
    </row>
    <row r="36" spans="2:10">
      <c r="B36" t="s">
        <v>33</v>
      </c>
    </row>
    <row r="37" spans="2:10">
      <c r="B37" t="s">
        <v>34</v>
      </c>
    </row>
    <row r="39" spans="2:10">
      <c r="B39" s="11" t="s">
        <v>35</v>
      </c>
    </row>
    <row r="41" spans="2:10">
      <c r="B41" t="s">
        <v>36</v>
      </c>
      <c r="C41" s="25" t="s">
        <v>37</v>
      </c>
    </row>
    <row r="42" spans="2:10">
      <c r="B42" t="s">
        <v>17</v>
      </c>
      <c r="G42" t="s">
        <v>20</v>
      </c>
    </row>
    <row r="43" spans="2:10">
      <c r="B43" t="s">
        <v>18</v>
      </c>
      <c r="C43">
        <f>C28</f>
        <v>-4</v>
      </c>
      <c r="D43" s="1"/>
      <c r="E43" s="9"/>
      <c r="F43" s="12" t="s">
        <v>22</v>
      </c>
      <c r="G43" s="9">
        <f>IF(C43&lt;0,0,G19)</f>
        <v>0</v>
      </c>
    </row>
    <row r="44" spans="2:10" ht="17.25" thickBot="1">
      <c r="B44" s="10" t="s">
        <v>19</v>
      </c>
      <c r="C44" s="10">
        <f>C29</f>
        <v>2</v>
      </c>
      <c r="D44" s="1"/>
      <c r="E44" s="9"/>
      <c r="F44" s="12" t="s">
        <v>22</v>
      </c>
      <c r="G44" s="13">
        <f>IF(OR(C44&lt;0,C45&lt;0),0,G20)</f>
        <v>0</v>
      </c>
    </row>
    <row r="45" spans="2:10" ht="17.25" thickTop="1">
      <c r="C45" s="55">
        <f>TRUNC(SUM(C43:C44),2)</f>
        <v>-2</v>
      </c>
      <c r="G45" s="9">
        <f>IF(C45&lt;0,0,SUM(G43:G44))</f>
        <v>0</v>
      </c>
      <c r="I45">
        <f>ABS(C45)</f>
        <v>2</v>
      </c>
      <c r="J45" t="str">
        <f>IF(C45=0,"유지",IF(C45&gt;0,"증가","감소"))</f>
        <v>감소</v>
      </c>
    </row>
    <row r="47" spans="2:10">
      <c r="B47" t="s">
        <v>38</v>
      </c>
    </row>
    <row r="49" spans="2:11">
      <c r="B49" t="s">
        <v>39</v>
      </c>
    </row>
    <row r="50" spans="2:11">
      <c r="B50" t="s">
        <v>40</v>
      </c>
    </row>
    <row r="51" spans="2:11">
      <c r="B51" t="s">
        <v>41</v>
      </c>
    </row>
    <row r="52" spans="2:11">
      <c r="B52" t="s">
        <v>42</v>
      </c>
    </row>
    <row r="53" spans="2:11">
      <c r="B53" t="s">
        <v>43</v>
      </c>
    </row>
    <row r="55" spans="2:11">
      <c r="B55" s="11" t="str">
        <f>"=&gt; 전체상시근로자의 수("&amp;E8&amp;"명)가 최초로 공제 받은 과세연도(2019년, "&amp;D8&amp;"명)에 비하여 감소한 바,2차년도 공제금액 없음"</f>
        <v>=&gt; 전체상시근로자의 수(6명)가 최초로 공제 받은 과세연도(2019년, 8명)에 비하여 감소한 바,2차년도 공제금액 없음</v>
      </c>
    </row>
    <row r="57" spans="2:11">
      <c r="B57" s="76" t="s">
        <v>165</v>
      </c>
      <c r="J57" t="s">
        <v>113</v>
      </c>
      <c r="K57" t="s">
        <v>114</v>
      </c>
    </row>
    <row r="58" spans="2:11">
      <c r="J58" t="s">
        <v>120</v>
      </c>
    </row>
    <row r="59" spans="2:11">
      <c r="B59" s="75" t="s">
        <v>44</v>
      </c>
      <c r="C59" s="24">
        <f>G66</f>
        <v>28300000</v>
      </c>
      <c r="G59" s="21">
        <f>C59/2</f>
        <v>14150000</v>
      </c>
    </row>
    <row r="61" spans="2:11">
      <c r="B61" t="s">
        <v>17</v>
      </c>
      <c r="G61" t="s">
        <v>20</v>
      </c>
    </row>
    <row r="62" spans="2:11">
      <c r="B62" t="s">
        <v>18</v>
      </c>
      <c r="C62">
        <f>H6</f>
        <v>-4</v>
      </c>
      <c r="D62" s="1" t="s">
        <v>21</v>
      </c>
      <c r="E62" s="9">
        <f>C11</f>
        <v>12000000</v>
      </c>
      <c r="F62" s="12" t="s">
        <v>22</v>
      </c>
      <c r="G62" s="9">
        <f>C62*E62</f>
        <v>-48000000</v>
      </c>
    </row>
    <row r="63" spans="2:11" ht="17.25" thickBot="1">
      <c r="B63" s="10" t="s">
        <v>19</v>
      </c>
      <c r="C63" s="59">
        <f>H7</f>
        <v>2</v>
      </c>
      <c r="D63" s="1" t="s">
        <v>21</v>
      </c>
      <c r="E63" s="9">
        <f>C12</f>
        <v>7700000</v>
      </c>
      <c r="F63" s="12" t="s">
        <v>22</v>
      </c>
      <c r="G63" s="13">
        <f>C63*E63</f>
        <v>15400000</v>
      </c>
    </row>
    <row r="64" spans="2:11" ht="17.25" thickTop="1">
      <c r="C64" s="55">
        <f>TRUNC(SUM(C62:C63),2)</f>
        <v>-2</v>
      </c>
      <c r="G64" s="9">
        <f>SUM(G62:G63)</f>
        <v>-32600000</v>
      </c>
      <c r="I64">
        <f>ABS(C64)</f>
        <v>2</v>
      </c>
      <c r="J64" t="str">
        <f>IF(C64=0,"유지",IF(C64&gt;0,"증가","감소"))</f>
        <v>감소</v>
      </c>
    </row>
    <row r="65" spans="2:7">
      <c r="B65" s="22">
        <f>MIN(G6,ABS(H6))</f>
        <v>3</v>
      </c>
      <c r="C65" s="22">
        <f>IF(C64&lt;0,ABS(C64),0)</f>
        <v>2</v>
      </c>
    </row>
    <row r="66" spans="2:7">
      <c r="B66" t="str">
        <f>"청년 : {(①"&amp;MIN(G6,ABS(H6))&amp;"명-②"&amp;ABS(C64)&amp;"명)) X (③"&amp;TEXT(C11,"#,###.##")&amp;" - ④"&amp;TEXT(C12,"#,###")&amp;")} + (⑤"&amp;ABS(C64)&amp;"명 X ⑥"&amp;TEXT(C11,"#,###")&amp;")) ="</f>
        <v>청년 : {(①3명-②2명)) X (③12,000,000. - ④7,700,000)} + (⑤2명 X ⑥12,000,000)) =</v>
      </c>
      <c r="G66" s="21">
        <f>(B65-C65)*C13+(C65*C11)</f>
        <v>28300000</v>
      </c>
    </row>
    <row r="68" spans="2:7">
      <c r="B68">
        <f>B65</f>
        <v>3</v>
      </c>
      <c r="C68" s="42">
        <f>C65</f>
        <v>2</v>
      </c>
      <c r="D68" s="21">
        <f>C11-C12</f>
        <v>4300000</v>
      </c>
      <c r="E68" s="42">
        <f>C65</f>
        <v>2</v>
      </c>
      <c r="F68" s="21">
        <f>C11</f>
        <v>12000000</v>
      </c>
      <c r="G68" s="9">
        <f>(B68-C68)*D68+(E68*F68)</f>
        <v>28300000</v>
      </c>
    </row>
    <row r="70" spans="2:7">
      <c r="B70" t="s">
        <v>45</v>
      </c>
    </row>
    <row r="71" spans="2:7">
      <c r="B71" t="s">
        <v>46</v>
      </c>
    </row>
    <row r="72" spans="2:7">
      <c r="B72" t="s">
        <v>47</v>
      </c>
    </row>
    <row r="73" spans="2:7">
      <c r="B73" s="11" t="s">
        <v>48</v>
      </c>
    </row>
    <row r="75" spans="2:7">
      <c r="B75" s="26" t="str">
        <f>"'=&gt; ① 최초로 공제받은 과세연도 대비 청년등 상시근로자의 감소한 인원 수 ("&amp;ABS(H6)&amp;"명→"&amp;G6&amp;"명("&amp;D6&amp;"-"&amp;C6&amp;"))"</f>
        <v>'=&gt; ① 최초로 공제받은 과세연도 대비 청년등 상시근로자의 감소한 인원 수 (4명→3명(5-2))</v>
      </c>
    </row>
    <row r="76" spans="2:7">
      <c r="B76" t="s">
        <v>49</v>
      </c>
    </row>
    <row r="77" spans="2:7">
      <c r="B77" s="27" t="s">
        <v>50</v>
      </c>
      <c r="D77" s="75">
        <f>ABS(H8)</f>
        <v>2</v>
      </c>
      <c r="E77" t="s">
        <v>51</v>
      </c>
    </row>
    <row r="78" spans="2:7">
      <c r="B78" s="27" t="s">
        <v>52</v>
      </c>
      <c r="D78" s="78">
        <f>C11</f>
        <v>12000000</v>
      </c>
      <c r="E78" t="s">
        <v>53</v>
      </c>
    </row>
    <row r="79" spans="2:7">
      <c r="B79" s="27" t="s">
        <v>54</v>
      </c>
      <c r="D79" s="78">
        <f>C12</f>
        <v>7700000</v>
      </c>
      <c r="E79" t="s">
        <v>53</v>
      </c>
    </row>
    <row r="80" spans="2:7">
      <c r="B80" s="27" t="s">
        <v>55</v>
      </c>
      <c r="D80" s="75">
        <f>ABS(H8)</f>
        <v>2</v>
      </c>
      <c r="E80" t="s">
        <v>51</v>
      </c>
    </row>
    <row r="81" spans="2:5">
      <c r="B81" s="27" t="s">
        <v>56</v>
      </c>
      <c r="D81" s="78">
        <f>D78</f>
        <v>12000000</v>
      </c>
      <c r="E81" t="s">
        <v>53</v>
      </c>
    </row>
  </sheetData>
  <phoneticPr fontId="2" type="noConversion"/>
  <conditionalFormatting sqref="D2">
    <cfRule type="cellIs" dxfId="54" priority="13" operator="equal">
      <formula>"증가"</formula>
    </cfRule>
    <cfRule type="cellIs" dxfId="53" priority="14" operator="equal">
      <formula>"감소"</formula>
    </cfRule>
  </conditionalFormatting>
  <conditionalFormatting sqref="G2">
    <cfRule type="cellIs" dxfId="52" priority="9" operator="equal">
      <formula>"증가"</formula>
    </cfRule>
    <cfRule type="cellIs" dxfId="51" priority="10" operator="equal">
      <formula>"감소"</formula>
    </cfRule>
  </conditionalFormatting>
  <conditionalFormatting sqref="J2">
    <cfRule type="cellIs" dxfId="50" priority="7" operator="equal">
      <formula>"증가"</formula>
    </cfRule>
    <cfRule type="cellIs" dxfId="49" priority="8" operator="equal">
      <formula>"감소"</formula>
    </cfRule>
  </conditionalFormatting>
  <conditionalFormatting sqref="F2">
    <cfRule type="cellIs" dxfId="48" priority="5" operator="equal">
      <formula>"증가"</formula>
    </cfRule>
    <cfRule type="cellIs" dxfId="47" priority="6" operator="equal">
      <formula>"감소"</formula>
    </cfRule>
  </conditionalFormatting>
  <conditionalFormatting sqref="G6:H8">
    <cfRule type="cellIs" dxfId="46" priority="1" operator="greaterThan">
      <formula>0</formula>
    </cfRule>
    <cfRule type="cellIs" dxfId="45" priority="2" operator="equal">
      <formula>0</formula>
    </cfRule>
    <cfRule type="cellIs" dxfId="44" priority="3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30CB-F3A7-4BBD-8C0E-721671BE55A8}">
  <sheetPr codeName="Sheet4">
    <tabColor theme="5"/>
  </sheetPr>
  <dimension ref="A1:K81"/>
  <sheetViews>
    <sheetView workbookViewId="0">
      <selection activeCell="C70" sqref="C70"/>
    </sheetView>
  </sheetViews>
  <sheetFormatPr defaultRowHeight="16.5"/>
  <cols>
    <col min="2" max="2" width="24.5" customWidth="1"/>
    <col min="3" max="3" width="17.875" bestFit="1" customWidth="1"/>
    <col min="4" max="4" width="12.375" customWidth="1"/>
    <col min="5" max="5" width="11.5" customWidth="1"/>
    <col min="6" max="6" width="18.125" customWidth="1"/>
    <col min="7" max="7" width="12.375" customWidth="1"/>
  </cols>
  <sheetData>
    <row r="1" spans="2:10" ht="17.25" thickBot="1"/>
    <row r="2" spans="2:10" ht="17.25" thickBot="1">
      <c r="B2" s="32" t="s">
        <v>2</v>
      </c>
      <c r="C2" t="s">
        <v>6</v>
      </c>
      <c r="D2" s="1" t="s">
        <v>8</v>
      </c>
      <c r="F2" s="2" t="s">
        <v>9</v>
      </c>
      <c r="G2" s="1" t="s">
        <v>8</v>
      </c>
      <c r="I2" t="s">
        <v>10</v>
      </c>
      <c r="J2" s="1" t="s">
        <v>8</v>
      </c>
    </row>
    <row r="5" spans="2:10">
      <c r="B5" s="3" t="s">
        <v>11</v>
      </c>
      <c r="C5" s="3" t="s">
        <v>13</v>
      </c>
      <c r="D5" s="3" t="s">
        <v>14</v>
      </c>
      <c r="E5" s="3" t="s">
        <v>161</v>
      </c>
      <c r="G5" s="3">
        <v>2019</v>
      </c>
      <c r="H5" s="3">
        <v>2020</v>
      </c>
    </row>
    <row r="6" spans="2:10">
      <c r="B6" s="4" t="s">
        <v>99</v>
      </c>
      <c r="C6" s="14">
        <v>2</v>
      </c>
      <c r="D6" s="14">
        <v>5</v>
      </c>
      <c r="E6" s="14">
        <v>4</v>
      </c>
      <c r="G6" s="3">
        <f>D6-C6</f>
        <v>3</v>
      </c>
      <c r="H6" s="3">
        <f>E6-D6</f>
        <v>-1</v>
      </c>
    </row>
    <row r="7" spans="2:10" ht="17.25" thickBot="1">
      <c r="B7" s="7" t="s">
        <v>100</v>
      </c>
      <c r="C7" s="52">
        <v>1</v>
      </c>
      <c r="D7" s="52">
        <v>3</v>
      </c>
      <c r="E7" s="15">
        <v>1</v>
      </c>
      <c r="G7" s="8">
        <f t="shared" ref="G7:H8" si="0">D7-C7</f>
        <v>2</v>
      </c>
      <c r="H7" s="8">
        <f t="shared" si="0"/>
        <v>-2</v>
      </c>
    </row>
    <row r="8" spans="2:10" ht="17.25" thickTop="1">
      <c r="B8" s="5" t="s">
        <v>12</v>
      </c>
      <c r="C8" s="6">
        <f>SUM(C6:C7)</f>
        <v>3</v>
      </c>
      <c r="D8" s="6">
        <f t="shared" ref="D8:E8" si="1">SUM(D6:D7)</f>
        <v>8</v>
      </c>
      <c r="E8" s="6">
        <f t="shared" si="1"/>
        <v>5</v>
      </c>
      <c r="G8" s="6">
        <f t="shared" si="0"/>
        <v>5</v>
      </c>
      <c r="H8" s="6">
        <f t="shared" si="0"/>
        <v>-3</v>
      </c>
    </row>
    <row r="10" spans="2:10">
      <c r="B10">
        <f>'개요(선택)'!C10</f>
        <v>0</v>
      </c>
    </row>
    <row r="11" spans="2:10">
      <c r="B11" t="s">
        <v>9</v>
      </c>
      <c r="C11" s="17">
        <f>'개요(선택)'!D11</f>
        <v>12000000</v>
      </c>
    </row>
    <row r="12" spans="2:10" ht="17.25" thickBot="1">
      <c r="B12" s="19" t="s">
        <v>16</v>
      </c>
      <c r="C12" s="20">
        <f>'개요(선택)'!D12</f>
        <v>7700000</v>
      </c>
    </row>
    <row r="13" spans="2:10">
      <c r="C13" s="21">
        <f>C11-C12</f>
        <v>4300000</v>
      </c>
    </row>
    <row r="15" spans="2:10">
      <c r="B15" t="s">
        <v>162</v>
      </c>
      <c r="C15" s="23">
        <f>G21</f>
        <v>51400000</v>
      </c>
    </row>
    <row r="17" spans="1:11">
      <c r="B17" t="s">
        <v>23</v>
      </c>
    </row>
    <row r="18" spans="1:11">
      <c r="B18" t="s">
        <v>17</v>
      </c>
      <c r="G18" t="s">
        <v>20</v>
      </c>
    </row>
    <row r="19" spans="1:11">
      <c r="B19" t="s">
        <v>18</v>
      </c>
      <c r="C19">
        <f>G6</f>
        <v>3</v>
      </c>
      <c r="D19" s="1" t="s">
        <v>21</v>
      </c>
      <c r="E19" s="9">
        <f>C11</f>
        <v>12000000</v>
      </c>
      <c r="F19" s="12" t="s">
        <v>22</v>
      </c>
      <c r="G19" s="9">
        <f>C19*E19</f>
        <v>36000000</v>
      </c>
    </row>
    <row r="20" spans="1:11" ht="17.25" thickBot="1">
      <c r="B20" s="10" t="s">
        <v>19</v>
      </c>
      <c r="C20" s="10">
        <f>G7</f>
        <v>2</v>
      </c>
      <c r="D20" s="1" t="s">
        <v>21</v>
      </c>
      <c r="E20" s="9">
        <f>C12</f>
        <v>7700000</v>
      </c>
      <c r="F20" s="12" t="s">
        <v>22</v>
      </c>
      <c r="G20" s="13">
        <f>C20*E20</f>
        <v>15400000</v>
      </c>
    </row>
    <row r="21" spans="1:11" ht="17.25" thickTop="1">
      <c r="C21" s="55">
        <f>TRUNC(SUM(C19:C20),2)</f>
        <v>5</v>
      </c>
      <c r="G21" s="9">
        <f>SUM(G19:G20)</f>
        <v>51400000</v>
      </c>
    </row>
    <row r="22" spans="1:11" ht="17.25" thickBo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B24" s="76" t="s">
        <v>163</v>
      </c>
      <c r="D24" s="16">
        <f>G30</f>
        <v>0</v>
      </c>
      <c r="E24" t="s">
        <v>57</v>
      </c>
    </row>
    <row r="26" spans="1:11">
      <c r="B26" t="s">
        <v>24</v>
      </c>
      <c r="C26" s="9">
        <f>G30</f>
        <v>0</v>
      </c>
    </row>
    <row r="27" spans="1:11">
      <c r="B27" t="s">
        <v>17</v>
      </c>
      <c r="G27" t="s">
        <v>20</v>
      </c>
    </row>
    <row r="28" spans="1:11">
      <c r="B28" t="s">
        <v>18</v>
      </c>
      <c r="C28">
        <f>MAX(H6,H8)</f>
        <v>-1</v>
      </c>
      <c r="D28" s="1" t="s">
        <v>21</v>
      </c>
      <c r="E28" s="9">
        <f>C11</f>
        <v>12000000</v>
      </c>
      <c r="F28" s="12" t="s">
        <v>22</v>
      </c>
      <c r="G28" s="9">
        <f>C28*E28</f>
        <v>-12000000</v>
      </c>
    </row>
    <row r="29" spans="1:11" ht="17.25" thickBot="1">
      <c r="B29" s="10" t="s">
        <v>19</v>
      </c>
      <c r="C29" s="10">
        <f>MIN(H7,0)</f>
        <v>-2</v>
      </c>
      <c r="D29" s="1" t="s">
        <v>21</v>
      </c>
      <c r="E29" s="9">
        <f>C12</f>
        <v>7700000</v>
      </c>
      <c r="F29" s="12" t="s">
        <v>22</v>
      </c>
      <c r="G29" s="13">
        <f>C29*E29</f>
        <v>-15400000</v>
      </c>
    </row>
    <row r="30" spans="1:11" ht="17.25" thickTop="1">
      <c r="C30">
        <f>TRUNC(SUM(C28:C29),2)</f>
        <v>-3</v>
      </c>
      <c r="G30" s="9">
        <f>IF(C30&lt;0,0,SUM(G28:G29))</f>
        <v>0</v>
      </c>
    </row>
    <row r="32" spans="1:11">
      <c r="B32" t="s">
        <v>25</v>
      </c>
    </row>
    <row r="33" spans="2:10">
      <c r="B33" t="s">
        <v>30</v>
      </c>
    </row>
    <row r="34" spans="2:10">
      <c r="B34" t="s">
        <v>31</v>
      </c>
    </row>
    <row r="35" spans="2:10">
      <c r="B35" t="s">
        <v>32</v>
      </c>
    </row>
    <row r="36" spans="2:10">
      <c r="B36" t="s">
        <v>33</v>
      </c>
    </row>
    <row r="37" spans="2:10">
      <c r="B37" t="s">
        <v>34</v>
      </c>
    </row>
    <row r="39" spans="2:10">
      <c r="B39" s="11" t="s">
        <v>35</v>
      </c>
    </row>
    <row r="41" spans="2:10">
      <c r="B41" t="s">
        <v>36</v>
      </c>
      <c r="C41" s="25" t="s">
        <v>37</v>
      </c>
      <c r="E41" t="s">
        <v>57</v>
      </c>
    </row>
    <row r="42" spans="2:10">
      <c r="B42" t="s">
        <v>17</v>
      </c>
      <c r="G42" t="s">
        <v>20</v>
      </c>
    </row>
    <row r="43" spans="2:10">
      <c r="B43" t="s">
        <v>18</v>
      </c>
      <c r="C43">
        <f>C28</f>
        <v>-1</v>
      </c>
      <c r="D43" s="1"/>
      <c r="E43" s="9"/>
      <c r="F43" s="12" t="s">
        <v>22</v>
      </c>
      <c r="G43" s="9">
        <f>IF(C43&lt;0,0,G19)</f>
        <v>0</v>
      </c>
    </row>
    <row r="44" spans="2:10" ht="17.25" thickBot="1">
      <c r="B44" s="10" t="s">
        <v>19</v>
      </c>
      <c r="C44" s="10">
        <f>C29</f>
        <v>-2</v>
      </c>
      <c r="D44" s="1"/>
      <c r="E44" s="9"/>
      <c r="F44" s="12" t="s">
        <v>22</v>
      </c>
      <c r="G44" s="13">
        <f>IF(C44&lt;0,0,G20)</f>
        <v>0</v>
      </c>
    </row>
    <row r="45" spans="2:10" ht="17.25" thickTop="1">
      <c r="C45">
        <f>TRUNC(SUM(C43:C44),2)</f>
        <v>-3</v>
      </c>
      <c r="G45" s="9">
        <f>IF(C45&lt;0,0,SUM(G43:G44))</f>
        <v>0</v>
      </c>
      <c r="I45">
        <f>ABS(C45)</f>
        <v>3</v>
      </c>
      <c r="J45" t="str">
        <f>IF(C45=0,"유지",IF(C45&gt;0,"증가","감소"))</f>
        <v>감소</v>
      </c>
    </row>
    <row r="47" spans="2:10">
      <c r="B47" t="s">
        <v>38</v>
      </c>
    </row>
    <row r="49" spans="2:11">
      <c r="B49" t="s">
        <v>39</v>
      </c>
    </row>
    <row r="50" spans="2:11">
      <c r="B50" t="s">
        <v>40</v>
      </c>
    </row>
    <row r="51" spans="2:11">
      <c r="B51" t="s">
        <v>41</v>
      </c>
    </row>
    <row r="52" spans="2:11">
      <c r="B52" t="s">
        <v>42</v>
      </c>
    </row>
    <row r="53" spans="2:11">
      <c r="B53" t="s">
        <v>43</v>
      </c>
    </row>
    <row r="55" spans="2:11">
      <c r="B55" s="11" t="str">
        <f>"=&gt; 전체상시근로자의 수("&amp;E8&amp;"명)가 최초로 공제 받은 과세연도(2019년, "&amp;D8&amp;"명)에 비하여 감소한 바,2차년도 공제금액 없음"</f>
        <v>=&gt; 전체상시근로자의 수(5명)가 최초로 공제 받은 과세연도(2019년, 8명)에 비하여 감소한 바,2차년도 공제금액 없음</v>
      </c>
    </row>
    <row r="57" spans="2:11">
      <c r="B57" s="76" t="s">
        <v>165</v>
      </c>
      <c r="K57" t="s">
        <v>113</v>
      </c>
    </row>
    <row r="58" spans="2:11">
      <c r="K58" t="s">
        <v>120</v>
      </c>
    </row>
    <row r="59" spans="2:11">
      <c r="B59" t="s">
        <v>44</v>
      </c>
      <c r="C59" s="24">
        <f>G66</f>
        <v>27400000</v>
      </c>
    </row>
    <row r="61" spans="2:11">
      <c r="B61" t="s">
        <v>17</v>
      </c>
      <c r="G61" t="s">
        <v>20</v>
      </c>
    </row>
    <row r="62" spans="2:11">
      <c r="B62" t="s">
        <v>18</v>
      </c>
      <c r="C62">
        <f>H6</f>
        <v>-1</v>
      </c>
      <c r="D62" s="1" t="s">
        <v>21</v>
      </c>
      <c r="E62" s="9">
        <f>C11</f>
        <v>12000000</v>
      </c>
      <c r="F62" s="12" t="s">
        <v>22</v>
      </c>
      <c r="G62" s="9">
        <f>C62*E62</f>
        <v>-12000000</v>
      </c>
    </row>
    <row r="63" spans="2:11" ht="17.25" thickBot="1">
      <c r="B63" s="10" t="s">
        <v>19</v>
      </c>
      <c r="C63" s="10">
        <f>H7</f>
        <v>-2</v>
      </c>
      <c r="D63" s="1" t="s">
        <v>21</v>
      </c>
      <c r="E63" s="9">
        <f>C12</f>
        <v>7700000</v>
      </c>
      <c r="F63" s="12" t="s">
        <v>22</v>
      </c>
      <c r="G63" s="13">
        <f>C63*E63</f>
        <v>-15400000</v>
      </c>
    </row>
    <row r="64" spans="2:11" ht="17.25" thickTop="1">
      <c r="C64">
        <f>TRUNC(SUM(C62:C63),2)</f>
        <v>-3</v>
      </c>
      <c r="G64" s="9">
        <f>SUM(G62:G63)</f>
        <v>-27400000</v>
      </c>
      <c r="I64">
        <f>ABS(C64)</f>
        <v>3</v>
      </c>
      <c r="J64" t="str">
        <f>IF(C64=0,"유지",IF(C64&gt;0,"증가","감소"))</f>
        <v>감소</v>
      </c>
    </row>
    <row r="65" spans="2:7">
      <c r="B65" s="22">
        <f>MIN(G6,ABS(H6))</f>
        <v>1</v>
      </c>
      <c r="C65" s="22">
        <f>IF(C64&lt;0,ABS(C64),0)</f>
        <v>3</v>
      </c>
    </row>
    <row r="66" spans="2:7">
      <c r="B66" t="str">
        <f>"청년 : {(①"&amp;MIN(G6,ABS(H6))&amp;"명-②"&amp;ABS(C64)&amp;"명)) X (③"&amp;TEXT(C11,"#,###")&amp;" - ④"&amp;TEXT(C12,"#,###")&amp;")} + (⑤"&amp;ABS(C64)&amp;"명 X ⑥"&amp;TEXT(C11,"#,###")&amp;")) ="</f>
        <v>청년 : {(①1명-②3명)) X (③12,000,000 - ④7,700,000)} + (⑤3명 X ⑥12,000,000)) =</v>
      </c>
      <c r="G66" s="21">
        <f>(B65-C65)*C13+(C65*C11)</f>
        <v>27400000</v>
      </c>
    </row>
    <row r="70" spans="2:7">
      <c r="B70" t="s">
        <v>45</v>
      </c>
    </row>
    <row r="71" spans="2:7">
      <c r="B71" t="s">
        <v>46</v>
      </c>
    </row>
    <row r="72" spans="2:7">
      <c r="B72" t="s">
        <v>47</v>
      </c>
    </row>
    <row r="73" spans="2:7">
      <c r="B73" s="11" t="s">
        <v>48</v>
      </c>
    </row>
    <row r="75" spans="2:7">
      <c r="B75" s="26" t="str">
        <f>"'=&gt; ① 최초로 공제받은 과세연도 대비 청년등 상시근로자의 감소한 인원 수 ("&amp;ABS(H6)&amp;"명→"&amp;G6&amp;"명("&amp;D6&amp;"-"&amp;C6&amp;"))"</f>
        <v>'=&gt; ① 최초로 공제받은 과세연도 대비 청년등 상시근로자의 감소한 인원 수 (1명→3명(5-2))</v>
      </c>
    </row>
    <row r="76" spans="2:7">
      <c r="B76" t="s">
        <v>49</v>
      </c>
    </row>
    <row r="77" spans="2:7">
      <c r="B77" s="27" t="s">
        <v>50</v>
      </c>
      <c r="D77">
        <f>ABS(H8)</f>
        <v>3</v>
      </c>
      <c r="E77" t="s">
        <v>51</v>
      </c>
    </row>
    <row r="78" spans="2:7">
      <c r="B78" s="27" t="s">
        <v>52</v>
      </c>
      <c r="D78" s="21">
        <f>C11</f>
        <v>12000000</v>
      </c>
      <c r="E78" t="s">
        <v>53</v>
      </c>
    </row>
    <row r="79" spans="2:7">
      <c r="B79" s="27" t="s">
        <v>54</v>
      </c>
      <c r="D79" s="21">
        <f>C12</f>
        <v>7700000</v>
      </c>
      <c r="E79" t="s">
        <v>53</v>
      </c>
    </row>
    <row r="80" spans="2:7">
      <c r="B80" s="27" t="s">
        <v>55</v>
      </c>
      <c r="D80">
        <f>ABS(H8)</f>
        <v>3</v>
      </c>
      <c r="E80" t="s">
        <v>51</v>
      </c>
    </row>
    <row r="81" spans="2:5">
      <c r="B81" s="27" t="s">
        <v>56</v>
      </c>
      <c r="D81" s="21">
        <f>D78</f>
        <v>12000000</v>
      </c>
      <c r="E81" t="s">
        <v>53</v>
      </c>
    </row>
  </sheetData>
  <phoneticPr fontId="2" type="noConversion"/>
  <conditionalFormatting sqref="D2">
    <cfRule type="cellIs" dxfId="43" priority="12" operator="equal">
      <formula>"증가"</formula>
    </cfRule>
    <cfRule type="cellIs" dxfId="42" priority="13" operator="equal">
      <formula>"감소"</formula>
    </cfRule>
  </conditionalFormatting>
  <conditionalFormatting sqref="G2">
    <cfRule type="cellIs" dxfId="41" priority="8" operator="equal">
      <formula>"증가"</formula>
    </cfRule>
    <cfRule type="cellIs" dxfId="40" priority="9" operator="equal">
      <formula>"감소"</formula>
    </cfRule>
  </conditionalFormatting>
  <conditionalFormatting sqref="J2">
    <cfRule type="cellIs" dxfId="39" priority="6" operator="equal">
      <formula>"증가"</formula>
    </cfRule>
    <cfRule type="cellIs" dxfId="38" priority="7" operator="equal">
      <formula>"감소"</formula>
    </cfRule>
  </conditionalFormatting>
  <conditionalFormatting sqref="F2">
    <cfRule type="cellIs" dxfId="37" priority="4" operator="equal">
      <formula>"증가"</formula>
    </cfRule>
    <cfRule type="cellIs" dxfId="36" priority="5" operator="equal">
      <formula>"감소"</formula>
    </cfRule>
  </conditionalFormatting>
  <conditionalFormatting sqref="G6:H8">
    <cfRule type="cellIs" dxfId="35" priority="1" operator="greaterThan">
      <formula>0</formula>
    </cfRule>
    <cfRule type="cellIs" dxfId="34" priority="2" operator="equal">
      <formula>0</formula>
    </cfRule>
    <cfRule type="cellIs" dxfId="33" priority="3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31F3-392E-4B83-87F3-34F9B8329759}">
  <sheetPr codeName="Sheet5">
    <tabColor rgb="FF00B050"/>
    <pageSetUpPr fitToPage="1"/>
  </sheetPr>
  <dimension ref="A1:N86"/>
  <sheetViews>
    <sheetView workbookViewId="0">
      <selection activeCell="D19" sqref="D19"/>
    </sheetView>
  </sheetViews>
  <sheetFormatPr defaultRowHeight="16.5"/>
  <cols>
    <col min="2" max="2" width="25.875" customWidth="1"/>
    <col min="3" max="3" width="17.875" bestFit="1" customWidth="1"/>
    <col min="4" max="4" width="13.125" customWidth="1"/>
    <col min="5" max="5" width="13.75" bestFit="1" customWidth="1"/>
    <col min="7" max="7" width="14.875" bestFit="1" customWidth="1"/>
    <col min="10" max="10" width="14.5" customWidth="1"/>
    <col min="11" max="11" width="11.25" customWidth="1"/>
    <col min="12" max="12" width="10.875" bestFit="1" customWidth="1"/>
  </cols>
  <sheetData>
    <row r="1" spans="2:12" ht="17.25" thickBot="1"/>
    <row r="2" spans="2:12" ht="17.25" thickBot="1">
      <c r="B2" s="32" t="s">
        <v>3</v>
      </c>
      <c r="C2" t="s">
        <v>6</v>
      </c>
      <c r="D2" s="1" t="s">
        <v>7</v>
      </c>
      <c r="F2" s="2" t="s">
        <v>9</v>
      </c>
      <c r="G2" s="1" t="s">
        <v>8</v>
      </c>
      <c r="I2" t="s">
        <v>10</v>
      </c>
      <c r="J2" s="1" t="s">
        <v>7</v>
      </c>
    </row>
    <row r="5" spans="2:12">
      <c r="B5" s="3" t="s">
        <v>11</v>
      </c>
      <c r="C5" s="3" t="s">
        <v>13</v>
      </c>
      <c r="D5" s="3" t="s">
        <v>14</v>
      </c>
      <c r="E5" s="3" t="s">
        <v>161</v>
      </c>
      <c r="G5" s="3">
        <v>2019</v>
      </c>
      <c r="H5" s="3">
        <v>2020</v>
      </c>
    </row>
    <row r="6" spans="2:12">
      <c r="B6" s="4" t="s">
        <v>99</v>
      </c>
      <c r="C6" s="14">
        <v>2</v>
      </c>
      <c r="D6" s="14">
        <v>5</v>
      </c>
      <c r="E6" s="14">
        <v>2</v>
      </c>
      <c r="G6" s="3">
        <f>D6-C6</f>
        <v>3</v>
      </c>
      <c r="H6" s="3">
        <f>E6-D6</f>
        <v>-3</v>
      </c>
      <c r="J6" s="21">
        <f>C13</f>
        <v>4300000</v>
      </c>
      <c r="L6" s="21">
        <f>J6*H6</f>
        <v>-12900000</v>
      </c>
    </row>
    <row r="7" spans="2:12" ht="17.25" thickBot="1">
      <c r="B7" s="7" t="s">
        <v>100</v>
      </c>
      <c r="C7" s="52">
        <v>1</v>
      </c>
      <c r="D7" s="52">
        <v>3</v>
      </c>
      <c r="E7" s="15">
        <v>7</v>
      </c>
      <c r="G7" s="8">
        <f t="shared" ref="G7:H8" si="0">D7-C7</f>
        <v>2</v>
      </c>
      <c r="H7" s="8">
        <f t="shared" si="0"/>
        <v>4</v>
      </c>
    </row>
    <row r="8" spans="2:12" ht="17.25" thickTop="1">
      <c r="B8" s="5" t="s">
        <v>12</v>
      </c>
      <c r="C8" s="6">
        <f>SUM(C6:C7)</f>
        <v>3</v>
      </c>
      <c r="D8" s="6">
        <f t="shared" ref="D8:E8" si="1">SUM(D6:D7)</f>
        <v>8</v>
      </c>
      <c r="E8" s="6">
        <f t="shared" si="1"/>
        <v>9</v>
      </c>
      <c r="G8" s="6">
        <f t="shared" si="0"/>
        <v>5</v>
      </c>
      <c r="H8" s="6">
        <f t="shared" si="0"/>
        <v>1</v>
      </c>
    </row>
    <row r="10" spans="2:12">
      <c r="B10">
        <f>'개요(선택)'!C10</f>
        <v>0</v>
      </c>
    </row>
    <row r="11" spans="2:12">
      <c r="B11" t="s">
        <v>9</v>
      </c>
      <c r="C11" s="17">
        <f>'개요(선택)'!D11</f>
        <v>12000000</v>
      </c>
    </row>
    <row r="12" spans="2:12" ht="17.25" thickBot="1">
      <c r="B12" s="19" t="s">
        <v>16</v>
      </c>
      <c r="C12" s="20">
        <f>'개요(선택)'!D12</f>
        <v>7700000</v>
      </c>
    </row>
    <row r="13" spans="2:12">
      <c r="C13" s="21">
        <f>C11-C12</f>
        <v>4300000</v>
      </c>
    </row>
    <row r="15" spans="2:12">
      <c r="B15" t="s">
        <v>162</v>
      </c>
      <c r="C15" s="23">
        <f>G21</f>
        <v>51400000</v>
      </c>
    </row>
    <row r="17" spans="1:14">
      <c r="B17" t="s">
        <v>23</v>
      </c>
    </row>
    <row r="18" spans="1:14">
      <c r="B18" t="s">
        <v>17</v>
      </c>
      <c r="G18" t="s">
        <v>20</v>
      </c>
    </row>
    <row r="19" spans="1:14">
      <c r="B19" t="s">
        <v>18</v>
      </c>
      <c r="C19">
        <f>G6</f>
        <v>3</v>
      </c>
      <c r="D19" s="1" t="s">
        <v>21</v>
      </c>
      <c r="E19" s="9">
        <f>C11</f>
        <v>12000000</v>
      </c>
      <c r="F19" s="12" t="s">
        <v>22</v>
      </c>
      <c r="G19" s="9">
        <f>C19*E19</f>
        <v>36000000</v>
      </c>
    </row>
    <row r="20" spans="1:14" ht="17.25" thickBot="1">
      <c r="B20" s="10" t="s">
        <v>19</v>
      </c>
      <c r="C20" s="10">
        <f>G7</f>
        <v>2</v>
      </c>
      <c r="D20" s="1" t="s">
        <v>21</v>
      </c>
      <c r="E20" s="9">
        <f>C12</f>
        <v>7700000</v>
      </c>
      <c r="F20" s="12" t="s">
        <v>22</v>
      </c>
      <c r="G20" s="13">
        <f>C20*E20</f>
        <v>15400000</v>
      </c>
    </row>
    <row r="21" spans="1:14" ht="17.25" thickTop="1">
      <c r="C21" s="55">
        <f>TRUNC(SUM(C19:C20),2)</f>
        <v>5</v>
      </c>
      <c r="G21" s="9">
        <f>SUM(G19:G20)</f>
        <v>51400000</v>
      </c>
    </row>
    <row r="22" spans="1:14" ht="17.25" thickBo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4">
      <c r="B24" s="76" t="s">
        <v>163</v>
      </c>
      <c r="D24" s="23">
        <f>SUM(C26,C43)</f>
        <v>23100000</v>
      </c>
      <c r="J24" t="s">
        <v>102</v>
      </c>
      <c r="K24" s="35">
        <v>0.2</v>
      </c>
      <c r="L24" s="36">
        <f>D24*K24</f>
        <v>4620000</v>
      </c>
      <c r="M24" t="s">
        <v>104</v>
      </c>
      <c r="N24" t="s">
        <v>113</v>
      </c>
    </row>
    <row r="25" spans="1:14">
      <c r="N25" t="s">
        <v>120</v>
      </c>
    </row>
    <row r="26" spans="1:14">
      <c r="B26" t="s">
        <v>24</v>
      </c>
      <c r="C26" s="34">
        <f>G30</f>
        <v>7700000</v>
      </c>
    </row>
    <row r="27" spans="1:14">
      <c r="B27" t="s">
        <v>17</v>
      </c>
      <c r="G27" t="s">
        <v>20</v>
      </c>
    </row>
    <row r="28" spans="1:14">
      <c r="B28" t="s">
        <v>18</v>
      </c>
      <c r="C28">
        <f>MIN(H6,H8)</f>
        <v>-3</v>
      </c>
      <c r="D28" s="1" t="s">
        <v>21</v>
      </c>
      <c r="E28" s="9">
        <f>C11</f>
        <v>12000000</v>
      </c>
      <c r="F28" s="12" t="s">
        <v>22</v>
      </c>
      <c r="G28" s="9">
        <f>C28*E28</f>
        <v>-36000000</v>
      </c>
    </row>
    <row r="29" spans="1:14" ht="17.25" thickBot="1">
      <c r="B29" s="10" t="s">
        <v>19</v>
      </c>
      <c r="C29" s="10">
        <f>MAX(H7,0)</f>
        <v>4</v>
      </c>
      <c r="D29" s="1" t="s">
        <v>21</v>
      </c>
      <c r="E29" s="9">
        <f>C12</f>
        <v>7700000</v>
      </c>
      <c r="F29" s="12" t="s">
        <v>22</v>
      </c>
      <c r="G29" s="13">
        <f>C29*E29</f>
        <v>30800000</v>
      </c>
    </row>
    <row r="30" spans="1:14" ht="17.25" thickTop="1">
      <c r="C30" s="55">
        <f>TRUNC(SUM(C28:C29),2)</f>
        <v>1</v>
      </c>
      <c r="G30" s="9">
        <f>IF(AND(C30&gt;0,C29&gt;C28),C30*E29,0)</f>
        <v>7700000</v>
      </c>
    </row>
    <row r="32" spans="1:14">
      <c r="B32" t="s">
        <v>58</v>
      </c>
    </row>
    <row r="33" spans="2:10">
      <c r="B33" s="29" t="s">
        <v>59</v>
      </c>
      <c r="C33" t="str">
        <f>IF(C28&lt;0,"공제금액없음","")</f>
        <v>공제금액없음</v>
      </c>
    </row>
    <row r="34" spans="2:10">
      <c r="B34" s="29" t="s">
        <v>60</v>
      </c>
      <c r="C34">
        <f>C30</f>
        <v>1</v>
      </c>
      <c r="D34" t="str">
        <f>"명("&amp;C29&amp;"명이 아님에 주의) X"&amp;" "&amp;TEXT(C12,"#,###")&amp;"원 ="</f>
        <v>명(4명이 아님에 주의) X 7,700,000원 =</v>
      </c>
      <c r="G34" s="9">
        <f>G30</f>
        <v>7700000</v>
      </c>
      <c r="H34" t="s">
        <v>61</v>
      </c>
    </row>
    <row r="36" spans="2:10">
      <c r="B36" t="s">
        <v>62</v>
      </c>
    </row>
    <row r="37" spans="2:10">
      <c r="B37" t="s">
        <v>63</v>
      </c>
    </row>
    <row r="38" spans="2:10">
      <c r="B38" t="s">
        <v>64</v>
      </c>
    </row>
    <row r="39" spans="2:10">
      <c r="B39" t="s">
        <v>65</v>
      </c>
    </row>
    <row r="40" spans="2:10">
      <c r="B40" t="s">
        <v>66</v>
      </c>
    </row>
    <row r="43" spans="2:10">
      <c r="B43" t="s">
        <v>36</v>
      </c>
      <c r="C43" s="34">
        <f>G46</f>
        <v>15400000</v>
      </c>
      <c r="E43" t="s">
        <v>57</v>
      </c>
    </row>
    <row r="44" spans="2:10">
      <c r="B44" t="s">
        <v>17</v>
      </c>
      <c r="G44" t="s">
        <v>20</v>
      </c>
    </row>
    <row r="45" spans="2:10">
      <c r="B45" t="s">
        <v>18</v>
      </c>
      <c r="C45">
        <f>C28</f>
        <v>-3</v>
      </c>
      <c r="D45" s="1" t="s">
        <v>21</v>
      </c>
      <c r="E45" s="9"/>
      <c r="F45" s="12" t="s">
        <v>22</v>
      </c>
      <c r="G45" s="9">
        <f>IF(C45&lt;0,0,G19)</f>
        <v>0</v>
      </c>
    </row>
    <row r="46" spans="2:10" ht="17.25" thickBot="1">
      <c r="B46" s="10" t="s">
        <v>19</v>
      </c>
      <c r="C46" s="10">
        <f>C29</f>
        <v>4</v>
      </c>
      <c r="D46" s="1" t="s">
        <v>21</v>
      </c>
      <c r="E46" s="9"/>
      <c r="F46" s="12" t="s">
        <v>22</v>
      </c>
      <c r="G46" s="13">
        <f>IF(C46&lt;0,0,G20)</f>
        <v>15400000</v>
      </c>
    </row>
    <row r="47" spans="2:10" ht="17.25" thickTop="1">
      <c r="C47">
        <f>SUM(C45:C46)</f>
        <v>1</v>
      </c>
      <c r="D47" t="s">
        <v>101</v>
      </c>
      <c r="G47" s="9">
        <f>IF(AND(C47&gt;0,C46&gt;C45),C47*E46,0)</f>
        <v>0</v>
      </c>
      <c r="I47">
        <f>ABS(C47)</f>
        <v>1</v>
      </c>
      <c r="J47" t="str">
        <f>IF(C47=0,"유지",IF(C47&gt;0,"증가","감소"))</f>
        <v>증가</v>
      </c>
    </row>
    <row r="49" spans="2:12">
      <c r="B49" t="s">
        <v>58</v>
      </c>
    </row>
    <row r="50" spans="2:12">
      <c r="B50" s="29" t="s">
        <v>59</v>
      </c>
      <c r="C50" t="str">
        <f>IF(C45&lt;0,"공제금액없음","")</f>
        <v>공제금액없음</v>
      </c>
    </row>
    <row r="51" spans="2:12">
      <c r="B51" s="29" t="s">
        <v>60</v>
      </c>
      <c r="C51">
        <f>C47</f>
        <v>1</v>
      </c>
      <c r="G51" s="9"/>
    </row>
    <row r="53" spans="2:12">
      <c r="B53" s="11" t="str">
        <f>"=&gt; 청년상시근로자 감소하였으나 (2019년 "&amp;D6&amp;"명 -&gt; 2020년 "&amp;E6&amp;"명) 상시근로자 감소하지 않은 바 ( 2019년 "&amp;D8&amp;"명 -&gt; 2020년 "&amp;E8&amp;"명) 2019년도 청년외 근로자 공제받은 금액("&amp;TEXT(G20,"#,###"&amp;"원)을 2020년도에 한번 더 공제")</f>
        <v>=&gt; 청년상시근로자 감소하였으나 (2019년 5명 -&gt; 2020년 2명) 상시근로자 감소하지 않은 바 ( 2019년 8명 -&gt; 2020년 9명) 2019년도 청년외 근로자 공제받은 금액(15,400,0원)을 2020년도에 한번 더 공제</v>
      </c>
    </row>
    <row r="56" spans="2:12">
      <c r="B56" t="s">
        <v>39</v>
      </c>
      <c r="K56" t="s">
        <v>106</v>
      </c>
    </row>
    <row r="57" spans="2:12">
      <c r="B57" t="s">
        <v>40</v>
      </c>
    </row>
    <row r="58" spans="2:12">
      <c r="B58" t="s">
        <v>41</v>
      </c>
      <c r="J58" t="s">
        <v>166</v>
      </c>
      <c r="K58" t="s">
        <v>107</v>
      </c>
      <c r="L58" s="9">
        <f>D24</f>
        <v>23100000</v>
      </c>
    </row>
    <row r="59" spans="2:12">
      <c r="B59" t="s">
        <v>42</v>
      </c>
      <c r="K59" t="s">
        <v>108</v>
      </c>
      <c r="L59" s="9">
        <f>L24</f>
        <v>4620000</v>
      </c>
    </row>
    <row r="60" spans="2:12">
      <c r="B60" t="s">
        <v>43</v>
      </c>
      <c r="K60" t="s">
        <v>109</v>
      </c>
      <c r="L60" s="9">
        <f>L59</f>
        <v>4620000</v>
      </c>
    </row>
    <row r="61" spans="2:12">
      <c r="K61" t="s">
        <v>105</v>
      </c>
      <c r="L61" s="9">
        <f>L66*-1</f>
        <v>2580000</v>
      </c>
    </row>
    <row r="62" spans="2:12">
      <c r="B62" s="11" t="str">
        <f>"=&gt; 전체상시근로자의 수("&amp;E8&amp;"명)가 최초로 공제 받은 과세연도(2019년, "&amp;D8&amp;"명)에 비하여 감소한 바,2차년도 공제금액 없음"</f>
        <v>=&gt; 전체상시근로자의 수(9명)가 최초로 공제 받은 과세연도(2019년, 8명)에 비하여 감소한 바,2차년도 공제금액 없음</v>
      </c>
      <c r="K62" t="s">
        <v>110</v>
      </c>
      <c r="L62" s="9">
        <f>L60-L61</f>
        <v>2040000</v>
      </c>
    </row>
    <row r="64" spans="2:12">
      <c r="B64" s="76" t="s">
        <v>165</v>
      </c>
    </row>
    <row r="65" spans="2:13">
      <c r="L65" t="s">
        <v>105</v>
      </c>
    </row>
    <row r="66" spans="2:13">
      <c r="B66" t="s">
        <v>44</v>
      </c>
      <c r="C66" s="24">
        <f>G73</f>
        <v>12900000</v>
      </c>
      <c r="J66" t="s">
        <v>102</v>
      </c>
      <c r="K66" s="35">
        <v>0.2</v>
      </c>
      <c r="L66" s="36">
        <f>C66*K66*-1</f>
        <v>-2580000</v>
      </c>
      <c r="M66" t="s">
        <v>103</v>
      </c>
    </row>
    <row r="68" spans="2:13">
      <c r="B68" t="s">
        <v>17</v>
      </c>
      <c r="G68" t="s">
        <v>20</v>
      </c>
    </row>
    <row r="69" spans="2:13">
      <c r="B69" t="s">
        <v>18</v>
      </c>
      <c r="C69">
        <f>H6</f>
        <v>-3</v>
      </c>
      <c r="D69" s="1" t="s">
        <v>21</v>
      </c>
      <c r="E69" s="9">
        <f>C11</f>
        <v>12000000</v>
      </c>
      <c r="F69" s="12" t="s">
        <v>22</v>
      </c>
      <c r="G69" s="9">
        <f>C69*E69</f>
        <v>-36000000</v>
      </c>
    </row>
    <row r="70" spans="2:13" ht="17.25" thickBot="1">
      <c r="B70" s="10" t="s">
        <v>19</v>
      </c>
      <c r="C70" s="10">
        <f>H7</f>
        <v>4</v>
      </c>
      <c r="D70" s="1" t="s">
        <v>21</v>
      </c>
      <c r="E70" s="9">
        <f>C12</f>
        <v>7700000</v>
      </c>
      <c r="F70" s="12" t="s">
        <v>22</v>
      </c>
      <c r="G70" s="13">
        <f>C70*E70</f>
        <v>30800000</v>
      </c>
    </row>
    <row r="71" spans="2:13" ht="17.25" thickTop="1">
      <c r="C71">
        <f>SUM(C69:C70)</f>
        <v>1</v>
      </c>
      <c r="G71" s="9">
        <f>SUM(G69:G70)</f>
        <v>-5200000</v>
      </c>
      <c r="I71">
        <f>ABS(C71)</f>
        <v>1</v>
      </c>
      <c r="J71" t="str">
        <f>IF(C71=0,"유지",IF(C71&gt;0,"증가","감소"))</f>
        <v>증가</v>
      </c>
    </row>
    <row r="72" spans="2:13">
      <c r="B72" s="22">
        <f>MIN(G6,ABS(H6))</f>
        <v>3</v>
      </c>
      <c r="C72" s="22">
        <f>IF(C71&lt;0,ABS(C71),0)</f>
        <v>0</v>
      </c>
    </row>
    <row r="73" spans="2:13">
      <c r="B73" t="str">
        <f>"청년 : { ① "&amp;D84&amp;"(명) X ( ②"&amp;TEXT(C11,"#,###")&amp;"원 - "&amp;TEXT(C12,"#,###")&amp;"원 ) } ="</f>
        <v>청년 : { ① 3(명) X ( ②12,000,000원 - 7,700,000원 ) } =</v>
      </c>
      <c r="G73" s="21">
        <f>(B72-C72)*C13+(C72*C11)</f>
        <v>12900000</v>
      </c>
    </row>
    <row r="74" spans="2:13">
      <c r="C74" s="37">
        <f>ABS(H6)</f>
        <v>3</v>
      </c>
      <c r="D74" s="9">
        <f>C13</f>
        <v>4300000</v>
      </c>
      <c r="E74" s="9">
        <f>D74*C74</f>
        <v>12900000</v>
      </c>
      <c r="G74" t="b">
        <f>G73=E74</f>
        <v>1</v>
      </c>
    </row>
    <row r="75" spans="2:13">
      <c r="C75" s="9"/>
    </row>
    <row r="77" spans="2:13">
      <c r="B77" t="s">
        <v>45</v>
      </c>
    </row>
    <row r="78" spans="2:13">
      <c r="B78" t="s">
        <v>46</v>
      </c>
    </row>
    <row r="79" spans="2:13">
      <c r="B79" t="s">
        <v>47</v>
      </c>
    </row>
    <row r="80" spans="2:13">
      <c r="B80" s="11" t="s">
        <v>48</v>
      </c>
    </row>
    <row r="82" spans="2:5">
      <c r="B82" s="26" t="str">
        <f>"'=&gt; ① 최초로 공제받은 과세연도 대비 청년등 상시근로자의 감소한 인원 수 ("&amp;ABS(H6)&amp;"명→"&amp;G6&amp;"명("&amp;D6&amp;"-"&amp;C6&amp;"))"</f>
        <v>'=&gt; ① 최초로 공제받은 과세연도 대비 청년등 상시근로자의 감소한 인원 수 (3명→3명(5-2))</v>
      </c>
    </row>
    <row r="83" spans="2:5">
      <c r="B83" t="s">
        <v>49</v>
      </c>
    </row>
    <row r="84" spans="2:5">
      <c r="B84" s="27" t="s">
        <v>50</v>
      </c>
      <c r="D84">
        <f>ABS(H6)</f>
        <v>3</v>
      </c>
      <c r="E84" t="s">
        <v>51</v>
      </c>
    </row>
    <row r="85" spans="2:5">
      <c r="B85" s="27" t="s">
        <v>52</v>
      </c>
      <c r="D85" s="21">
        <f>C11</f>
        <v>12000000</v>
      </c>
      <c r="E85" t="s">
        <v>53</v>
      </c>
    </row>
    <row r="86" spans="2:5">
      <c r="B86" s="27" t="s">
        <v>54</v>
      </c>
      <c r="D86" s="21">
        <f>C12</f>
        <v>7700000</v>
      </c>
      <c r="E86" t="s">
        <v>53</v>
      </c>
    </row>
  </sheetData>
  <phoneticPr fontId="2" type="noConversion"/>
  <conditionalFormatting sqref="D2">
    <cfRule type="cellIs" dxfId="32" priority="12" operator="equal">
      <formula>"증가"</formula>
    </cfRule>
    <cfRule type="cellIs" dxfId="31" priority="13" operator="equal">
      <formula>"감소"</formula>
    </cfRule>
  </conditionalFormatting>
  <conditionalFormatting sqref="G2">
    <cfRule type="cellIs" dxfId="30" priority="8" operator="equal">
      <formula>"증가"</formula>
    </cfRule>
    <cfRule type="cellIs" dxfId="29" priority="9" operator="equal">
      <formula>"감소"</formula>
    </cfRule>
  </conditionalFormatting>
  <conditionalFormatting sqref="J2">
    <cfRule type="cellIs" dxfId="28" priority="6" operator="equal">
      <formula>"증가"</formula>
    </cfRule>
    <cfRule type="cellIs" dxfId="27" priority="7" operator="equal">
      <formula>"감소"</formula>
    </cfRule>
  </conditionalFormatting>
  <conditionalFormatting sqref="F2">
    <cfRule type="cellIs" dxfId="26" priority="4" operator="equal">
      <formula>"증가"</formula>
    </cfRule>
    <cfRule type="cellIs" dxfId="25" priority="5" operator="equal">
      <formula>"감소"</formula>
    </cfRule>
  </conditionalFormatting>
  <conditionalFormatting sqref="G6:H8">
    <cfRule type="cellIs" dxfId="24" priority="1" operator="greaterThan">
      <formula>0</formula>
    </cfRule>
    <cfRule type="cellIs" dxfId="23" priority="2" operator="equal">
      <formula>0</formula>
    </cfRule>
    <cfRule type="cellIs" dxfId="2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D32D-7FD5-4919-B5DA-F3B9A0562ACE}">
  <sheetPr codeName="Sheet6">
    <tabColor theme="5"/>
  </sheetPr>
  <dimension ref="A1:K79"/>
  <sheetViews>
    <sheetView workbookViewId="0">
      <selection activeCell="D5" sqref="D5"/>
    </sheetView>
  </sheetViews>
  <sheetFormatPr defaultRowHeight="16.5"/>
  <cols>
    <col min="2" max="2" width="25.875" customWidth="1"/>
    <col min="3" max="3" width="17.875" bestFit="1" customWidth="1"/>
    <col min="4" max="4" width="11.625" customWidth="1"/>
    <col min="5" max="5" width="11.75" customWidth="1"/>
    <col min="7" max="7" width="12.625" customWidth="1"/>
  </cols>
  <sheetData>
    <row r="1" spans="2:10" ht="17.25" thickBot="1"/>
    <row r="2" spans="2:10" ht="17.25" thickBot="1">
      <c r="B2" s="32" t="s">
        <v>4</v>
      </c>
      <c r="C2" t="s">
        <v>6</v>
      </c>
      <c r="D2" s="1" t="s">
        <v>8</v>
      </c>
      <c r="F2" s="2" t="s">
        <v>9</v>
      </c>
      <c r="G2" s="1" t="s">
        <v>7</v>
      </c>
      <c r="I2" t="s">
        <v>10</v>
      </c>
      <c r="J2" s="1" t="s">
        <v>8</v>
      </c>
    </row>
    <row r="5" spans="2:10">
      <c r="B5" s="3" t="s">
        <v>11</v>
      </c>
      <c r="C5" s="3" t="s">
        <v>13</v>
      </c>
      <c r="D5" s="3" t="s">
        <v>14</v>
      </c>
      <c r="E5" s="3" t="s">
        <v>161</v>
      </c>
      <c r="G5" s="3">
        <v>2019</v>
      </c>
      <c r="H5" s="3">
        <v>2020</v>
      </c>
    </row>
    <row r="6" spans="2:10">
      <c r="B6" s="4" t="s">
        <v>99</v>
      </c>
      <c r="C6" s="14">
        <v>2</v>
      </c>
      <c r="D6" s="14">
        <v>5</v>
      </c>
      <c r="E6" s="14">
        <v>6</v>
      </c>
      <c r="G6" s="3">
        <f>D6-C6</f>
        <v>3</v>
      </c>
      <c r="H6" s="3">
        <f>E6-D6</f>
        <v>1</v>
      </c>
    </row>
    <row r="7" spans="2:10" ht="17.25" thickBot="1">
      <c r="B7" s="7" t="s">
        <v>100</v>
      </c>
      <c r="C7" s="52">
        <v>1</v>
      </c>
      <c r="D7" s="52">
        <v>3</v>
      </c>
      <c r="E7" s="15">
        <v>1</v>
      </c>
      <c r="G7" s="8">
        <f t="shared" ref="G7:H8" si="0">D7-C7</f>
        <v>2</v>
      </c>
      <c r="H7" s="8">
        <f t="shared" si="0"/>
        <v>-2</v>
      </c>
    </row>
    <row r="8" spans="2:10" ht="17.25" thickTop="1">
      <c r="B8" s="5" t="s">
        <v>12</v>
      </c>
      <c r="C8" s="6">
        <f>SUM(C6:C7)</f>
        <v>3</v>
      </c>
      <c r="D8" s="6">
        <f t="shared" ref="D8:E8" si="1">SUM(D6:D7)</f>
        <v>8</v>
      </c>
      <c r="E8" s="6">
        <f t="shared" si="1"/>
        <v>7</v>
      </c>
      <c r="G8" s="6">
        <f t="shared" si="0"/>
        <v>5</v>
      </c>
      <c r="H8" s="6">
        <f t="shared" si="0"/>
        <v>-1</v>
      </c>
    </row>
    <row r="10" spans="2:10">
      <c r="B10">
        <f>'개요(선택)'!C10</f>
        <v>0</v>
      </c>
    </row>
    <row r="11" spans="2:10">
      <c r="B11" t="s">
        <v>9</v>
      </c>
      <c r="C11" s="17">
        <f>'개요(선택)'!D11</f>
        <v>12000000</v>
      </c>
    </row>
    <row r="12" spans="2:10" ht="17.25" thickBot="1">
      <c r="B12" s="19" t="s">
        <v>16</v>
      </c>
      <c r="C12" s="20">
        <f>'개요(선택)'!D12</f>
        <v>7700000</v>
      </c>
    </row>
    <row r="13" spans="2:10">
      <c r="C13" s="21">
        <f>C11-C12</f>
        <v>4300000</v>
      </c>
    </row>
    <row r="15" spans="2:10">
      <c r="B15" t="s">
        <v>162</v>
      </c>
      <c r="C15" s="23">
        <f>G21</f>
        <v>51400000</v>
      </c>
    </row>
    <row r="17" spans="1:11">
      <c r="B17" t="s">
        <v>23</v>
      </c>
    </row>
    <row r="18" spans="1:11">
      <c r="B18" t="s">
        <v>17</v>
      </c>
      <c r="G18" t="s">
        <v>20</v>
      </c>
    </row>
    <row r="19" spans="1:11">
      <c r="B19" t="s">
        <v>18</v>
      </c>
      <c r="C19">
        <f>G6</f>
        <v>3</v>
      </c>
      <c r="D19" s="1" t="s">
        <v>21</v>
      </c>
      <c r="E19" s="9">
        <f>C11</f>
        <v>12000000</v>
      </c>
      <c r="F19" s="12" t="s">
        <v>22</v>
      </c>
      <c r="G19" s="9">
        <f>C19*E19</f>
        <v>36000000</v>
      </c>
    </row>
    <row r="20" spans="1:11" ht="17.25" thickBot="1">
      <c r="B20" s="10" t="s">
        <v>19</v>
      </c>
      <c r="C20" s="10">
        <f>G7</f>
        <v>2</v>
      </c>
      <c r="D20" s="1" t="s">
        <v>21</v>
      </c>
      <c r="E20" s="9">
        <f>C12</f>
        <v>7700000</v>
      </c>
      <c r="F20" s="12" t="s">
        <v>22</v>
      </c>
      <c r="G20" s="13">
        <f>C20*E20</f>
        <v>15400000</v>
      </c>
    </row>
    <row r="21" spans="1:11" ht="17.25" thickTop="1">
      <c r="C21" s="55">
        <f>TRUNC(SUM(C19:C20),2)</f>
        <v>5</v>
      </c>
      <c r="G21" s="9">
        <f>SUM(G19:G20)</f>
        <v>51400000</v>
      </c>
    </row>
    <row r="22" spans="1:11" ht="17.25" thickBo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B24" s="76" t="s">
        <v>163</v>
      </c>
      <c r="D24" s="16">
        <f>G30</f>
        <v>0</v>
      </c>
      <c r="E24" t="s">
        <v>57</v>
      </c>
    </row>
    <row r="26" spans="1:11">
      <c r="B26" t="s">
        <v>24</v>
      </c>
      <c r="C26" s="9">
        <f>G30</f>
        <v>0</v>
      </c>
    </row>
    <row r="27" spans="1:11">
      <c r="B27" t="s">
        <v>17</v>
      </c>
      <c r="G27" t="s">
        <v>20</v>
      </c>
    </row>
    <row r="28" spans="1:11">
      <c r="B28" t="s">
        <v>18</v>
      </c>
      <c r="C28">
        <f>MAX(H6,H8)</f>
        <v>1</v>
      </c>
      <c r="D28" s="1" t="s">
        <v>21</v>
      </c>
      <c r="E28" s="9">
        <f>C11</f>
        <v>12000000</v>
      </c>
      <c r="F28" s="12" t="s">
        <v>22</v>
      </c>
      <c r="G28" s="9">
        <f>C28*E28</f>
        <v>12000000</v>
      </c>
    </row>
    <row r="29" spans="1:11" ht="17.25" thickBot="1">
      <c r="B29" s="10" t="s">
        <v>19</v>
      </c>
      <c r="C29" s="10">
        <f>MIN(H7,0)</f>
        <v>-2</v>
      </c>
      <c r="D29" s="1" t="s">
        <v>21</v>
      </c>
      <c r="E29" s="9">
        <f>C12</f>
        <v>7700000</v>
      </c>
      <c r="F29" s="12" t="s">
        <v>22</v>
      </c>
      <c r="G29" s="13">
        <f>C29*E29</f>
        <v>-15400000</v>
      </c>
    </row>
    <row r="30" spans="1:11" ht="17.25" thickTop="1">
      <c r="C30" s="55">
        <f>TRUNC(SUM(C28:C29),2)</f>
        <v>-1</v>
      </c>
      <c r="G30" s="9">
        <f>IF(C30&lt;0,0,SUM(G28:G29))</f>
        <v>0</v>
      </c>
    </row>
    <row r="32" spans="1:11">
      <c r="B32" t="s">
        <v>25</v>
      </c>
    </row>
    <row r="33" spans="2:10">
      <c r="B33" t="s">
        <v>30</v>
      </c>
    </row>
    <row r="34" spans="2:10">
      <c r="B34" t="s">
        <v>31</v>
      </c>
    </row>
    <row r="35" spans="2:10">
      <c r="B35" t="s">
        <v>32</v>
      </c>
    </row>
    <row r="36" spans="2:10">
      <c r="B36" t="s">
        <v>33</v>
      </c>
    </row>
    <row r="37" spans="2:10">
      <c r="B37" t="s">
        <v>34</v>
      </c>
    </row>
    <row r="39" spans="2:10">
      <c r="B39" s="11" t="s">
        <v>35</v>
      </c>
    </row>
    <row r="41" spans="2:10">
      <c r="B41" t="s">
        <v>36</v>
      </c>
      <c r="C41" s="25" t="s">
        <v>37</v>
      </c>
      <c r="E41" t="s">
        <v>57</v>
      </c>
    </row>
    <row r="42" spans="2:10">
      <c r="B42" t="s">
        <v>17</v>
      </c>
      <c r="G42" t="s">
        <v>20</v>
      </c>
    </row>
    <row r="43" spans="2:10">
      <c r="B43" t="s">
        <v>18</v>
      </c>
      <c r="C43">
        <f>C28</f>
        <v>1</v>
      </c>
      <c r="D43" s="1"/>
      <c r="E43" s="9"/>
      <c r="F43" s="12" t="s">
        <v>22</v>
      </c>
      <c r="G43" s="9">
        <f>IF(C43&lt;0,0,G19)</f>
        <v>36000000</v>
      </c>
    </row>
    <row r="44" spans="2:10" ht="17.25" thickBot="1">
      <c r="B44" s="10" t="s">
        <v>19</v>
      </c>
      <c r="C44" s="10">
        <f>C29</f>
        <v>-2</v>
      </c>
      <c r="D44" s="1"/>
      <c r="E44" s="9"/>
      <c r="F44" s="12" t="s">
        <v>22</v>
      </c>
      <c r="G44" s="13">
        <f>IF(C44&lt;0,0,G20)</f>
        <v>0</v>
      </c>
    </row>
    <row r="45" spans="2:10" ht="17.25" thickTop="1">
      <c r="C45">
        <f>SUM(C43:C44)</f>
        <v>-1</v>
      </c>
      <c r="G45" s="9">
        <f>IF(C45&lt;0,0,SUM(G43:G44))</f>
        <v>0</v>
      </c>
      <c r="I45">
        <f>ABS(C45)</f>
        <v>1</v>
      </c>
      <c r="J45" t="str">
        <f>IF(C45=0,"유지",IF(C45&gt;0,"증가","감소"))</f>
        <v>감소</v>
      </c>
    </row>
    <row r="47" spans="2:10">
      <c r="B47" t="s">
        <v>38</v>
      </c>
    </row>
    <row r="49" spans="2:11">
      <c r="B49" t="s">
        <v>39</v>
      </c>
    </row>
    <row r="50" spans="2:11">
      <c r="B50" t="s">
        <v>40</v>
      </c>
    </row>
    <row r="51" spans="2:11">
      <c r="B51" t="s">
        <v>41</v>
      </c>
    </row>
    <row r="52" spans="2:11">
      <c r="B52" t="s">
        <v>42</v>
      </c>
    </row>
    <row r="53" spans="2:11">
      <c r="B53" t="s">
        <v>43</v>
      </c>
    </row>
    <row r="55" spans="2:11">
      <c r="B55" s="11" t="str">
        <f>"=&gt; 전체상시근로자의 수("&amp;E8&amp;"명)가 최초로 공제 받은 과세연도(2019년, "&amp;D8&amp;"명)에 비하여 감소한 바,2차년도 공제금액 없음"</f>
        <v>=&gt; 전체상시근로자의 수(7명)가 최초로 공제 받은 과세연도(2019년, 8명)에 비하여 감소한 바,2차년도 공제금액 없음</v>
      </c>
    </row>
    <row r="57" spans="2:11">
      <c r="B57" s="76" t="s">
        <v>165</v>
      </c>
      <c r="K57" t="s">
        <v>113</v>
      </c>
    </row>
    <row r="58" spans="2:11">
      <c r="K58" t="s">
        <v>120</v>
      </c>
    </row>
    <row r="59" spans="2:11">
      <c r="B59" t="s">
        <v>44</v>
      </c>
      <c r="C59" s="24">
        <f>G67</f>
        <v>7700000</v>
      </c>
      <c r="D59" t="s">
        <v>75</v>
      </c>
    </row>
    <row r="61" spans="2:11">
      <c r="B61" t="s">
        <v>17</v>
      </c>
      <c r="G61" t="s">
        <v>20</v>
      </c>
    </row>
    <row r="62" spans="2:11">
      <c r="B62" t="s">
        <v>18</v>
      </c>
      <c r="C62">
        <f>H6</f>
        <v>1</v>
      </c>
      <c r="D62" s="1" t="s">
        <v>21</v>
      </c>
      <c r="E62" s="9">
        <f>C11</f>
        <v>12000000</v>
      </c>
      <c r="F62" s="12" t="s">
        <v>22</v>
      </c>
      <c r="G62" s="9">
        <f>C62*E62</f>
        <v>12000000</v>
      </c>
    </row>
    <row r="63" spans="2:11" ht="17.25" thickBot="1">
      <c r="B63" s="10" t="s">
        <v>19</v>
      </c>
      <c r="C63" s="10">
        <f>H7</f>
        <v>-2</v>
      </c>
      <c r="D63" s="1" t="s">
        <v>21</v>
      </c>
      <c r="E63" s="9">
        <f>C12</f>
        <v>7700000</v>
      </c>
      <c r="F63" s="12" t="s">
        <v>22</v>
      </c>
      <c r="G63" s="13">
        <f>C63*E63</f>
        <v>-15400000</v>
      </c>
    </row>
    <row r="64" spans="2:11" ht="17.25" thickTop="1">
      <c r="C64">
        <f>SUM(C62:C63)</f>
        <v>-1</v>
      </c>
      <c r="G64" s="9">
        <f>SUM(G62:G63)</f>
        <v>-3400000</v>
      </c>
      <c r="I64">
        <f>ABS(C64)</f>
        <v>1</v>
      </c>
      <c r="J64" t="str">
        <f>IF(C64=0,"유지",IF(C64&gt;0,"증가","감소"))</f>
        <v>감소</v>
      </c>
    </row>
    <row r="65" spans="2:10">
      <c r="B65" s="22">
        <f>MIN(G6,ABS(H6))</f>
        <v>1</v>
      </c>
      <c r="C65" s="22">
        <f>IF(C64&lt;0,ABS(C64),0)</f>
        <v>1</v>
      </c>
    </row>
    <row r="66" spans="2:10">
      <c r="B66" t="str">
        <f>"청년 : 청년 인원 증가한 바 납부금액 없음 ="</f>
        <v>청년 : 청년 인원 증가한 바 납부금액 없음 =</v>
      </c>
      <c r="G66" s="21">
        <v>0</v>
      </c>
    </row>
    <row r="67" spans="2:10">
      <c r="B67" t="str">
        <f>"청년외 : ③"&amp;J77&amp;"명 ("&amp;H77&amp;"명이 아님에 주의) X ④"&amp;TEXT(C12,"#,###")&amp;"원 ="</f>
        <v>청년외 : ③1명 (2명이 아님에 주의) X ④7,700,000원 =</v>
      </c>
      <c r="G67" s="21">
        <f>J77*D79</f>
        <v>7700000</v>
      </c>
      <c r="H67" t="s">
        <v>53</v>
      </c>
    </row>
    <row r="70" spans="2:10">
      <c r="B70" t="s">
        <v>67</v>
      </c>
    </row>
    <row r="71" spans="2:10">
      <c r="B71" t="s">
        <v>68</v>
      </c>
    </row>
    <row r="72" spans="2:10">
      <c r="B72" t="s">
        <v>69</v>
      </c>
    </row>
    <row r="73" spans="2:10">
      <c r="B73" s="11"/>
    </row>
    <row r="75" spans="2:10">
      <c r="B75" s="26" t="s">
        <v>70</v>
      </c>
      <c r="F75" s="11" t="s">
        <v>71</v>
      </c>
    </row>
    <row r="76" spans="2:10">
      <c r="B76" s="27" t="s">
        <v>73</v>
      </c>
      <c r="D76" s="11" t="s">
        <v>71</v>
      </c>
    </row>
    <row r="77" spans="2:10">
      <c r="B77" s="27" t="s">
        <v>72</v>
      </c>
      <c r="D77" s="21"/>
      <c r="H77" s="25">
        <f>ABS(H7)</f>
        <v>2</v>
      </c>
      <c r="J77" s="25">
        <f>ABS(MAX(H7,H8))</f>
        <v>1</v>
      </c>
    </row>
    <row r="78" spans="2:10">
      <c r="B78" s="27" t="str">
        <f>"          (상시근로자의 감소한 인원수 "&amp;ABS(H8)&amp;"명을 한도로 한다)"</f>
        <v xml:space="preserve">          (상시근로자의 감소한 인원수 1명을 한도로 한다)</v>
      </c>
      <c r="D78" s="21"/>
    </row>
    <row r="79" spans="2:10">
      <c r="B79" s="27" t="s">
        <v>74</v>
      </c>
      <c r="D79" s="21">
        <f>C12</f>
        <v>7700000</v>
      </c>
      <c r="E79" t="s">
        <v>53</v>
      </c>
    </row>
  </sheetData>
  <phoneticPr fontId="2" type="noConversion"/>
  <conditionalFormatting sqref="D2">
    <cfRule type="cellIs" dxfId="21" priority="12" operator="equal">
      <formula>"증가"</formula>
    </cfRule>
    <cfRule type="cellIs" dxfId="20" priority="13" operator="equal">
      <formula>"감소"</formula>
    </cfRule>
  </conditionalFormatting>
  <conditionalFormatting sqref="G2">
    <cfRule type="cellIs" dxfId="19" priority="8" operator="equal">
      <formula>"증가"</formula>
    </cfRule>
    <cfRule type="cellIs" dxfId="18" priority="9" operator="equal">
      <formula>"감소"</formula>
    </cfRule>
  </conditionalFormatting>
  <conditionalFormatting sqref="J2">
    <cfRule type="cellIs" dxfId="17" priority="6" operator="equal">
      <formula>"증가"</formula>
    </cfRule>
    <cfRule type="cellIs" dxfId="16" priority="7" operator="equal">
      <formula>"감소"</formula>
    </cfRule>
  </conditionalFormatting>
  <conditionalFormatting sqref="F2">
    <cfRule type="cellIs" dxfId="15" priority="4" operator="equal">
      <formula>"증가"</formula>
    </cfRule>
    <cfRule type="cellIs" dxfId="14" priority="5" operator="equal">
      <formula>"감소"</formula>
    </cfRule>
  </conditionalFormatting>
  <conditionalFormatting sqref="G6:H8">
    <cfRule type="cellIs" dxfId="13" priority="1" operator="greaterThan">
      <formula>0</formula>
    </cfRule>
    <cfRule type="cellIs" dxfId="12" priority="2" operator="equal">
      <formula>0</formula>
    </cfRule>
    <cfRule type="cellIs" dxfId="11" priority="3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1B1D-200E-4E8A-B979-5F2BED60559C}">
  <sheetPr codeName="Sheet7">
    <tabColor rgb="FF00B050"/>
  </sheetPr>
  <dimension ref="A1:J75"/>
  <sheetViews>
    <sheetView workbookViewId="0">
      <selection activeCell="D4" sqref="D4"/>
    </sheetView>
  </sheetViews>
  <sheetFormatPr defaultRowHeight="16.5"/>
  <cols>
    <col min="2" max="2" width="33.75" customWidth="1"/>
    <col min="3" max="3" width="17.875" bestFit="1" customWidth="1"/>
    <col min="4" max="4" width="15" customWidth="1"/>
    <col min="5" max="5" width="17.625" customWidth="1"/>
    <col min="7" max="7" width="18.5" customWidth="1"/>
  </cols>
  <sheetData>
    <row r="1" spans="2:10" ht="17.25" thickBot="1"/>
    <row r="2" spans="2:10" ht="17.25" thickBot="1">
      <c r="B2" s="32" t="s">
        <v>5</v>
      </c>
      <c r="C2" t="s">
        <v>6</v>
      </c>
      <c r="D2" s="1" t="s">
        <v>7</v>
      </c>
      <c r="F2" s="2" t="s">
        <v>9</v>
      </c>
      <c r="G2" s="1" t="s">
        <v>7</v>
      </c>
      <c r="I2" t="s">
        <v>10</v>
      </c>
      <c r="J2" s="1" t="s">
        <v>7</v>
      </c>
    </row>
    <row r="5" spans="2:10">
      <c r="G5" t="s">
        <v>15</v>
      </c>
    </row>
    <row r="6" spans="2:10">
      <c r="B6" s="3" t="s">
        <v>11</v>
      </c>
      <c r="C6" s="3" t="s">
        <v>13</v>
      </c>
      <c r="D6" s="3" t="s">
        <v>14</v>
      </c>
      <c r="E6" s="3" t="s">
        <v>161</v>
      </c>
      <c r="G6" s="3">
        <v>2019</v>
      </c>
      <c r="H6" s="3">
        <v>2020</v>
      </c>
    </row>
    <row r="7" spans="2:10">
      <c r="B7" s="4" t="s">
        <v>99</v>
      </c>
      <c r="C7" s="14">
        <v>2</v>
      </c>
      <c r="D7" s="14">
        <v>5</v>
      </c>
      <c r="E7" s="14">
        <v>9</v>
      </c>
      <c r="G7" s="3">
        <f>D7-C7</f>
        <v>3</v>
      </c>
      <c r="H7" s="3">
        <f>E7-D7</f>
        <v>4</v>
      </c>
    </row>
    <row r="8" spans="2:10" ht="17.25" thickBot="1">
      <c r="B8" s="7" t="s">
        <v>100</v>
      </c>
      <c r="C8" s="52">
        <v>1</v>
      </c>
      <c r="D8" s="52">
        <v>3</v>
      </c>
      <c r="E8" s="15">
        <v>4</v>
      </c>
      <c r="G8" s="8">
        <f t="shared" ref="G8:H9" si="0">D8-C8</f>
        <v>2</v>
      </c>
      <c r="H8" s="8">
        <f t="shared" si="0"/>
        <v>1</v>
      </c>
    </row>
    <row r="9" spans="2:10" ht="17.25" thickTop="1">
      <c r="B9" s="5" t="s">
        <v>12</v>
      </c>
      <c r="C9" s="6">
        <f>SUM(C7:C8)</f>
        <v>3</v>
      </c>
      <c r="D9" s="6">
        <f>SUM(D7:D8)</f>
        <v>8</v>
      </c>
      <c r="E9" s="6">
        <f>SUM(E7:E8)</f>
        <v>13</v>
      </c>
      <c r="G9" s="6">
        <f t="shared" si="0"/>
        <v>5</v>
      </c>
      <c r="H9" s="6">
        <f t="shared" si="0"/>
        <v>5</v>
      </c>
    </row>
    <row r="11" spans="2:10">
      <c r="B11">
        <f>'개요(선택)'!C10</f>
        <v>0</v>
      </c>
    </row>
    <row r="12" spans="2:10">
      <c r="B12" t="s">
        <v>9</v>
      </c>
      <c r="C12" s="17">
        <f>'개요(선택)'!D11</f>
        <v>12000000</v>
      </c>
    </row>
    <row r="13" spans="2:10">
      <c r="B13" t="s">
        <v>16</v>
      </c>
      <c r="C13" s="18">
        <f>'개요(선택)'!D12</f>
        <v>7700000</v>
      </c>
    </row>
    <row r="15" spans="2:10">
      <c r="B15" t="s">
        <v>162</v>
      </c>
      <c r="C15" s="23">
        <f>G21</f>
        <v>51400000</v>
      </c>
    </row>
    <row r="17" spans="1:9">
      <c r="B17" t="s">
        <v>23</v>
      </c>
    </row>
    <row r="18" spans="1:9">
      <c r="B18" t="s">
        <v>17</v>
      </c>
      <c r="G18" t="s">
        <v>20</v>
      </c>
    </row>
    <row r="19" spans="1:9">
      <c r="B19" t="s">
        <v>18</v>
      </c>
      <c r="C19">
        <f>G7</f>
        <v>3</v>
      </c>
      <c r="D19" s="1" t="s">
        <v>21</v>
      </c>
      <c r="E19" s="9">
        <f>$C$12</f>
        <v>12000000</v>
      </c>
      <c r="F19" s="12" t="s">
        <v>22</v>
      </c>
      <c r="G19" s="9">
        <f>C19*E19</f>
        <v>36000000</v>
      </c>
    </row>
    <row r="20" spans="1:9" ht="17.25" thickBot="1">
      <c r="B20" s="10" t="s">
        <v>19</v>
      </c>
      <c r="C20" s="10">
        <f>G8</f>
        <v>2</v>
      </c>
      <c r="D20" s="1" t="s">
        <v>21</v>
      </c>
      <c r="E20" s="9">
        <f>$C$13</f>
        <v>7700000</v>
      </c>
      <c r="F20" s="12" t="s">
        <v>22</v>
      </c>
      <c r="G20" s="13">
        <f>C20*E20</f>
        <v>15400000</v>
      </c>
    </row>
    <row r="21" spans="1:9" ht="17.25" thickTop="1">
      <c r="C21" s="55">
        <f>TRUNC(SUM(C19:C20),2)</f>
        <v>5</v>
      </c>
      <c r="G21" s="9">
        <f>SUM(G19:G20)</f>
        <v>51400000</v>
      </c>
    </row>
    <row r="23" spans="1:9" ht="17.25" thickBot="1">
      <c r="A23" s="19"/>
      <c r="B23" s="19"/>
      <c r="C23" s="19"/>
      <c r="D23" s="19"/>
      <c r="E23" s="19"/>
      <c r="F23" s="19"/>
      <c r="G23" s="19"/>
      <c r="H23" s="19"/>
      <c r="I23" s="19"/>
    </row>
    <row r="25" spans="1:9">
      <c r="B25" s="76" t="s">
        <v>163</v>
      </c>
      <c r="D25" s="23">
        <f>SUM(G31,C40)</f>
        <v>107100000</v>
      </c>
    </row>
    <row r="27" spans="1:9">
      <c r="B27" s="76" t="s">
        <v>24</v>
      </c>
      <c r="C27" s="79">
        <f>G31</f>
        <v>55700000</v>
      </c>
    </row>
    <row r="28" spans="1:9">
      <c r="B28" t="s">
        <v>17</v>
      </c>
      <c r="G28" t="s">
        <v>20</v>
      </c>
    </row>
    <row r="29" spans="1:9">
      <c r="B29" t="s">
        <v>18</v>
      </c>
      <c r="C29">
        <f>MIN(H7,H9)</f>
        <v>4</v>
      </c>
      <c r="D29" s="1" t="s">
        <v>21</v>
      </c>
      <c r="E29" s="9">
        <f>$C$12</f>
        <v>12000000</v>
      </c>
      <c r="F29" s="12" t="s">
        <v>22</v>
      </c>
      <c r="G29" s="9">
        <f>C29*E29</f>
        <v>48000000</v>
      </c>
    </row>
    <row r="30" spans="1:9" ht="17.25" thickBot="1">
      <c r="B30" s="10" t="s">
        <v>19</v>
      </c>
      <c r="C30" s="10">
        <f>MAX(H8,0)</f>
        <v>1</v>
      </c>
      <c r="D30" s="1" t="s">
        <v>21</v>
      </c>
      <c r="E30" s="9">
        <f>$C$13</f>
        <v>7700000</v>
      </c>
      <c r="F30" s="12" t="s">
        <v>22</v>
      </c>
      <c r="G30" s="13">
        <f>C30*E30</f>
        <v>7700000</v>
      </c>
    </row>
    <row r="31" spans="1:9" ht="17.25" thickTop="1">
      <c r="C31" s="55">
        <f>TRUNC(SUM(C29:C30),2)</f>
        <v>5</v>
      </c>
      <c r="D31" t="s">
        <v>7</v>
      </c>
      <c r="G31" s="9">
        <f>SUM(G29:G30)</f>
        <v>55700000</v>
      </c>
    </row>
    <row r="33" spans="1:10">
      <c r="B33" t="s">
        <v>76</v>
      </c>
    </row>
    <row r="34" spans="1:10">
      <c r="B34" t="s">
        <v>86</v>
      </c>
    </row>
    <row r="35" spans="1:10">
      <c r="B35" t="s">
        <v>87</v>
      </c>
    </row>
    <row r="36" spans="1:10">
      <c r="B36" t="s">
        <v>88</v>
      </c>
    </row>
    <row r="38" spans="1:10">
      <c r="A38" s="28"/>
      <c r="B38" s="28"/>
      <c r="C38" s="28"/>
      <c r="D38" s="28"/>
      <c r="E38" s="28"/>
      <c r="F38" s="28"/>
      <c r="G38" s="28"/>
      <c r="H38" s="28"/>
      <c r="I38" s="28"/>
    </row>
    <row r="39" spans="1:10">
      <c r="A39" s="28"/>
      <c r="B39" s="28"/>
      <c r="C39" s="28"/>
      <c r="D39" s="28"/>
      <c r="E39" s="28"/>
      <c r="F39" s="28"/>
      <c r="G39" s="28"/>
      <c r="H39" s="28"/>
      <c r="I39" s="28"/>
    </row>
    <row r="40" spans="1:10">
      <c r="B40" s="76" t="s">
        <v>36</v>
      </c>
      <c r="C40" s="79">
        <f>SUM(C47:C48)</f>
        <v>51400000</v>
      </c>
      <c r="E40" t="s">
        <v>57</v>
      </c>
    </row>
    <row r="41" spans="1:10">
      <c r="B41" t="s">
        <v>17</v>
      </c>
      <c r="G41" t="s">
        <v>20</v>
      </c>
    </row>
    <row r="42" spans="1:10">
      <c r="B42" t="s">
        <v>18</v>
      </c>
      <c r="C42">
        <f>H7</f>
        <v>4</v>
      </c>
      <c r="D42" s="1" t="s">
        <v>21</v>
      </c>
      <c r="E42" s="9"/>
      <c r="F42" s="12" t="s">
        <v>22</v>
      </c>
      <c r="G42" s="9">
        <f>IF(C42&lt;0,0,G35)</f>
        <v>0</v>
      </c>
    </row>
    <row r="43" spans="1:10" ht="17.25" thickBot="1">
      <c r="B43" s="10" t="s">
        <v>19</v>
      </c>
      <c r="C43" s="10">
        <f>H8</f>
        <v>1</v>
      </c>
      <c r="D43" s="1" t="s">
        <v>21</v>
      </c>
      <c r="E43" s="9"/>
      <c r="F43" s="12" t="s">
        <v>22</v>
      </c>
      <c r="G43" s="13">
        <f>IF(C43&lt;0,0,G36)</f>
        <v>0</v>
      </c>
    </row>
    <row r="44" spans="1:10" ht="17.25" thickTop="1">
      <c r="C44">
        <f>SUM(C42:C43)</f>
        <v>5</v>
      </c>
      <c r="G44" s="9">
        <f>IF(AND(C44&gt;0,C43&gt;C42),C44*E43,0)</f>
        <v>0</v>
      </c>
      <c r="I44">
        <f>ABS(C44)</f>
        <v>5</v>
      </c>
      <c r="J44" t="str">
        <f>IF(C44=0,"유지",IF(C44&gt;0,"증가","감소"))</f>
        <v>증가</v>
      </c>
    </row>
    <row r="46" spans="1:10">
      <c r="B46" t="s">
        <v>58</v>
      </c>
    </row>
    <row r="47" spans="1:10">
      <c r="B47" s="29" t="s">
        <v>59</v>
      </c>
      <c r="C47" s="9">
        <f>G19</f>
        <v>36000000</v>
      </c>
    </row>
    <row r="48" spans="1:10" ht="17.25" thickBot="1">
      <c r="B48" s="29" t="s">
        <v>60</v>
      </c>
      <c r="C48" s="30">
        <f>G20</f>
        <v>15400000</v>
      </c>
      <c r="G48" s="9"/>
    </row>
    <row r="49" spans="2:10">
      <c r="C49" s="9">
        <f>SUM(C47:C48)</f>
        <v>51400000</v>
      </c>
    </row>
    <row r="51" spans="2:10">
      <c r="B51" s="11" t="s">
        <v>164</v>
      </c>
    </row>
    <row r="54" spans="2:10">
      <c r="B54" t="s">
        <v>76</v>
      </c>
    </row>
    <row r="55" spans="2:10">
      <c r="B55" t="s">
        <v>89</v>
      </c>
    </row>
    <row r="56" spans="2:10">
      <c r="B56" t="s">
        <v>90</v>
      </c>
    </row>
    <row r="59" spans="2:10">
      <c r="B59" s="11" t="str">
        <f>"=&gt; 전체상시근로자의 수("&amp;E22&amp;"명)가 최초로 공제 받은 과세연도(2019년, "&amp;D22&amp;"명)에 비하여 감소한 바,2차년도 공제금액 없음"</f>
        <v>=&gt; 전체상시근로자의 수(명)가 최초로 공제 받은 과세연도(2019년, 명)에 비하여 감소한 바,2차년도 공제금액 없음</v>
      </c>
    </row>
    <row r="61" spans="2:10">
      <c r="B61" s="76" t="s">
        <v>165</v>
      </c>
    </row>
    <row r="62" spans="2:10">
      <c r="J62" t="s">
        <v>113</v>
      </c>
    </row>
    <row r="63" spans="2:10">
      <c r="B63" t="s">
        <v>44</v>
      </c>
      <c r="C63" s="24">
        <f>G70</f>
        <v>0</v>
      </c>
      <c r="D63" t="s">
        <v>37</v>
      </c>
      <c r="J63" t="s">
        <v>120</v>
      </c>
    </row>
    <row r="65" spans="2:10">
      <c r="B65" t="s">
        <v>17</v>
      </c>
      <c r="G65" t="s">
        <v>20</v>
      </c>
    </row>
    <row r="66" spans="2:10">
      <c r="B66" t="s">
        <v>18</v>
      </c>
      <c r="C66">
        <f>H7</f>
        <v>4</v>
      </c>
      <c r="D66" s="1" t="s">
        <v>21</v>
      </c>
      <c r="E66" s="9">
        <f>C27</f>
        <v>55700000</v>
      </c>
      <c r="F66" s="12" t="s">
        <v>22</v>
      </c>
      <c r="G66" s="9">
        <f>C66*E66</f>
        <v>222800000</v>
      </c>
    </row>
    <row r="67" spans="2:10" ht="17.25" thickBot="1">
      <c r="B67" s="10" t="s">
        <v>19</v>
      </c>
      <c r="C67" s="10">
        <f>H8</f>
        <v>1</v>
      </c>
      <c r="D67" s="1" t="s">
        <v>21</v>
      </c>
      <c r="E67" s="9">
        <f>C28</f>
        <v>0</v>
      </c>
      <c r="F67" s="12" t="s">
        <v>22</v>
      </c>
      <c r="G67" s="13">
        <f>C67*E67</f>
        <v>0</v>
      </c>
    </row>
    <row r="68" spans="2:10" ht="17.25" thickTop="1">
      <c r="C68">
        <f>SUM(C66:C67)</f>
        <v>5</v>
      </c>
      <c r="G68" s="9">
        <f>SUM(G66:G67)</f>
        <v>222800000</v>
      </c>
      <c r="I68">
        <f>ABS(C68)</f>
        <v>5</v>
      </c>
      <c r="J68" t="str">
        <f>IF(C68=0,"유지",IF(C68&gt;0,"증가","감소"))</f>
        <v>증가</v>
      </c>
    </row>
    <row r="69" spans="2:10">
      <c r="B69" s="22">
        <f>MIN(G20,ABS(H20))</f>
        <v>0</v>
      </c>
      <c r="C69" s="22">
        <f>IF(C68&lt;0,ABS(C68),0)</f>
        <v>0</v>
      </c>
    </row>
    <row r="70" spans="2:10">
      <c r="G70" s="21">
        <f>(B69-C69)*C29+(C69*C27)</f>
        <v>0</v>
      </c>
    </row>
    <row r="71" spans="2:10">
      <c r="B71" t="s">
        <v>81</v>
      </c>
    </row>
    <row r="72" spans="2:10">
      <c r="B72" s="11" t="s">
        <v>82</v>
      </c>
    </row>
    <row r="73" spans="2:10">
      <c r="B73" t="s">
        <v>83</v>
      </c>
    </row>
    <row r="74" spans="2:10">
      <c r="B74" t="s">
        <v>84</v>
      </c>
    </row>
    <row r="75" spans="2:10">
      <c r="B75" t="s">
        <v>85</v>
      </c>
    </row>
  </sheetData>
  <phoneticPr fontId="2" type="noConversion"/>
  <conditionalFormatting sqref="D2">
    <cfRule type="cellIs" dxfId="10" priority="12" operator="equal">
      <formula>"증가"</formula>
    </cfRule>
    <cfRule type="cellIs" dxfId="9" priority="13" operator="equal">
      <formula>"감소"</formula>
    </cfRule>
  </conditionalFormatting>
  <conditionalFormatting sqref="G2">
    <cfRule type="cellIs" dxfId="8" priority="8" operator="equal">
      <formula>"증가"</formula>
    </cfRule>
    <cfRule type="cellIs" dxfId="7" priority="9" operator="equal">
      <formula>"감소"</formula>
    </cfRule>
  </conditionalFormatting>
  <conditionalFormatting sqref="J2">
    <cfRule type="cellIs" dxfId="6" priority="6" operator="equal">
      <formula>"증가"</formula>
    </cfRule>
    <cfRule type="cellIs" dxfId="5" priority="7" operator="equal">
      <formula>"감소"</formula>
    </cfRule>
  </conditionalFormatting>
  <conditionalFormatting sqref="F2">
    <cfRule type="cellIs" dxfId="4" priority="4" operator="equal">
      <formula>"증가"</formula>
    </cfRule>
    <cfRule type="cellIs" dxfId="3" priority="5" operator="equal">
      <formula>"감소"</formula>
    </cfRule>
  </conditionalFormatting>
  <conditionalFormatting sqref="G7:H9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5785-B088-420D-8C70-31BC81BC637C}">
  <dimension ref="A1"/>
  <sheetViews>
    <sheetView showGridLines="0" topLeftCell="A85" workbookViewId="0">
      <selection activeCell="N107" sqref="N107"/>
    </sheetView>
  </sheetViews>
  <sheetFormatPr defaultRowHeight="16.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개요(선택)</vt:lpstr>
      <vt:lpstr>CASE1(상시증가-청년증가-청년외감소)</vt:lpstr>
      <vt:lpstr>CASE2(상시감소-청년감소-청년외증가)</vt:lpstr>
      <vt:lpstr>CASE3(상시감소-청년감소-청년외감소)</vt:lpstr>
      <vt:lpstr>CASE4(상시증가-청년감소-청년외증가)</vt:lpstr>
      <vt:lpstr>CASE5-(상시감소-청년증가-청년외감소)</vt:lpstr>
      <vt:lpstr>CASE6(상시증가-청년증가-청년외증가)</vt:lpstr>
      <vt:lpstr>고용증대세액공제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2020-06-29T02:10:40Z</cp:lastPrinted>
  <dcterms:created xsi:type="dcterms:W3CDTF">2020-06-28T07:13:05Z</dcterms:created>
  <dcterms:modified xsi:type="dcterms:W3CDTF">2021-06-16T03:24:47Z</dcterms:modified>
</cp:coreProperties>
</file>