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연말정산 공문\"/>
    </mc:Choice>
  </mc:AlternateContent>
  <xr:revisionPtr revIDLastSave="0" documentId="13_ncr:1_{06C22B9F-173A-4C22-8238-AC4AAD4DFB55}" xr6:coauthVersionLast="46" xr6:coauthVersionMax="46" xr10:uidLastSave="{00000000-0000-0000-0000-000000000000}"/>
  <bookViews>
    <workbookView xWindow="-60" yWindow="-60" windowWidth="28920" windowHeight="16320" xr2:uid="{6FC723E2-3B94-4C29-B2E1-BEA960F9D779}"/>
  </bookViews>
  <sheets>
    <sheet name="신용카드등 소득공제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E35" i="1"/>
  <c r="V42" i="1" s="1"/>
  <c r="B35" i="1"/>
  <c r="K35" i="1" s="1"/>
  <c r="I27" i="1"/>
  <c r="B31" i="1" s="1"/>
  <c r="J27" i="1"/>
  <c r="E31" i="1" s="1"/>
  <c r="K27" i="1"/>
  <c r="W40" i="1" s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U31" i="1" s="1"/>
  <c r="AB27" i="1"/>
  <c r="W31" i="1" s="1"/>
  <c r="AC27" i="1"/>
  <c r="Y31" i="1" s="1"/>
  <c r="AD27" i="1"/>
  <c r="AA31" i="1" s="1"/>
  <c r="AE27" i="1"/>
  <c r="AC31" i="1" s="1"/>
  <c r="AF27" i="1"/>
  <c r="AE31" i="1" s="1"/>
  <c r="B9" i="1"/>
  <c r="B11" i="1" s="1"/>
  <c r="B13" i="1" s="1"/>
  <c r="B15" i="1" s="1"/>
  <c r="B17" i="1" s="1"/>
  <c r="B19" i="1" s="1"/>
  <c r="B21" i="1" s="1"/>
  <c r="B23" i="1" s="1"/>
  <c r="B25" i="1" s="1"/>
  <c r="H9" i="1"/>
  <c r="H11" i="1"/>
  <c r="H13" i="1"/>
  <c r="H15" i="1"/>
  <c r="H17" i="1"/>
  <c r="H19" i="1"/>
  <c r="H21" i="1"/>
  <c r="H23" i="1"/>
  <c r="H25" i="1"/>
  <c r="H7" i="1"/>
  <c r="S31" i="1" l="1"/>
  <c r="K31" i="1"/>
  <c r="I31" i="1"/>
  <c r="S39" i="1"/>
  <c r="V43" i="1"/>
  <c r="V40" i="1"/>
  <c r="Q31" i="1"/>
  <c r="V41" i="1"/>
  <c r="H27" i="1"/>
  <c r="G31" i="1"/>
  <c r="O31" i="1"/>
  <c r="S35" i="1" s="1"/>
  <c r="W41" i="1"/>
  <c r="W43" i="1"/>
  <c r="S43" i="1" s="1"/>
  <c r="M31" i="1"/>
  <c r="U42" i="1"/>
  <c r="W42" i="1"/>
  <c r="U40" i="1"/>
  <c r="S40" i="1" s="1"/>
  <c r="U41" i="1"/>
  <c r="S42" i="1" l="1"/>
  <c r="S41" i="1"/>
  <c r="G35" i="1" l="1"/>
  <c r="I35" i="1" s="1"/>
  <c r="O35" i="1" s="1"/>
  <c r="M35" i="1"/>
  <c r="Q35" i="1" l="1"/>
  <c r="U35" i="1" s="1"/>
  <c r="G2" i="1" s="1"/>
</calcChain>
</file>

<file path=xl/sharedStrings.xml><?xml version="1.0" encoding="utf-8"?>
<sst xmlns="http://schemas.openxmlformats.org/spreadsheetml/2006/main" count="124" uniqueCount="86">
  <si>
    <t>1. 공제대상자및대상금액</t>
    <phoneticPr fontId="2" type="noConversion"/>
  </si>
  <si>
    <t>공제대상자</t>
    <phoneticPr fontId="2" type="noConversion"/>
  </si>
  <si>
    <t>내.외</t>
    <phoneticPr fontId="2" type="noConversion"/>
  </si>
  <si>
    <t>관계</t>
    <phoneticPr fontId="2" type="noConversion"/>
  </si>
  <si>
    <t>성명</t>
    <phoneticPr fontId="2" type="noConversion"/>
  </si>
  <si>
    <t>구분</t>
    <phoneticPr fontId="2" type="noConversion"/>
  </si>
  <si>
    <t>사용금액소계</t>
    <phoneticPr fontId="2" type="noConversion"/>
  </si>
  <si>
    <t>⑤소계
(⑥~(23)합)</t>
    <phoneticPr fontId="2" type="noConversion"/>
  </si>
  <si>
    <t>신용카드 등 공제대상금액</t>
    <phoneticPr fontId="2" type="noConversion"/>
  </si>
  <si>
    <t>⑥(3월)</t>
    <phoneticPr fontId="2" type="noConversion"/>
  </si>
  <si>
    <t>⑦(4~7월)</t>
    <phoneticPr fontId="2" type="noConversion"/>
  </si>
  <si>
    <t>⑧(그외)</t>
    <phoneticPr fontId="2" type="noConversion"/>
  </si>
  <si>
    <t>직불선불카드</t>
    <phoneticPr fontId="2" type="noConversion"/>
  </si>
  <si>
    <t>현금영수증</t>
    <phoneticPr fontId="2" type="noConversion"/>
  </si>
  <si>
    <t>신용카드</t>
    <phoneticPr fontId="2" type="noConversion"/>
  </si>
  <si>
    <t>⑨(3월)</t>
    <phoneticPr fontId="2" type="noConversion"/>
  </si>
  <si>
    <t>⑩(4~7월)</t>
    <phoneticPr fontId="2" type="noConversion"/>
  </si>
  <si>
    <t>⑪(그외)</t>
    <phoneticPr fontId="2" type="noConversion"/>
  </si>
  <si>
    <t>⑫(3월)</t>
    <phoneticPr fontId="2" type="noConversion"/>
  </si>
  <si>
    <t>⑬(4~7월)</t>
    <phoneticPr fontId="2" type="noConversion"/>
  </si>
  <si>
    <t>⑭(그외)</t>
    <phoneticPr fontId="2" type="noConversion"/>
  </si>
  <si>
    <t>(15) (3월)</t>
    <phoneticPr fontId="2" type="noConversion"/>
  </si>
  <si>
    <t>(16) (4~7월)</t>
    <phoneticPr fontId="2" type="noConversion"/>
  </si>
  <si>
    <t>(17) (그외)</t>
    <phoneticPr fontId="2" type="noConversion"/>
  </si>
  <si>
    <t>(18) (3월)</t>
    <phoneticPr fontId="2" type="noConversion"/>
  </si>
  <si>
    <t>(19) (4~7월)</t>
    <phoneticPr fontId="2" type="noConversion"/>
  </si>
  <si>
    <t>도서 · 공연 · 박물관 · 미술관 사용분 (총급여7천만원이하자만)</t>
    <phoneticPr fontId="2" type="noConversion"/>
  </si>
  <si>
    <t>(20) (그외)</t>
    <phoneticPr fontId="2" type="noConversion"/>
  </si>
  <si>
    <t>전통시장
사용분</t>
    <phoneticPr fontId="2" type="noConversion"/>
  </si>
  <si>
    <t>대중교통
사용분</t>
    <phoneticPr fontId="2" type="noConversion"/>
  </si>
  <si>
    <t>(21) (3월)</t>
    <phoneticPr fontId="2" type="noConversion"/>
  </si>
  <si>
    <t>(22) (4~7월)</t>
    <phoneticPr fontId="2" type="noConversion"/>
  </si>
  <si>
    <t>(23) (그외)</t>
    <phoneticPr fontId="2" type="noConversion"/>
  </si>
  <si>
    <t>주민등록
번호</t>
    <phoneticPr fontId="2" type="noConversion"/>
  </si>
  <si>
    <t>번호</t>
    <phoneticPr fontId="2" type="noConversion"/>
  </si>
  <si>
    <t>국세청자료</t>
    <phoneticPr fontId="2" type="noConversion"/>
  </si>
  <si>
    <t>본인</t>
    <phoneticPr fontId="2" type="noConversion"/>
  </si>
  <si>
    <t>내</t>
    <phoneticPr fontId="2" type="noConversion"/>
  </si>
  <si>
    <t>그밖의자료</t>
    <phoneticPr fontId="2" type="noConversion"/>
  </si>
  <si>
    <t>⑤-1 합    계</t>
    <phoneticPr fontId="2" type="noConversion"/>
  </si>
  <si>
    <t>2. 신용카드 등 소득공제액의 계산</t>
    <phoneticPr fontId="2" type="noConversion"/>
  </si>
  <si>
    <t>(24)신용카드
공제액
(⑥x30%)
(3월)</t>
    <phoneticPr fontId="2" type="noConversion"/>
  </si>
  <si>
    <t>(25) 신용카드
공제액
(⑦x80%)
(4~7월)</t>
    <phoneticPr fontId="2" type="noConversion"/>
  </si>
  <si>
    <t>(26)신용카드
공제액
(⑧x15%)
(그외)</t>
    <phoneticPr fontId="2" type="noConversion"/>
  </si>
  <si>
    <t>(27) 직불카드
등 사용분
(9+12)x60%
(3월)</t>
    <phoneticPr fontId="2" type="noConversion"/>
  </si>
  <si>
    <t>(28) 직불카드
등 사용분
(10+13)x80%
(4월~7월)</t>
    <phoneticPr fontId="2" type="noConversion"/>
  </si>
  <si>
    <t>(29) 직불카드
등 사용분
(11+14)x30%
(그외)</t>
    <phoneticPr fontId="2" type="noConversion"/>
  </si>
  <si>
    <t>(30) 도서공연
등 사용분
(15)x60%
(3월)</t>
    <phoneticPr fontId="2" type="noConversion"/>
  </si>
  <si>
    <t>(31) 도서공연
등 사용분
(16)x80%
(4월~7월)</t>
    <phoneticPr fontId="2" type="noConversion"/>
  </si>
  <si>
    <t>(32) 도서공연
등 사용분
(17)x30%
(그외)</t>
    <phoneticPr fontId="2" type="noConversion"/>
  </si>
  <si>
    <t>(33) 전통시장
공제액
(18)x80%
(3월)</t>
    <phoneticPr fontId="2" type="noConversion"/>
  </si>
  <si>
    <t>(34) 전통시장
공제액
(19)x80%
(4월~7월)</t>
    <phoneticPr fontId="2" type="noConversion"/>
  </si>
  <si>
    <t>(35) 전통시장
공제액
(20)x40%
(그외)</t>
    <phoneticPr fontId="2" type="noConversion"/>
  </si>
  <si>
    <t>(36) 대중교통
공제액
(21)x80%
(3월)</t>
    <phoneticPr fontId="2" type="noConversion"/>
  </si>
  <si>
    <t>(37) 대중교통
공제액
(22)x80%
(4월~7월)</t>
    <phoneticPr fontId="2" type="noConversion"/>
  </si>
  <si>
    <t>(38) 대중교통
공제액
(23)x40%
(그외)</t>
    <phoneticPr fontId="2" type="noConversion"/>
  </si>
  <si>
    <t>총급여</t>
    <phoneticPr fontId="2" type="noConversion"/>
  </si>
  <si>
    <t>(39) 공제제외금액 계산</t>
    <phoneticPr fontId="2" type="noConversion"/>
  </si>
  <si>
    <t>(39)-1
총급여</t>
    <phoneticPr fontId="2" type="noConversion"/>
  </si>
  <si>
    <t>(39)-2
최저사용액
(39)-1 x 25%</t>
    <phoneticPr fontId="2" type="noConversion"/>
  </si>
  <si>
    <t>(39)-3
공제제외금액</t>
    <phoneticPr fontId="2" type="noConversion"/>
  </si>
  <si>
    <t>(39)-3 공제제외금액 계산식</t>
    <phoneticPr fontId="2" type="noConversion"/>
  </si>
  <si>
    <r>
      <t xml:space="preserve">⑧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</t>
    </r>
    <phoneticPr fontId="2" type="noConversion"/>
  </si>
  <si>
    <r>
      <t xml:space="preserve">⑥ + ⑧ + ⑪ + ⑭ + (17)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⑧</t>
    </r>
    <phoneticPr fontId="2" type="noConversion"/>
  </si>
  <si>
    <r>
      <t xml:space="preserve">⑥ + ⑧ + ⑪ + ⑭ + (17) + (20) + (23)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⑥ + ⑧ + ⑪ + ⑭ + (17)</t>
    </r>
    <phoneticPr fontId="2" type="noConversion"/>
  </si>
  <si>
    <r>
      <t xml:space="preserve">⑥ + ⑧ + ⑨ + ⑪ + ⑫ + ⑭ + ⑮ + (17) + (20) + (23)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⑥ + ⑧ + ⑪ + ⑭ + (17) + (20) + (23)</t>
    </r>
    <phoneticPr fontId="2" type="noConversion"/>
  </si>
  <si>
    <t>((39)-2) &gt; ⑥ + ⑧ + ⑨ + ⑪ + ⑫ + ⑭ + ⑮ + (17) + (20) + (23)</t>
    <phoneticPr fontId="2" type="noConversion"/>
  </si>
  <si>
    <t>계산식</t>
    <phoneticPr fontId="2" type="noConversion"/>
  </si>
  <si>
    <t>((39)-2) x 15%</t>
    <phoneticPr fontId="2" type="noConversion"/>
  </si>
  <si>
    <t>⑧ x 15% + {((39)-2) - ⑧} x 30%</t>
    <phoneticPr fontId="2" type="noConversion"/>
  </si>
  <si>
    <t>⑧ x 15% + (⑥+⑪+⑭+(17))  x 30% + [{((39)-2) - (⑥+⑧+⑪+⑭+(17))} x 40%]</t>
    <phoneticPr fontId="2" type="noConversion"/>
  </si>
  <si>
    <t>⑧ x 15% + (⑥+⑪+⑭+(17))  x 30% + ((20)+(29)) x 40% + [{((39)-2) - (⑨+⑫+⑮) x 60% + 
[{((39)-2) - (⑥+⑧+⑨+⑪+⑫+⑭+⑮+(17)+(20)+(23))} x 80%</t>
    <phoneticPr fontId="2" type="noConversion"/>
  </si>
  <si>
    <t>⑧ x 15% + (⑥+⑪+⑭+(17))  x 30% + ((20)+(23)) x 40% + 
[{((39)-2) - (⑥+⑧+⑪+⑭+(17)+(20)+(23))} x 60%]</t>
    <phoneticPr fontId="2" type="noConversion"/>
  </si>
  <si>
    <t>(39)-3 공제제외금액</t>
    <phoneticPr fontId="2" type="noConversion"/>
  </si>
  <si>
    <t>(40)공제가능금액
((24)~(38) 합계 - ((39)-3))</t>
    <phoneticPr fontId="2" type="noConversion"/>
  </si>
  <si>
    <t>(41)
공제한도(330만원과
((39-1)x20%중 적은금액)</t>
    <phoneticPr fontId="2" type="noConversion"/>
  </si>
  <si>
    <t>(42)
일반공제금액
((40)와(41)중 적은금액)</t>
    <phoneticPr fontId="2" type="noConversion"/>
  </si>
  <si>
    <t>(43)전통시장 추가공제금액
((40)-(41) 과 (33)+(34)+(35) 중 적은금액(한도:1백만원))</t>
    <phoneticPr fontId="2" type="noConversion"/>
  </si>
  <si>
    <t>(44)대중교통 추가공제금액
((40-(41)-(43) 과
(36)+(37)+(38) 중 적은금액
(한도:1백만원))</t>
    <phoneticPr fontId="2" type="noConversion"/>
  </si>
  <si>
    <t>(45)도서·공연등 추가공제금액(총급여7천만원이하자)
(한도:1백만원)</t>
    <phoneticPr fontId="2" type="noConversion"/>
  </si>
  <si>
    <t>(46)최종공제금액
((42)+(43)+(44)+(45))</t>
    <phoneticPr fontId="2" type="noConversion"/>
  </si>
  <si>
    <t>최종공제대상금액</t>
    <phoneticPr fontId="2" type="noConversion"/>
  </si>
  <si>
    <t>하단 계산식 대략 했음 다시 계산식(수식) 검증하시길</t>
    <phoneticPr fontId="2" type="noConversion"/>
  </si>
  <si>
    <t>.</t>
    <phoneticPr fontId="2" type="noConversion"/>
  </si>
  <si>
    <t>2020년 귀속</t>
    <phoneticPr fontId="2" type="noConversion"/>
  </si>
  <si>
    <t>★ 근무하지 않은 기간의 월을 입력시 제외해야 합니다. 그러므로 신규입사자의 근무하지 않은 월 체크 다시해서 pdf 재요청 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</si>
</sst>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00000\-0000000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095B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medium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3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41" fontId="3" fillId="0" borderId="6" xfId="1" applyFont="1" applyBorder="1">
      <alignment vertical="center"/>
    </xf>
    <xf numFmtId="0" fontId="0" fillId="0" borderId="8" xfId="0" applyBorder="1" applyAlignment="1">
      <alignment horizontal="center" vertical="center"/>
    </xf>
    <xf numFmtId="41" fontId="3" fillId="0" borderId="8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3" fillId="0" borderId="12" xfId="1" applyFont="1" applyBorder="1">
      <alignment vertical="center"/>
    </xf>
    <xf numFmtId="41" fontId="3" fillId="0" borderId="13" xfId="1" applyFont="1" applyBorder="1">
      <alignment vertical="center"/>
    </xf>
    <xf numFmtId="41" fontId="0" fillId="2" borderId="6" xfId="1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3" fillId="0" borderId="27" xfId="1" applyFont="1" applyBorder="1">
      <alignment vertical="center"/>
    </xf>
    <xf numFmtId="41" fontId="3" fillId="0" borderId="28" xfId="1" applyFont="1" applyBorder="1">
      <alignment vertical="center"/>
    </xf>
    <xf numFmtId="0" fontId="0" fillId="8" borderId="1" xfId="0" applyFill="1" applyBorder="1" applyAlignment="1">
      <alignment horizontal="center" vertical="center"/>
    </xf>
    <xf numFmtId="41" fontId="3" fillId="8" borderId="12" xfId="1" applyFont="1" applyFill="1" applyBorder="1">
      <alignment vertical="center"/>
    </xf>
    <xf numFmtId="41" fontId="3" fillId="8" borderId="1" xfId="1" applyFont="1" applyFill="1" applyBorder="1">
      <alignment vertical="center"/>
    </xf>
    <xf numFmtId="41" fontId="3" fillId="8" borderId="13" xfId="1" applyFont="1" applyFill="1" applyBorder="1">
      <alignment vertical="center"/>
    </xf>
    <xf numFmtId="41" fontId="3" fillId="8" borderId="6" xfId="1" applyFont="1" applyFill="1" applyBorder="1">
      <alignment vertical="center"/>
    </xf>
    <xf numFmtId="41" fontId="3" fillId="8" borderId="8" xfId="1" applyFont="1" applyFill="1" applyBorder="1">
      <alignment vertical="center"/>
    </xf>
    <xf numFmtId="41" fontId="0" fillId="7" borderId="29" xfId="0" applyNumberFormat="1" applyFill="1" applyBorder="1">
      <alignment vertical="center"/>
    </xf>
    <xf numFmtId="0" fontId="0" fillId="8" borderId="14" xfId="0" applyFill="1" applyBorder="1" applyAlignment="1">
      <alignment horizontal="center" vertical="center"/>
    </xf>
    <xf numFmtId="41" fontId="0" fillId="2" borderId="21" xfId="1" applyFont="1" applyFill="1" applyBorder="1">
      <alignment vertical="center"/>
    </xf>
    <xf numFmtId="41" fontId="3" fillId="8" borderId="33" xfId="1" applyFont="1" applyFill="1" applyBorder="1">
      <alignment vertical="center"/>
    </xf>
    <xf numFmtId="41" fontId="3" fillId="8" borderId="32" xfId="1" applyFont="1" applyFill="1" applyBorder="1">
      <alignment vertical="center"/>
    </xf>
    <xf numFmtId="41" fontId="3" fillId="8" borderId="34" xfId="1" applyFont="1" applyFill="1" applyBorder="1">
      <alignment vertical="center"/>
    </xf>
    <xf numFmtId="41" fontId="3" fillId="8" borderId="35" xfId="1" applyFont="1" applyFill="1" applyBorder="1">
      <alignment vertical="center"/>
    </xf>
    <xf numFmtId="41" fontId="3" fillId="8" borderId="36" xfId="1" applyFont="1" applyFill="1" applyBorder="1">
      <alignment vertical="center"/>
    </xf>
    <xf numFmtId="0" fontId="4" fillId="0" borderId="0" xfId="0" applyFont="1">
      <alignment vertical="center"/>
    </xf>
    <xf numFmtId="41" fontId="3" fillId="9" borderId="27" xfId="1" applyFont="1" applyFill="1" applyBorder="1">
      <alignment vertical="center"/>
    </xf>
    <xf numFmtId="41" fontId="3" fillId="9" borderId="1" xfId="1" applyFont="1" applyFill="1" applyBorder="1">
      <alignment vertical="center"/>
    </xf>
    <xf numFmtId="41" fontId="3" fillId="9" borderId="13" xfId="1" applyFont="1" applyFill="1" applyBorder="1">
      <alignment vertical="center"/>
    </xf>
    <xf numFmtId="41" fontId="3" fillId="9" borderId="12" xfId="1" applyFont="1" applyFill="1" applyBorder="1">
      <alignment vertical="center"/>
    </xf>
    <xf numFmtId="41" fontId="3" fillId="9" borderId="28" xfId="1" applyFont="1" applyFill="1" applyBorder="1">
      <alignment vertical="center"/>
    </xf>
    <xf numFmtId="41" fontId="5" fillId="0" borderId="1" xfId="1" applyFont="1" applyBorder="1">
      <alignment vertical="center"/>
    </xf>
    <xf numFmtId="41" fontId="9" fillId="2" borderId="1" xfId="0" applyNumberFormat="1" applyFont="1" applyFill="1" applyBorder="1">
      <alignment vertical="center"/>
    </xf>
    <xf numFmtId="41" fontId="0" fillId="2" borderId="1" xfId="0" applyNumberFormat="1" applyFill="1" applyBorder="1">
      <alignment vertical="center"/>
    </xf>
    <xf numFmtId="0" fontId="6" fillId="0" borderId="0" xfId="0" applyFont="1">
      <alignment vertical="center"/>
    </xf>
    <xf numFmtId="9" fontId="8" fillId="2" borderId="0" xfId="0" applyNumberFormat="1" applyFont="1" applyFill="1" applyAlignment="1">
      <alignment horizontal="center" vertical="center"/>
    </xf>
    <xf numFmtId="9" fontId="6" fillId="10" borderId="0" xfId="0" applyNumberFormat="1" applyFont="1" applyFill="1" applyAlignment="1">
      <alignment horizontal="center" vertical="center"/>
    </xf>
    <xf numFmtId="9" fontId="8" fillId="11" borderId="0" xfId="0" applyNumberFormat="1" applyFont="1" applyFill="1" applyAlignment="1">
      <alignment horizontal="center" vertical="center"/>
    </xf>
    <xf numFmtId="9" fontId="10" fillId="12" borderId="0" xfId="0" applyNumberFormat="1" applyFont="1" applyFill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8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3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09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45</xdr:row>
      <xdr:rowOff>47625</xdr:rowOff>
    </xdr:from>
    <xdr:to>
      <xdr:col>10</xdr:col>
      <xdr:colOff>191467</xdr:colOff>
      <xdr:row>62</xdr:row>
      <xdr:rowOff>133859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D6C4E4E-4706-4131-AF8E-DEB8998B9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229975"/>
          <a:ext cx="6925642" cy="36485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19</xdr:col>
      <xdr:colOff>533400</xdr:colOff>
      <xdr:row>77</xdr:row>
      <xdr:rowOff>130475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D7E323F-824A-47D8-BD81-1781E2A9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11658600"/>
          <a:ext cx="7772400" cy="683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8882-0FB0-406B-A6BF-4E595F55ECDE}">
  <dimension ref="B1:AG65"/>
  <sheetViews>
    <sheetView showGridLines="0" tabSelected="1" workbookViewId="0">
      <selection activeCell="F2" sqref="F2"/>
    </sheetView>
  </sheetViews>
  <sheetFormatPr defaultRowHeight="16.5" outlineLevelRow="1" x14ac:dyDescent="0.3"/>
  <cols>
    <col min="1" max="1" width="1.375" customWidth="1"/>
    <col min="2" max="2" width="5.25" bestFit="1" customWidth="1"/>
    <col min="3" max="3" width="5.25" customWidth="1"/>
    <col min="5" max="5" width="7.125" bestFit="1" customWidth="1"/>
    <col min="6" max="6" width="16.875" bestFit="1" customWidth="1"/>
    <col min="7" max="7" width="10.875" customWidth="1"/>
    <col min="8" max="8" width="11.875" bestFit="1" customWidth="1"/>
    <col min="9" max="32" width="11.875" customWidth="1"/>
  </cols>
  <sheetData>
    <row r="1" spans="2:32" x14ac:dyDescent="0.3">
      <c r="B1" t="s">
        <v>84</v>
      </c>
      <c r="F1" s="1" t="s">
        <v>56</v>
      </c>
      <c r="G1" s="45" t="s">
        <v>81</v>
      </c>
      <c r="H1" s="45"/>
      <c r="J1" t="s">
        <v>85</v>
      </c>
    </row>
    <row r="2" spans="2:32" x14ac:dyDescent="0.3">
      <c r="B2" t="s">
        <v>0</v>
      </c>
      <c r="F2" s="36">
        <v>55655800</v>
      </c>
      <c r="G2" s="110">
        <f>U35</f>
        <v>3359820</v>
      </c>
      <c r="H2" s="111"/>
      <c r="J2" t="str">
        <f>F37</f>
        <v>하단 계산식 대략 했음 다시 계산식(수식) 검증하시길</v>
      </c>
    </row>
    <row r="3" spans="2:32" ht="17.25" thickBot="1" x14ac:dyDescent="0.35">
      <c r="B3" s="45" t="s">
        <v>34</v>
      </c>
      <c r="C3" s="47" t="s">
        <v>1</v>
      </c>
      <c r="D3" s="58"/>
      <c r="E3" s="58"/>
      <c r="F3" s="59"/>
      <c r="G3" s="45" t="s">
        <v>6</v>
      </c>
      <c r="H3" s="45"/>
      <c r="I3" s="54" t="s">
        <v>8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2:32" ht="36.75" customHeight="1" thickTop="1" thickBot="1" x14ac:dyDescent="0.35">
      <c r="B4" s="45"/>
      <c r="C4" s="54" t="s">
        <v>2</v>
      </c>
      <c r="D4" s="54" t="s">
        <v>4</v>
      </c>
      <c r="E4" s="54" t="s">
        <v>3</v>
      </c>
      <c r="F4" s="55" t="s">
        <v>33</v>
      </c>
      <c r="G4" s="45" t="s">
        <v>5</v>
      </c>
      <c r="H4" s="46" t="s">
        <v>7</v>
      </c>
      <c r="I4" s="78" t="s">
        <v>8</v>
      </c>
      <c r="J4" s="79"/>
      <c r="K4" s="80"/>
      <c r="L4" s="84" t="s">
        <v>12</v>
      </c>
      <c r="M4" s="85"/>
      <c r="N4" s="86"/>
      <c r="O4" s="90" t="s">
        <v>13</v>
      </c>
      <c r="P4" s="91"/>
      <c r="Q4" s="91"/>
      <c r="R4" s="69" t="s">
        <v>26</v>
      </c>
      <c r="S4" s="70"/>
      <c r="T4" s="70"/>
      <c r="U4" s="70"/>
      <c r="V4" s="70"/>
      <c r="W4" s="70"/>
      <c r="X4" s="70"/>
      <c r="Y4" s="70"/>
      <c r="Z4" s="71"/>
      <c r="AA4" s="72" t="s">
        <v>28</v>
      </c>
      <c r="AB4" s="73"/>
      <c r="AC4" s="74"/>
      <c r="AD4" s="48" t="s">
        <v>29</v>
      </c>
      <c r="AE4" s="49"/>
      <c r="AF4" s="50"/>
    </row>
    <row r="5" spans="2:32" ht="36.75" customHeight="1" x14ac:dyDescent="0.3">
      <c r="B5" s="45"/>
      <c r="C5" s="56"/>
      <c r="D5" s="56"/>
      <c r="E5" s="56"/>
      <c r="F5" s="56"/>
      <c r="G5" s="45"/>
      <c r="H5" s="46"/>
      <c r="I5" s="81"/>
      <c r="J5" s="82"/>
      <c r="K5" s="83"/>
      <c r="L5" s="87"/>
      <c r="M5" s="88"/>
      <c r="N5" s="89"/>
      <c r="O5" s="92"/>
      <c r="P5" s="93"/>
      <c r="Q5" s="93"/>
      <c r="R5" s="60" t="s">
        <v>14</v>
      </c>
      <c r="S5" s="61"/>
      <c r="T5" s="62"/>
      <c r="U5" s="63" t="s">
        <v>12</v>
      </c>
      <c r="V5" s="64"/>
      <c r="W5" s="65"/>
      <c r="X5" s="66" t="s">
        <v>13</v>
      </c>
      <c r="Y5" s="67"/>
      <c r="Z5" s="68"/>
      <c r="AA5" s="75"/>
      <c r="AB5" s="76"/>
      <c r="AC5" s="77"/>
      <c r="AD5" s="51"/>
      <c r="AE5" s="52"/>
      <c r="AF5" s="53"/>
    </row>
    <row r="6" spans="2:32" x14ac:dyDescent="0.3">
      <c r="B6" s="45"/>
      <c r="C6" s="57"/>
      <c r="D6" s="57"/>
      <c r="E6" s="57"/>
      <c r="F6" s="57"/>
      <c r="G6" s="45"/>
      <c r="H6" s="47"/>
      <c r="I6" s="7" t="s">
        <v>9</v>
      </c>
      <c r="J6" s="1" t="s">
        <v>10</v>
      </c>
      <c r="K6" s="8" t="s">
        <v>11</v>
      </c>
      <c r="L6" s="7" t="s">
        <v>15</v>
      </c>
      <c r="M6" s="1" t="s">
        <v>16</v>
      </c>
      <c r="N6" s="8" t="s">
        <v>17</v>
      </c>
      <c r="O6" s="7" t="s">
        <v>18</v>
      </c>
      <c r="P6" s="1" t="s">
        <v>19</v>
      </c>
      <c r="Q6" s="3" t="s">
        <v>20</v>
      </c>
      <c r="R6" s="12" t="s">
        <v>21</v>
      </c>
      <c r="S6" s="1" t="s">
        <v>22</v>
      </c>
      <c r="T6" s="8" t="s">
        <v>23</v>
      </c>
      <c r="U6" s="7" t="s">
        <v>21</v>
      </c>
      <c r="V6" s="1" t="s">
        <v>22</v>
      </c>
      <c r="W6" s="8" t="s">
        <v>23</v>
      </c>
      <c r="X6" s="7" t="s">
        <v>21</v>
      </c>
      <c r="Y6" s="1" t="s">
        <v>22</v>
      </c>
      <c r="Z6" s="13" t="s">
        <v>23</v>
      </c>
      <c r="AA6" s="5" t="s">
        <v>24</v>
      </c>
      <c r="AB6" s="1" t="s">
        <v>25</v>
      </c>
      <c r="AC6" s="8" t="s">
        <v>27</v>
      </c>
      <c r="AD6" s="7" t="s">
        <v>30</v>
      </c>
      <c r="AE6" s="1" t="s">
        <v>31</v>
      </c>
      <c r="AF6" s="8" t="s">
        <v>32</v>
      </c>
    </row>
    <row r="7" spans="2:32" outlineLevel="1" x14ac:dyDescent="0.3">
      <c r="B7" s="54">
        <v>1</v>
      </c>
      <c r="C7" s="94" t="s">
        <v>37</v>
      </c>
      <c r="D7" s="94"/>
      <c r="E7" s="94" t="s">
        <v>36</v>
      </c>
      <c r="F7" s="96"/>
      <c r="G7" s="1" t="s">
        <v>35</v>
      </c>
      <c r="H7" s="11">
        <f>SUM(I7:AF7)</f>
        <v>40425492</v>
      </c>
      <c r="I7" s="9"/>
      <c r="J7" s="2">
        <v>9949455</v>
      </c>
      <c r="K7" s="10">
        <v>15812282</v>
      </c>
      <c r="L7" s="9"/>
      <c r="M7" s="2">
        <v>1466820</v>
      </c>
      <c r="N7" s="10">
        <v>3820980</v>
      </c>
      <c r="O7" s="9"/>
      <c r="P7" s="2">
        <v>3359570</v>
      </c>
      <c r="Q7" s="4">
        <v>5943185</v>
      </c>
      <c r="R7" s="14"/>
      <c r="S7" s="2">
        <v>52900</v>
      </c>
      <c r="T7" s="10"/>
      <c r="U7" s="9"/>
      <c r="V7" s="2"/>
      <c r="W7" s="10"/>
      <c r="X7" s="9"/>
      <c r="Y7" s="2"/>
      <c r="Z7" s="15"/>
      <c r="AA7" s="6"/>
      <c r="AB7" s="2">
        <v>4500</v>
      </c>
      <c r="AC7" s="10">
        <v>10500</v>
      </c>
      <c r="AD7" s="9"/>
      <c r="AE7" s="2"/>
      <c r="AF7" s="10">
        <v>5300</v>
      </c>
    </row>
    <row r="8" spans="2:32" outlineLevel="1" x14ac:dyDescent="0.3">
      <c r="B8" s="57"/>
      <c r="C8" s="95"/>
      <c r="D8" s="95"/>
      <c r="E8" s="95"/>
      <c r="F8" s="97"/>
      <c r="G8" s="16" t="s">
        <v>38</v>
      </c>
      <c r="H8" s="11"/>
      <c r="I8" s="17"/>
      <c r="J8" s="18"/>
      <c r="K8" s="19"/>
      <c r="L8" s="17"/>
      <c r="M8" s="18"/>
      <c r="N8" s="19"/>
      <c r="O8" s="17"/>
      <c r="P8" s="18"/>
      <c r="Q8" s="20"/>
      <c r="R8" s="31"/>
      <c r="S8" s="32"/>
      <c r="T8" s="33"/>
      <c r="U8" s="34"/>
      <c r="V8" s="32"/>
      <c r="W8" s="33"/>
      <c r="X8" s="34"/>
      <c r="Y8" s="32"/>
      <c r="Z8" s="35"/>
      <c r="AA8" s="21"/>
      <c r="AB8" s="18"/>
      <c r="AC8" s="19"/>
      <c r="AD8" s="17"/>
      <c r="AE8" s="18"/>
      <c r="AF8" s="19"/>
    </row>
    <row r="9" spans="2:32" outlineLevel="1" x14ac:dyDescent="0.3">
      <c r="B9" s="54">
        <f>B7+1</f>
        <v>2</v>
      </c>
      <c r="C9" s="94" t="s">
        <v>37</v>
      </c>
      <c r="D9" s="94"/>
      <c r="E9" s="94"/>
      <c r="F9" s="96"/>
      <c r="G9" s="1" t="s">
        <v>35</v>
      </c>
      <c r="H9" s="11">
        <f t="shared" ref="H9:H25" si="0">SUM(I9:AF9)</f>
        <v>1944450</v>
      </c>
      <c r="I9" s="9"/>
      <c r="J9" s="2"/>
      <c r="K9" s="10"/>
      <c r="L9" s="9"/>
      <c r="M9" s="2">
        <v>400040</v>
      </c>
      <c r="N9" s="10">
        <v>803010</v>
      </c>
      <c r="O9" s="9"/>
      <c r="P9" s="2">
        <v>99110</v>
      </c>
      <c r="Q9" s="4">
        <v>625290</v>
      </c>
      <c r="R9" s="14"/>
      <c r="S9" s="2"/>
      <c r="T9" s="10"/>
      <c r="U9" s="9"/>
      <c r="V9" s="2"/>
      <c r="W9" s="10">
        <v>17000</v>
      </c>
      <c r="X9" s="9"/>
      <c r="Y9" s="2"/>
      <c r="Z9" s="15"/>
      <c r="AA9" s="6"/>
      <c r="AB9" s="2"/>
      <c r="AC9" s="10"/>
      <c r="AD9" s="9"/>
      <c r="AE9" s="2"/>
      <c r="AF9" s="10"/>
    </row>
    <row r="10" spans="2:32" outlineLevel="1" x14ac:dyDescent="0.3">
      <c r="B10" s="57"/>
      <c r="C10" s="95"/>
      <c r="D10" s="95"/>
      <c r="E10" s="95"/>
      <c r="F10" s="97"/>
      <c r="G10" s="16" t="s">
        <v>38</v>
      </c>
      <c r="H10" s="11"/>
      <c r="I10" s="17"/>
      <c r="J10" s="18"/>
      <c r="K10" s="19"/>
      <c r="L10" s="17"/>
      <c r="M10" s="18"/>
      <c r="N10" s="19"/>
      <c r="O10" s="17"/>
      <c r="P10" s="18"/>
      <c r="Q10" s="20"/>
      <c r="R10" s="31"/>
      <c r="S10" s="32"/>
      <c r="T10" s="33"/>
      <c r="U10" s="34"/>
      <c r="V10" s="32"/>
      <c r="W10" s="33"/>
      <c r="X10" s="34"/>
      <c r="Y10" s="32"/>
      <c r="Z10" s="35"/>
      <c r="AA10" s="21"/>
      <c r="AB10" s="18"/>
      <c r="AC10" s="19"/>
      <c r="AD10" s="17"/>
      <c r="AE10" s="18"/>
      <c r="AF10" s="19"/>
    </row>
    <row r="11" spans="2:32" outlineLevel="1" x14ac:dyDescent="0.3">
      <c r="B11" s="54">
        <f>B9+1</f>
        <v>3</v>
      </c>
      <c r="C11" s="94" t="s">
        <v>37</v>
      </c>
      <c r="D11" s="94"/>
      <c r="E11" s="94"/>
      <c r="F11" s="96"/>
      <c r="G11" s="1" t="s">
        <v>35</v>
      </c>
      <c r="H11" s="11">
        <f t="shared" si="0"/>
        <v>1076489</v>
      </c>
      <c r="I11" s="9"/>
      <c r="J11" s="2"/>
      <c r="K11" s="10"/>
      <c r="L11" s="9"/>
      <c r="M11" s="2">
        <v>277807</v>
      </c>
      <c r="N11" s="10">
        <v>621402</v>
      </c>
      <c r="O11" s="9"/>
      <c r="P11" s="2">
        <v>177280</v>
      </c>
      <c r="Q11" s="4"/>
      <c r="R11" s="14"/>
      <c r="S11" s="2"/>
      <c r="T11" s="10"/>
      <c r="U11" s="9"/>
      <c r="V11" s="2"/>
      <c r="W11" s="10"/>
      <c r="X11" s="9"/>
      <c r="Y11" s="2"/>
      <c r="Z11" s="15"/>
      <c r="AA11" s="6"/>
      <c r="AB11" s="2"/>
      <c r="AC11" s="10"/>
      <c r="AD11" s="9"/>
      <c r="AE11" s="2"/>
      <c r="AF11" s="10"/>
    </row>
    <row r="12" spans="2:32" outlineLevel="1" x14ac:dyDescent="0.3">
      <c r="B12" s="57"/>
      <c r="C12" s="95"/>
      <c r="D12" s="95"/>
      <c r="E12" s="95"/>
      <c r="F12" s="97"/>
      <c r="G12" s="16" t="s">
        <v>38</v>
      </c>
      <c r="H12" s="11"/>
      <c r="I12" s="17"/>
      <c r="J12" s="18"/>
      <c r="K12" s="19"/>
      <c r="L12" s="17"/>
      <c r="M12" s="18"/>
      <c r="N12" s="19"/>
      <c r="O12" s="17"/>
      <c r="P12" s="18"/>
      <c r="Q12" s="20"/>
      <c r="R12" s="31"/>
      <c r="S12" s="32"/>
      <c r="T12" s="33"/>
      <c r="U12" s="34"/>
      <c r="V12" s="32"/>
      <c r="W12" s="33"/>
      <c r="X12" s="34"/>
      <c r="Y12" s="32"/>
      <c r="Z12" s="35"/>
      <c r="AA12" s="21"/>
      <c r="AB12" s="18"/>
      <c r="AC12" s="19"/>
      <c r="AD12" s="17"/>
      <c r="AE12" s="18"/>
      <c r="AF12" s="19"/>
    </row>
    <row r="13" spans="2:32" outlineLevel="1" x14ac:dyDescent="0.3">
      <c r="B13" s="54">
        <f>B11+1</f>
        <v>4</v>
      </c>
      <c r="C13" s="94" t="s">
        <v>37</v>
      </c>
      <c r="D13" s="94"/>
      <c r="E13" s="94"/>
      <c r="F13" s="96"/>
      <c r="G13" s="1" t="s">
        <v>35</v>
      </c>
      <c r="H13" s="11">
        <f t="shared" si="0"/>
        <v>693772</v>
      </c>
      <c r="I13" s="9"/>
      <c r="J13" s="2"/>
      <c r="K13" s="10"/>
      <c r="L13" s="9"/>
      <c r="M13" s="2">
        <v>231839</v>
      </c>
      <c r="N13" s="10">
        <v>455733</v>
      </c>
      <c r="O13" s="9"/>
      <c r="P13" s="2"/>
      <c r="Q13" s="4"/>
      <c r="R13" s="14"/>
      <c r="S13" s="2"/>
      <c r="T13" s="10"/>
      <c r="U13" s="9"/>
      <c r="V13" s="2"/>
      <c r="W13" s="10"/>
      <c r="X13" s="9"/>
      <c r="Y13" s="2"/>
      <c r="Z13" s="15"/>
      <c r="AA13" s="6"/>
      <c r="AB13" s="2"/>
      <c r="AC13" s="10"/>
      <c r="AD13" s="9"/>
      <c r="AE13" s="2"/>
      <c r="AF13" s="10">
        <v>6200</v>
      </c>
    </row>
    <row r="14" spans="2:32" outlineLevel="1" x14ac:dyDescent="0.3">
      <c r="B14" s="57"/>
      <c r="C14" s="95"/>
      <c r="D14" s="95"/>
      <c r="E14" s="95"/>
      <c r="F14" s="97"/>
      <c r="G14" s="16" t="s">
        <v>38</v>
      </c>
      <c r="H14" s="11"/>
      <c r="I14" s="17"/>
      <c r="J14" s="18"/>
      <c r="K14" s="19"/>
      <c r="L14" s="17"/>
      <c r="M14" s="18"/>
      <c r="N14" s="19"/>
      <c r="O14" s="17"/>
      <c r="P14" s="18"/>
      <c r="Q14" s="20"/>
      <c r="R14" s="31"/>
      <c r="S14" s="32"/>
      <c r="T14" s="33"/>
      <c r="U14" s="34"/>
      <c r="V14" s="32"/>
      <c r="W14" s="33"/>
      <c r="X14" s="34"/>
      <c r="Y14" s="32"/>
      <c r="Z14" s="35"/>
      <c r="AA14" s="21"/>
      <c r="AB14" s="18"/>
      <c r="AC14" s="19"/>
      <c r="AD14" s="17"/>
      <c r="AE14" s="18"/>
      <c r="AF14" s="19"/>
    </row>
    <row r="15" spans="2:32" outlineLevel="1" x14ac:dyDescent="0.3">
      <c r="B15" s="54">
        <f>B13+1</f>
        <v>5</v>
      </c>
      <c r="C15" s="94" t="s">
        <v>37</v>
      </c>
      <c r="D15" s="94"/>
      <c r="E15" s="94"/>
      <c r="F15" s="96"/>
      <c r="G15" s="1" t="s">
        <v>35</v>
      </c>
      <c r="H15" s="11">
        <f t="shared" si="0"/>
        <v>0</v>
      </c>
      <c r="I15" s="9"/>
      <c r="J15" s="2"/>
      <c r="K15" s="10"/>
      <c r="L15" s="9"/>
      <c r="M15" s="2"/>
      <c r="N15" s="10"/>
      <c r="O15" s="9"/>
      <c r="P15" s="2"/>
      <c r="Q15" s="4"/>
      <c r="R15" s="14"/>
      <c r="S15" s="2"/>
      <c r="T15" s="10"/>
      <c r="U15" s="9"/>
      <c r="V15" s="2"/>
      <c r="W15" s="10"/>
      <c r="X15" s="9"/>
      <c r="Y15" s="2"/>
      <c r="Z15" s="15"/>
      <c r="AA15" s="6"/>
      <c r="AB15" s="2"/>
      <c r="AC15" s="10"/>
      <c r="AD15" s="9"/>
      <c r="AE15" s="2"/>
      <c r="AF15" s="10"/>
    </row>
    <row r="16" spans="2:32" outlineLevel="1" x14ac:dyDescent="0.3">
      <c r="B16" s="57"/>
      <c r="C16" s="95"/>
      <c r="D16" s="95"/>
      <c r="E16" s="95"/>
      <c r="F16" s="97"/>
      <c r="G16" s="16" t="s">
        <v>38</v>
      </c>
      <c r="H16" s="11"/>
      <c r="I16" s="17"/>
      <c r="J16" s="18"/>
      <c r="K16" s="19"/>
      <c r="L16" s="17"/>
      <c r="M16" s="18"/>
      <c r="N16" s="19"/>
      <c r="O16" s="17"/>
      <c r="P16" s="18"/>
      <c r="Q16" s="20"/>
      <c r="R16" s="31"/>
      <c r="S16" s="32"/>
      <c r="T16" s="33"/>
      <c r="U16" s="34"/>
      <c r="V16" s="32"/>
      <c r="W16" s="33"/>
      <c r="X16" s="34"/>
      <c r="Y16" s="32"/>
      <c r="Z16" s="35"/>
      <c r="AA16" s="21"/>
      <c r="AB16" s="18"/>
      <c r="AC16" s="19"/>
      <c r="AD16" s="17"/>
      <c r="AE16" s="18"/>
      <c r="AF16" s="19"/>
    </row>
    <row r="17" spans="2:32" outlineLevel="1" x14ac:dyDescent="0.3">
      <c r="B17" s="54">
        <f>B15+1</f>
        <v>6</v>
      </c>
      <c r="C17" s="94" t="s">
        <v>37</v>
      </c>
      <c r="D17" s="94"/>
      <c r="E17" s="94"/>
      <c r="F17" s="96"/>
      <c r="G17" s="1" t="s">
        <v>35</v>
      </c>
      <c r="H17" s="11">
        <f t="shared" si="0"/>
        <v>0</v>
      </c>
      <c r="I17" s="9"/>
      <c r="J17" s="2"/>
      <c r="K17" s="10"/>
      <c r="L17" s="9"/>
      <c r="M17" s="2"/>
      <c r="N17" s="10"/>
      <c r="O17" s="9"/>
      <c r="P17" s="2"/>
      <c r="Q17" s="4"/>
      <c r="R17" s="14"/>
      <c r="S17" s="2"/>
      <c r="T17" s="10"/>
      <c r="U17" s="9"/>
      <c r="V17" s="2"/>
      <c r="W17" s="10"/>
      <c r="X17" s="9"/>
      <c r="Y17" s="2"/>
      <c r="Z17" s="15"/>
      <c r="AA17" s="6"/>
      <c r="AB17" s="2"/>
      <c r="AC17" s="10"/>
      <c r="AD17" s="9"/>
      <c r="AE17" s="2"/>
      <c r="AF17" s="10"/>
    </row>
    <row r="18" spans="2:32" outlineLevel="1" x14ac:dyDescent="0.3">
      <c r="B18" s="57"/>
      <c r="C18" s="95"/>
      <c r="D18" s="95"/>
      <c r="E18" s="95"/>
      <c r="F18" s="97"/>
      <c r="G18" s="16" t="s">
        <v>38</v>
      </c>
      <c r="H18" s="11"/>
      <c r="I18" s="17"/>
      <c r="J18" s="18"/>
      <c r="K18" s="19"/>
      <c r="L18" s="17"/>
      <c r="M18" s="18"/>
      <c r="N18" s="19"/>
      <c r="O18" s="17"/>
      <c r="P18" s="18"/>
      <c r="Q18" s="20"/>
      <c r="R18" s="31"/>
      <c r="S18" s="32"/>
      <c r="T18" s="33"/>
      <c r="U18" s="34"/>
      <c r="V18" s="32"/>
      <c r="W18" s="33"/>
      <c r="X18" s="34"/>
      <c r="Y18" s="32"/>
      <c r="Z18" s="35"/>
      <c r="AA18" s="21"/>
      <c r="AB18" s="18"/>
      <c r="AC18" s="19"/>
      <c r="AD18" s="17"/>
      <c r="AE18" s="18"/>
      <c r="AF18" s="19"/>
    </row>
    <row r="19" spans="2:32" outlineLevel="1" x14ac:dyDescent="0.3">
      <c r="B19" s="54">
        <f>B17+1</f>
        <v>7</v>
      </c>
      <c r="C19" s="94" t="s">
        <v>37</v>
      </c>
      <c r="D19" s="94"/>
      <c r="E19" s="94"/>
      <c r="F19" s="96"/>
      <c r="G19" s="1" t="s">
        <v>35</v>
      </c>
      <c r="H19" s="11">
        <f t="shared" si="0"/>
        <v>0</v>
      </c>
      <c r="I19" s="9"/>
      <c r="J19" s="2"/>
      <c r="K19" s="10"/>
      <c r="L19" s="9"/>
      <c r="M19" s="2"/>
      <c r="N19" s="10"/>
      <c r="O19" s="9"/>
      <c r="P19" s="2"/>
      <c r="Q19" s="4"/>
      <c r="R19" s="14"/>
      <c r="S19" s="2"/>
      <c r="T19" s="10"/>
      <c r="U19" s="9"/>
      <c r="V19" s="2"/>
      <c r="W19" s="10"/>
      <c r="X19" s="9"/>
      <c r="Y19" s="2"/>
      <c r="Z19" s="15"/>
      <c r="AA19" s="6"/>
      <c r="AB19" s="2"/>
      <c r="AC19" s="10"/>
      <c r="AD19" s="9"/>
      <c r="AE19" s="2"/>
      <c r="AF19" s="10"/>
    </row>
    <row r="20" spans="2:32" outlineLevel="1" x14ac:dyDescent="0.3">
      <c r="B20" s="57"/>
      <c r="C20" s="95"/>
      <c r="D20" s="95"/>
      <c r="E20" s="95"/>
      <c r="F20" s="97"/>
      <c r="G20" s="16" t="s">
        <v>38</v>
      </c>
      <c r="H20" s="11"/>
      <c r="I20" s="17"/>
      <c r="J20" s="18"/>
      <c r="K20" s="19"/>
      <c r="L20" s="17"/>
      <c r="M20" s="18"/>
      <c r="N20" s="19"/>
      <c r="O20" s="17"/>
      <c r="P20" s="18"/>
      <c r="Q20" s="20"/>
      <c r="R20" s="31"/>
      <c r="S20" s="32"/>
      <c r="T20" s="33"/>
      <c r="U20" s="34"/>
      <c r="V20" s="32"/>
      <c r="W20" s="33"/>
      <c r="X20" s="34"/>
      <c r="Y20" s="32"/>
      <c r="Z20" s="35"/>
      <c r="AA20" s="21"/>
      <c r="AB20" s="18"/>
      <c r="AC20" s="19"/>
      <c r="AD20" s="17"/>
      <c r="AE20" s="18"/>
      <c r="AF20" s="19"/>
    </row>
    <row r="21" spans="2:32" outlineLevel="1" x14ac:dyDescent="0.3">
      <c r="B21" s="54">
        <f>B19+1</f>
        <v>8</v>
      </c>
      <c r="C21" s="94" t="s">
        <v>37</v>
      </c>
      <c r="D21" s="94"/>
      <c r="E21" s="94"/>
      <c r="F21" s="96"/>
      <c r="G21" s="1" t="s">
        <v>35</v>
      </c>
      <c r="H21" s="11">
        <f t="shared" si="0"/>
        <v>0</v>
      </c>
      <c r="I21" s="9"/>
      <c r="J21" s="2"/>
      <c r="K21" s="10"/>
      <c r="L21" s="9"/>
      <c r="M21" s="2"/>
      <c r="N21" s="10"/>
      <c r="O21" s="9"/>
      <c r="P21" s="2"/>
      <c r="Q21" s="4"/>
      <c r="R21" s="14"/>
      <c r="S21" s="2"/>
      <c r="T21" s="10"/>
      <c r="U21" s="9"/>
      <c r="V21" s="2"/>
      <c r="W21" s="10"/>
      <c r="X21" s="9"/>
      <c r="Y21" s="2"/>
      <c r="Z21" s="15"/>
      <c r="AA21" s="6"/>
      <c r="AB21" s="2"/>
      <c r="AC21" s="10"/>
      <c r="AD21" s="9"/>
      <c r="AE21" s="2"/>
      <c r="AF21" s="10"/>
    </row>
    <row r="22" spans="2:32" outlineLevel="1" x14ac:dyDescent="0.3">
      <c r="B22" s="57"/>
      <c r="C22" s="95"/>
      <c r="D22" s="95"/>
      <c r="E22" s="95"/>
      <c r="F22" s="97"/>
      <c r="G22" s="16" t="s">
        <v>38</v>
      </c>
      <c r="H22" s="11"/>
      <c r="I22" s="17"/>
      <c r="J22" s="18"/>
      <c r="K22" s="19"/>
      <c r="L22" s="17"/>
      <c r="M22" s="18"/>
      <c r="N22" s="19"/>
      <c r="O22" s="17"/>
      <c r="P22" s="18"/>
      <c r="Q22" s="20"/>
      <c r="R22" s="31"/>
      <c r="S22" s="32"/>
      <c r="T22" s="33"/>
      <c r="U22" s="34"/>
      <c r="V22" s="32"/>
      <c r="W22" s="33"/>
      <c r="X22" s="34"/>
      <c r="Y22" s="32"/>
      <c r="Z22" s="35"/>
      <c r="AA22" s="21"/>
      <c r="AB22" s="18"/>
      <c r="AC22" s="19"/>
      <c r="AD22" s="17"/>
      <c r="AE22" s="18"/>
      <c r="AF22" s="19"/>
    </row>
    <row r="23" spans="2:32" outlineLevel="1" x14ac:dyDescent="0.3">
      <c r="B23" s="54">
        <f>B21+1</f>
        <v>9</v>
      </c>
      <c r="C23" s="94" t="s">
        <v>37</v>
      </c>
      <c r="D23" s="94"/>
      <c r="E23" s="94"/>
      <c r="F23" s="96"/>
      <c r="G23" s="1" t="s">
        <v>35</v>
      </c>
      <c r="H23" s="11">
        <f t="shared" si="0"/>
        <v>0</v>
      </c>
      <c r="I23" s="9"/>
      <c r="J23" s="2"/>
      <c r="K23" s="10"/>
      <c r="L23" s="9"/>
      <c r="M23" s="2"/>
      <c r="N23" s="10"/>
      <c r="O23" s="9"/>
      <c r="P23" s="2"/>
      <c r="Q23" s="4"/>
      <c r="R23" s="14"/>
      <c r="S23" s="2"/>
      <c r="T23" s="10"/>
      <c r="U23" s="9"/>
      <c r="V23" s="2"/>
      <c r="W23" s="10"/>
      <c r="X23" s="9"/>
      <c r="Y23" s="2"/>
      <c r="Z23" s="15"/>
      <c r="AA23" s="6"/>
      <c r="AB23" s="2"/>
      <c r="AC23" s="10"/>
      <c r="AD23" s="9"/>
      <c r="AE23" s="2"/>
      <c r="AF23" s="10"/>
    </row>
    <row r="24" spans="2:32" outlineLevel="1" x14ac:dyDescent="0.3">
      <c r="B24" s="57"/>
      <c r="C24" s="95"/>
      <c r="D24" s="95"/>
      <c r="E24" s="95"/>
      <c r="F24" s="97"/>
      <c r="G24" s="16" t="s">
        <v>38</v>
      </c>
      <c r="H24" s="11"/>
      <c r="I24" s="17"/>
      <c r="J24" s="18"/>
      <c r="K24" s="19"/>
      <c r="L24" s="17"/>
      <c r="M24" s="18"/>
      <c r="N24" s="19"/>
      <c r="O24" s="17"/>
      <c r="P24" s="18"/>
      <c r="Q24" s="20"/>
      <c r="R24" s="31"/>
      <c r="S24" s="32"/>
      <c r="T24" s="33"/>
      <c r="U24" s="34"/>
      <c r="V24" s="32"/>
      <c r="W24" s="33"/>
      <c r="X24" s="34"/>
      <c r="Y24" s="32"/>
      <c r="Z24" s="35"/>
      <c r="AA24" s="21"/>
      <c r="AB24" s="18"/>
      <c r="AC24" s="19"/>
      <c r="AD24" s="17"/>
      <c r="AE24" s="18"/>
      <c r="AF24" s="19"/>
    </row>
    <row r="25" spans="2:32" outlineLevel="1" x14ac:dyDescent="0.3">
      <c r="B25" s="54">
        <f>B23+1</f>
        <v>10</v>
      </c>
      <c r="C25" s="94" t="s">
        <v>37</v>
      </c>
      <c r="D25" s="94"/>
      <c r="E25" s="94"/>
      <c r="F25" s="96"/>
      <c r="G25" s="1" t="s">
        <v>35</v>
      </c>
      <c r="H25" s="11">
        <f t="shared" si="0"/>
        <v>0</v>
      </c>
      <c r="I25" s="9"/>
      <c r="J25" s="2"/>
      <c r="K25" s="10"/>
      <c r="L25" s="9"/>
      <c r="M25" s="2"/>
      <c r="N25" s="10"/>
      <c r="O25" s="9"/>
      <c r="P25" s="2"/>
      <c r="Q25" s="4"/>
      <c r="R25" s="14"/>
      <c r="S25" s="2"/>
      <c r="T25" s="10"/>
      <c r="U25" s="9"/>
      <c r="V25" s="2"/>
      <c r="W25" s="10"/>
      <c r="X25" s="9"/>
      <c r="Y25" s="2"/>
      <c r="Z25" s="15"/>
      <c r="AA25" s="6"/>
      <c r="AB25" s="2"/>
      <c r="AC25" s="10"/>
      <c r="AD25" s="9"/>
      <c r="AE25" s="2"/>
      <c r="AF25" s="10"/>
    </row>
    <row r="26" spans="2:32" ht="17.25" outlineLevel="1" thickBot="1" x14ac:dyDescent="0.35">
      <c r="B26" s="98"/>
      <c r="C26" s="99"/>
      <c r="D26" s="99"/>
      <c r="E26" s="99"/>
      <c r="F26" s="100"/>
      <c r="G26" s="23" t="s">
        <v>38</v>
      </c>
      <c r="H26" s="24"/>
      <c r="I26" s="25"/>
      <c r="J26" s="26"/>
      <c r="K26" s="27"/>
      <c r="L26" s="25"/>
      <c r="M26" s="26"/>
      <c r="N26" s="27"/>
      <c r="O26" s="25"/>
      <c r="P26" s="26"/>
      <c r="Q26" s="28"/>
      <c r="R26" s="31"/>
      <c r="S26" s="32"/>
      <c r="T26" s="33"/>
      <c r="U26" s="34"/>
      <c r="V26" s="32"/>
      <c r="W26" s="33"/>
      <c r="X26" s="34"/>
      <c r="Y26" s="32"/>
      <c r="Z26" s="35"/>
      <c r="AA26" s="29"/>
      <c r="AB26" s="26"/>
      <c r="AC26" s="27"/>
      <c r="AD26" s="25"/>
      <c r="AE26" s="26"/>
      <c r="AF26" s="27"/>
    </row>
    <row r="27" spans="2:32" ht="17.25" thickBot="1" x14ac:dyDescent="0.35">
      <c r="B27" s="113" t="s">
        <v>39</v>
      </c>
      <c r="C27" s="114"/>
      <c r="D27" s="114"/>
      <c r="E27" s="114"/>
      <c r="F27" s="114"/>
      <c r="G27" s="115"/>
      <c r="H27" s="22">
        <f>SUM(H7:H26)</f>
        <v>44140203</v>
      </c>
      <c r="I27" s="22">
        <f t="shared" ref="I27:AF27" si="1">SUM(I7:I26)</f>
        <v>0</v>
      </c>
      <c r="J27" s="22">
        <f t="shared" si="1"/>
        <v>9949455</v>
      </c>
      <c r="K27" s="22">
        <f t="shared" si="1"/>
        <v>15812282</v>
      </c>
      <c r="L27" s="22">
        <f t="shared" si="1"/>
        <v>0</v>
      </c>
      <c r="M27" s="22">
        <f t="shared" si="1"/>
        <v>2376506</v>
      </c>
      <c r="N27" s="22">
        <f t="shared" si="1"/>
        <v>5701125</v>
      </c>
      <c r="O27" s="22">
        <f t="shared" si="1"/>
        <v>0</v>
      </c>
      <c r="P27" s="22">
        <f t="shared" si="1"/>
        <v>3635960</v>
      </c>
      <c r="Q27" s="22">
        <f t="shared" si="1"/>
        <v>6568475</v>
      </c>
      <c r="R27" s="22">
        <f t="shared" si="1"/>
        <v>0</v>
      </c>
      <c r="S27" s="22">
        <f t="shared" si="1"/>
        <v>52900</v>
      </c>
      <c r="T27" s="22">
        <f t="shared" si="1"/>
        <v>0</v>
      </c>
      <c r="U27" s="22">
        <f t="shared" si="1"/>
        <v>0</v>
      </c>
      <c r="V27" s="22">
        <f t="shared" si="1"/>
        <v>0</v>
      </c>
      <c r="W27" s="22">
        <f t="shared" si="1"/>
        <v>17000</v>
      </c>
      <c r="X27" s="22">
        <f t="shared" si="1"/>
        <v>0</v>
      </c>
      <c r="Y27" s="22">
        <f t="shared" si="1"/>
        <v>0</v>
      </c>
      <c r="Z27" s="22">
        <f t="shared" si="1"/>
        <v>0</v>
      </c>
      <c r="AA27" s="22">
        <f t="shared" si="1"/>
        <v>0</v>
      </c>
      <c r="AB27" s="22">
        <f t="shared" si="1"/>
        <v>4500</v>
      </c>
      <c r="AC27" s="22">
        <f t="shared" si="1"/>
        <v>10500</v>
      </c>
      <c r="AD27" s="22">
        <f t="shared" si="1"/>
        <v>0</v>
      </c>
      <c r="AE27" s="22">
        <f t="shared" si="1"/>
        <v>0</v>
      </c>
      <c r="AF27" s="22">
        <f t="shared" si="1"/>
        <v>11500</v>
      </c>
    </row>
    <row r="28" spans="2:32" ht="17.25" thickTop="1" x14ac:dyDescent="0.3">
      <c r="I28" s="40">
        <v>0.3</v>
      </c>
      <c r="J28" s="41">
        <v>0.8</v>
      </c>
      <c r="K28" s="42">
        <v>0.15</v>
      </c>
      <c r="L28" s="43">
        <v>0.6</v>
      </c>
      <c r="M28" s="41">
        <v>0.8</v>
      </c>
      <c r="N28" s="40">
        <v>0.3</v>
      </c>
      <c r="O28" s="43">
        <v>0.6</v>
      </c>
      <c r="P28" s="41">
        <v>0.8</v>
      </c>
      <c r="Q28" s="40">
        <v>0.3</v>
      </c>
      <c r="R28" s="43">
        <v>0.6</v>
      </c>
      <c r="S28" s="41">
        <v>0.8</v>
      </c>
      <c r="T28" s="40">
        <v>0.3</v>
      </c>
      <c r="U28" s="43">
        <v>0.6</v>
      </c>
      <c r="V28" s="41">
        <v>0.8</v>
      </c>
      <c r="W28" s="40">
        <v>0.3</v>
      </c>
      <c r="X28" s="43">
        <v>0.6</v>
      </c>
      <c r="Y28" s="41">
        <v>0.8</v>
      </c>
      <c r="Z28" s="40">
        <v>0.3</v>
      </c>
      <c r="AA28" s="41">
        <v>0.8</v>
      </c>
      <c r="AB28" s="41">
        <v>0.8</v>
      </c>
      <c r="AC28" s="44">
        <v>0.4</v>
      </c>
      <c r="AD28" s="41">
        <v>0.8</v>
      </c>
      <c r="AE28" s="41">
        <v>0.8</v>
      </c>
      <c r="AF28" s="44">
        <v>0.4</v>
      </c>
    </row>
    <row r="29" spans="2:32" x14ac:dyDescent="0.3">
      <c r="B29" t="s">
        <v>40</v>
      </c>
    </row>
    <row r="30" spans="2:32" s="30" customFormat="1" ht="52.5" customHeight="1" x14ac:dyDescent="0.3">
      <c r="B30" s="103" t="s">
        <v>41</v>
      </c>
      <c r="C30" s="103"/>
      <c r="D30" s="103"/>
      <c r="E30" s="103" t="s">
        <v>42</v>
      </c>
      <c r="F30" s="104"/>
      <c r="G30" s="103" t="s">
        <v>43</v>
      </c>
      <c r="H30" s="104"/>
      <c r="I30" s="103" t="s">
        <v>44</v>
      </c>
      <c r="J30" s="104"/>
      <c r="K30" s="103" t="s">
        <v>45</v>
      </c>
      <c r="L30" s="104"/>
      <c r="M30" s="103" t="s">
        <v>46</v>
      </c>
      <c r="N30" s="104"/>
      <c r="O30" s="103" t="s">
        <v>47</v>
      </c>
      <c r="P30" s="104"/>
      <c r="Q30" s="103" t="s">
        <v>48</v>
      </c>
      <c r="R30" s="104"/>
      <c r="S30" s="103" t="s">
        <v>49</v>
      </c>
      <c r="T30" s="104"/>
      <c r="U30" s="103" t="s">
        <v>50</v>
      </c>
      <c r="V30" s="104"/>
      <c r="W30" s="103" t="s">
        <v>51</v>
      </c>
      <c r="X30" s="104"/>
      <c r="Y30" s="103" t="s">
        <v>52</v>
      </c>
      <c r="Z30" s="104"/>
      <c r="AA30" s="103" t="s">
        <v>53</v>
      </c>
      <c r="AB30" s="104"/>
      <c r="AC30" s="103" t="s">
        <v>54</v>
      </c>
      <c r="AD30" s="104"/>
      <c r="AE30" s="103" t="s">
        <v>55</v>
      </c>
      <c r="AF30" s="104"/>
    </row>
    <row r="31" spans="2:32" ht="23.25" customHeight="1" x14ac:dyDescent="0.3">
      <c r="B31" s="102">
        <f>I27*30%</f>
        <v>0</v>
      </c>
      <c r="C31" s="102"/>
      <c r="D31" s="102"/>
      <c r="E31" s="102">
        <f>TRUNC(J27*80%,0)</f>
        <v>7959564</v>
      </c>
      <c r="F31" s="45"/>
      <c r="G31" s="112">
        <f>TRUNC(K27*15%,0)</f>
        <v>2371842</v>
      </c>
      <c r="H31" s="45"/>
      <c r="I31" s="105">
        <f>TRUNC((L27+O27)*60%,0)</f>
        <v>0</v>
      </c>
      <c r="J31" s="105"/>
      <c r="K31" s="105">
        <f>TRUNC((M27+P27)*80%,0)</f>
        <v>4809972</v>
      </c>
      <c r="L31" s="105"/>
      <c r="M31" s="105">
        <f>TRUNC((N27+Q27)*30%,0)</f>
        <v>3680880</v>
      </c>
      <c r="N31" s="105"/>
      <c r="O31" s="105">
        <f>TRUNC((R27+U27+X27)*60%,0)</f>
        <v>0</v>
      </c>
      <c r="P31" s="105"/>
      <c r="Q31" s="105">
        <f>TRUNC((S27+V27+Y27)*80%,0)</f>
        <v>42320</v>
      </c>
      <c r="R31" s="105"/>
      <c r="S31" s="105">
        <f>TRUNC((T27+W27+Z27)*30%,0)</f>
        <v>5100</v>
      </c>
      <c r="T31" s="105"/>
      <c r="U31" s="105">
        <f>TRUNC(AA27*80%,0)</f>
        <v>0</v>
      </c>
      <c r="V31" s="105"/>
      <c r="W31" s="105">
        <f>TRUNC(AB27*80%,0)</f>
        <v>3600</v>
      </c>
      <c r="X31" s="105"/>
      <c r="Y31" s="105">
        <f>TRUNC(AC27*40%,0)</f>
        <v>4200</v>
      </c>
      <c r="Z31" s="105"/>
      <c r="AA31" s="105">
        <f>TRUNC(AD27*80%,0)</f>
        <v>0</v>
      </c>
      <c r="AB31" s="105"/>
      <c r="AC31" s="105">
        <f>TRUNC(AE27*80%,0)</f>
        <v>0</v>
      </c>
      <c r="AD31" s="105"/>
      <c r="AE31" s="105">
        <f>TRUNC(AF27*40%,0)</f>
        <v>4600</v>
      </c>
      <c r="AF31" s="105"/>
    </row>
    <row r="33" spans="2:23" x14ac:dyDescent="0.3">
      <c r="B33" s="47" t="s">
        <v>57</v>
      </c>
      <c r="C33" s="58"/>
      <c r="D33" s="58"/>
      <c r="E33" s="58"/>
      <c r="F33" s="58"/>
      <c r="G33" s="58"/>
      <c r="H33" s="59"/>
      <c r="I33" s="101" t="s">
        <v>74</v>
      </c>
      <c r="J33" s="101"/>
      <c r="K33" s="101" t="s">
        <v>75</v>
      </c>
      <c r="L33" s="101"/>
      <c r="M33" s="101" t="s">
        <v>76</v>
      </c>
      <c r="N33" s="101"/>
      <c r="O33" s="101" t="s">
        <v>77</v>
      </c>
      <c r="P33" s="101"/>
      <c r="Q33" s="101" t="s">
        <v>78</v>
      </c>
      <c r="R33" s="101"/>
      <c r="S33" s="101" t="s">
        <v>79</v>
      </c>
      <c r="T33" s="101"/>
      <c r="U33" s="101" t="s">
        <v>80</v>
      </c>
      <c r="V33" s="101"/>
    </row>
    <row r="34" spans="2:23" ht="51.75" customHeight="1" x14ac:dyDescent="0.3">
      <c r="B34" s="101" t="s">
        <v>58</v>
      </c>
      <c r="C34" s="101"/>
      <c r="D34" s="101"/>
      <c r="E34" s="101" t="s">
        <v>59</v>
      </c>
      <c r="F34" s="45"/>
      <c r="G34" s="101" t="s">
        <v>60</v>
      </c>
      <c r="H34" s="45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</row>
    <row r="35" spans="2:23" ht="30" customHeight="1" x14ac:dyDescent="0.3">
      <c r="B35" s="102">
        <f>F2</f>
        <v>55655800</v>
      </c>
      <c r="C35" s="45"/>
      <c r="D35" s="45"/>
      <c r="E35" s="102">
        <f>TRUNC(B35*25%,0)</f>
        <v>13913950</v>
      </c>
      <c r="F35" s="45"/>
      <c r="G35" s="102">
        <f>SUM(S39:T43)</f>
        <v>2087092</v>
      </c>
      <c r="H35" s="45"/>
      <c r="I35" s="102">
        <f>SUM(B31:AF31)-G35</f>
        <v>16794986</v>
      </c>
      <c r="J35" s="45"/>
      <c r="K35" s="105">
        <f>MIN(3300000,(TRUNC(B35*20%,0)))</f>
        <v>3300000</v>
      </c>
      <c r="L35" s="105"/>
      <c r="M35" s="105">
        <f>MIN(I35,K35)</f>
        <v>3300000</v>
      </c>
      <c r="N35" s="105"/>
      <c r="O35" s="105">
        <f>MIN(1000000,(I35-K35),(U31+W31+Y31))</f>
        <v>7800</v>
      </c>
      <c r="P35" s="105"/>
      <c r="Q35" s="105">
        <f>MIN(1000000,(I35-K35-O35),(AA31+AC31+AE31))</f>
        <v>4600</v>
      </c>
      <c r="R35" s="105"/>
      <c r="S35" s="105">
        <f>IF(B35&lt;=70000000,SUM(O31:T31),0)</f>
        <v>47420</v>
      </c>
      <c r="T35" s="105"/>
      <c r="U35" s="110">
        <f>SUM(M35:T35)</f>
        <v>3359820</v>
      </c>
      <c r="V35" s="110"/>
    </row>
    <row r="37" spans="2:23" x14ac:dyDescent="0.3">
      <c r="B37" t="s">
        <v>61</v>
      </c>
      <c r="F37" s="39" t="s">
        <v>82</v>
      </c>
    </row>
    <row r="38" spans="2:23" x14ac:dyDescent="0.3">
      <c r="B38" s="45" t="s">
        <v>5</v>
      </c>
      <c r="C38" s="45"/>
      <c r="D38" s="45"/>
      <c r="E38" s="45"/>
      <c r="F38" s="45"/>
      <c r="G38" s="45"/>
      <c r="H38" s="45"/>
      <c r="I38" s="45"/>
      <c r="J38" s="45"/>
      <c r="K38" s="45"/>
      <c r="L38" s="45" t="s">
        <v>67</v>
      </c>
      <c r="M38" s="45"/>
      <c r="N38" s="45"/>
      <c r="O38" s="45"/>
      <c r="P38" s="45"/>
      <c r="Q38" s="45"/>
      <c r="R38" s="45"/>
      <c r="S38" s="45" t="s">
        <v>73</v>
      </c>
      <c r="T38" s="45"/>
    </row>
    <row r="39" spans="2:23" ht="17.25" x14ac:dyDescent="0.3">
      <c r="B39" s="107" t="s">
        <v>62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9" t="s">
        <v>68</v>
      </c>
      <c r="M39" s="109"/>
      <c r="N39" s="109"/>
      <c r="O39" s="109"/>
      <c r="P39" s="109"/>
      <c r="Q39" s="109"/>
      <c r="R39" s="109"/>
      <c r="S39" s="106">
        <f>TRUNC(E35*15%,0)</f>
        <v>2087092</v>
      </c>
      <c r="T39" s="106"/>
    </row>
    <row r="40" spans="2:23" ht="17.25" x14ac:dyDescent="0.3">
      <c r="B40" s="107" t="s">
        <v>63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9" t="s">
        <v>69</v>
      </c>
      <c r="M40" s="109"/>
      <c r="N40" s="109"/>
      <c r="O40" s="109"/>
      <c r="P40" s="109"/>
      <c r="Q40" s="109"/>
      <c r="R40" s="109"/>
      <c r="S40" s="106">
        <f>IF(AND(U40&gt;=V40,V40&gt;W40),K27*15%+(E35-K27)*30%,0)</f>
        <v>0</v>
      </c>
      <c r="T40" s="106"/>
      <c r="U40" s="37">
        <f>SUM($I$27,$K$27,$N$27,$Q$27,$T$27,$W$27,$Z$27)</f>
        <v>28098882</v>
      </c>
      <c r="V40" s="37">
        <f>$E$35</f>
        <v>13913950</v>
      </c>
      <c r="W40" s="38">
        <f>K27</f>
        <v>15812282</v>
      </c>
    </row>
    <row r="41" spans="2:23" ht="17.25" x14ac:dyDescent="0.3">
      <c r="B41" s="107" t="s">
        <v>64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9" t="s">
        <v>70</v>
      </c>
      <c r="M41" s="109"/>
      <c r="N41" s="109"/>
      <c r="O41" s="109"/>
      <c r="P41" s="109"/>
      <c r="Q41" s="109"/>
      <c r="R41" s="109"/>
      <c r="S41" s="106">
        <f>IF(AND(U41&gt;=V41,V41&gt;W41),K27*15%+(I27+N27+Q27+T27+W27+Z27)*30%+(((E35-(I27+K27+N27+Q27+T27+W27+Z27))*40%)),0)</f>
        <v>0</v>
      </c>
      <c r="T41" s="106"/>
      <c r="U41" s="37">
        <f>SUM($I$27,$K$27,$N$27,$Q$27,$T$27,$W$27,$Z$27,$AC$27,$AF$27)</f>
        <v>28120882</v>
      </c>
      <c r="V41" s="37">
        <f>$E$35</f>
        <v>13913950</v>
      </c>
      <c r="W41" s="38">
        <f>SUM(I27,K27,N27,Q27,T27,W27,Z27)</f>
        <v>28098882</v>
      </c>
    </row>
    <row r="42" spans="2:23" ht="35.25" customHeight="1" x14ac:dyDescent="0.3">
      <c r="B42" s="107" t="s">
        <v>65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8" t="s">
        <v>72</v>
      </c>
      <c r="M42" s="108"/>
      <c r="N42" s="108"/>
      <c r="O42" s="108"/>
      <c r="P42" s="108"/>
      <c r="Q42" s="108"/>
      <c r="R42" s="108"/>
      <c r="S42" s="106">
        <f>IF(AND(U42&gt;=V42,V42&gt;W42),K27*15%+(I27+N27+Q27+T27+W27+Z27)*30%+(AC27+AF27)*40%+ABS((((E35-(I27+K27+N27+Q27+T27+W27+Z27+T27+W27+Z27+AC27+AF27))*60%))),0)</f>
        <v>0</v>
      </c>
      <c r="T42" s="106"/>
      <c r="U42" s="38">
        <f>SUM(I27,K27,L27,N27,O27,Q27,R27,T27,U27,W27,X27,Z27,AC27,AF27)</f>
        <v>28120882</v>
      </c>
      <c r="V42" s="37">
        <f>$E$35</f>
        <v>13913950</v>
      </c>
      <c r="W42" s="38">
        <f>SUM(I27,K27,N27,Q27,T27,W27,Z27,AC27,AF27)</f>
        <v>28120882</v>
      </c>
    </row>
    <row r="43" spans="2:23" ht="36" customHeight="1" x14ac:dyDescent="0.3">
      <c r="B43" s="107" t="s">
        <v>66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8" t="s">
        <v>71</v>
      </c>
      <c r="M43" s="108"/>
      <c r="N43" s="108"/>
      <c r="O43" s="108"/>
      <c r="P43" s="108"/>
      <c r="Q43" s="108"/>
      <c r="R43" s="108"/>
      <c r="S43" s="106">
        <f>IF(V43&gt;W43,K27*15%+(I27+N27+Q27+T27+W27+Z27)*30%+(AC27+AF27)*40%+(L27+O27+R27)*60%+ABS((((E35)-(I27+K27+L27+N27+O27+Q27+R27+U27+X27+T27+W27+Z27+AC27+AF27))*80%)),0)</f>
        <v>0</v>
      </c>
      <c r="T43" s="106"/>
      <c r="V43" s="37">
        <f>$E$35</f>
        <v>13913950</v>
      </c>
      <c r="W43" s="38">
        <f>SUM(I27,K27,L27,N27,O27,Q27,R27,T27,U27,W27,X27,Z27,AC27,AF27)</f>
        <v>28120882</v>
      </c>
    </row>
    <row r="64" spans="33:33" x14ac:dyDescent="0.3">
      <c r="AG64" t="s">
        <v>83</v>
      </c>
    </row>
    <row r="65" spans="2:2" x14ac:dyDescent="0.3">
      <c r="B65" t="s">
        <v>83</v>
      </c>
    </row>
  </sheetData>
  <mergeCells count="141">
    <mergeCell ref="U33:V34"/>
    <mergeCell ref="U35:V35"/>
    <mergeCell ref="G1:H1"/>
    <mergeCell ref="G2:H2"/>
    <mergeCell ref="M33:N34"/>
    <mergeCell ref="K33:L34"/>
    <mergeCell ref="I33:J34"/>
    <mergeCell ref="Q33:R34"/>
    <mergeCell ref="Q35:R35"/>
    <mergeCell ref="S33:T34"/>
    <mergeCell ref="S35:T35"/>
    <mergeCell ref="G31:H31"/>
    <mergeCell ref="I30:J30"/>
    <mergeCell ref="I31:J31"/>
    <mergeCell ref="K30:L30"/>
    <mergeCell ref="K31:L31"/>
    <mergeCell ref="M30:N30"/>
    <mergeCell ref="M31:N31"/>
    <mergeCell ref="B27:G27"/>
    <mergeCell ref="B30:D30"/>
    <mergeCell ref="B31:D31"/>
    <mergeCell ref="E30:F30"/>
    <mergeCell ref="E31:F31"/>
    <mergeCell ref="G30:H30"/>
    <mergeCell ref="S43:T43"/>
    <mergeCell ref="I35:J35"/>
    <mergeCell ref="K35:L35"/>
    <mergeCell ref="M35:N35"/>
    <mergeCell ref="O35:P35"/>
    <mergeCell ref="O33:P34"/>
    <mergeCell ref="L38:R38"/>
    <mergeCell ref="S38:T38"/>
    <mergeCell ref="S39:T39"/>
    <mergeCell ref="S40:T40"/>
    <mergeCell ref="S41:T41"/>
    <mergeCell ref="S42:T42"/>
    <mergeCell ref="B43:K43"/>
    <mergeCell ref="L43:R43"/>
    <mergeCell ref="L42:R42"/>
    <mergeCell ref="L41:R41"/>
    <mergeCell ref="L40:R40"/>
    <mergeCell ref="L39:R39"/>
    <mergeCell ref="B33:H33"/>
    <mergeCell ref="B38:K38"/>
    <mergeCell ref="B39:K39"/>
    <mergeCell ref="B40:K40"/>
    <mergeCell ref="B41:K41"/>
    <mergeCell ref="B42:K42"/>
    <mergeCell ref="B34:D34"/>
    <mergeCell ref="B35:D35"/>
    <mergeCell ref="E34:F34"/>
    <mergeCell ref="E35:F35"/>
    <mergeCell ref="G34:H34"/>
    <mergeCell ref="G35:H35"/>
    <mergeCell ref="AA30:AB30"/>
    <mergeCell ref="AC30:AD30"/>
    <mergeCell ref="AE30:AF30"/>
    <mergeCell ref="AA31:AB31"/>
    <mergeCell ref="AC31:AD31"/>
    <mergeCell ref="AE31:AF31"/>
    <mergeCell ref="U30:V30"/>
    <mergeCell ref="W30:X30"/>
    <mergeCell ref="Y30:Z30"/>
    <mergeCell ref="U31:V31"/>
    <mergeCell ref="W31:X31"/>
    <mergeCell ref="Y31:Z31"/>
    <mergeCell ref="O30:P30"/>
    <mergeCell ref="Q30:R30"/>
    <mergeCell ref="S30:T30"/>
    <mergeCell ref="O31:P31"/>
    <mergeCell ref="Q31:R31"/>
    <mergeCell ref="S31:T31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B11:B12"/>
    <mergeCell ref="C11:C12"/>
    <mergeCell ref="D11:D12"/>
    <mergeCell ref="E11:E12"/>
    <mergeCell ref="F11:F12"/>
    <mergeCell ref="B13:B14"/>
    <mergeCell ref="C13:C14"/>
    <mergeCell ref="D13:D14"/>
    <mergeCell ref="E13:E14"/>
    <mergeCell ref="F13:F14"/>
    <mergeCell ref="D7:D8"/>
    <mergeCell ref="C7:C8"/>
    <mergeCell ref="B7:B8"/>
    <mergeCell ref="E7:E8"/>
    <mergeCell ref="F7:F8"/>
    <mergeCell ref="B9:B10"/>
    <mergeCell ref="C9:C10"/>
    <mergeCell ref="D9:D10"/>
    <mergeCell ref="E9:E10"/>
    <mergeCell ref="F9:F10"/>
    <mergeCell ref="B3:B6"/>
    <mergeCell ref="G4:G6"/>
    <mergeCell ref="G3:H3"/>
    <mergeCell ref="H4:H6"/>
    <mergeCell ref="AD4:AF5"/>
    <mergeCell ref="I3:AF3"/>
    <mergeCell ref="F4:F6"/>
    <mergeCell ref="D4:D6"/>
    <mergeCell ref="C4:C6"/>
    <mergeCell ref="E4:E6"/>
    <mergeCell ref="C3:F3"/>
    <mergeCell ref="R5:T5"/>
    <mergeCell ref="U5:W5"/>
    <mergeCell ref="X5:Z5"/>
    <mergeCell ref="R4:Z4"/>
    <mergeCell ref="AA4:AC5"/>
    <mergeCell ref="I4:K5"/>
    <mergeCell ref="L4:N5"/>
    <mergeCell ref="O4:Q5"/>
  </mergeCells>
  <phoneticPr fontId="2" type="noConversion"/>
  <conditionalFormatting sqref="S39:T4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신용카드등 소득공제액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2021-01-30T05:56:55Z</cp:lastPrinted>
  <dcterms:created xsi:type="dcterms:W3CDTF">2021-01-30T05:48:10Z</dcterms:created>
  <dcterms:modified xsi:type="dcterms:W3CDTF">2021-01-31T06:01:15Z</dcterms:modified>
</cp:coreProperties>
</file>