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0F0205EB-C2FB-49A7-A290-6A436304F540}" xr6:coauthVersionLast="47" xr6:coauthVersionMax="47" xr10:uidLastSave="{00000000-0000-0000-0000-000000000000}"/>
  <bookViews>
    <workbookView xWindow="-60" yWindow="-60" windowWidth="28920" windowHeight="16320" firstSheet="2" activeTab="4" xr2:uid="{00000000-000D-0000-FFFF-FFFF00000000}"/>
  </bookViews>
  <sheets>
    <sheet name="2020년 이후 납세성립(2020년귀속이후)" sheetId="7" r:id="rId1"/>
    <sheet name="2020년 1월지급분부터(2월10일납부 - 원천세 가산세" sheetId="12" r:id="rId2"/>
    <sheet name="신고납부2019년까지" sheetId="1" r:id="rId3"/>
    <sheet name="예정(중간예납)고지분" sheetId="6" r:id="rId4"/>
    <sheet name="원천세 가산세" sheetId="5" r:id="rId5"/>
    <sheet name="납부지연가산세" sheetId="8" r:id="rId6"/>
    <sheet name="원천징수납부 등 납부지연가산세" sheetId="9" r:id="rId7"/>
    <sheet name="가산세감면" sheetId="10" r:id="rId8"/>
  </sheets>
  <calcPr calcId="181029"/>
</workbook>
</file>

<file path=xl/calcChain.xml><?xml version="1.0" encoding="utf-8"?>
<calcChain xmlns="http://schemas.openxmlformats.org/spreadsheetml/2006/main">
  <c r="E65" i="12" l="1"/>
  <c r="E64" i="12"/>
  <c r="E66" i="12" s="1"/>
  <c r="E35" i="12"/>
  <c r="D36" i="12"/>
  <c r="E36" i="12"/>
  <c r="C36" i="12"/>
  <c r="D35" i="12"/>
  <c r="C35" i="12"/>
  <c r="E34" i="12"/>
  <c r="D34" i="12"/>
  <c r="C34" i="12"/>
  <c r="D2" i="12"/>
  <c r="D66" i="12"/>
  <c r="D65" i="12"/>
  <c r="D64" i="12"/>
  <c r="D58" i="12"/>
  <c r="E58" i="12"/>
  <c r="D56" i="12"/>
  <c r="A66" i="12"/>
  <c r="A65" i="12"/>
  <c r="C66" i="12"/>
  <c r="C65" i="12"/>
  <c r="C64" i="12"/>
  <c r="C49" i="12"/>
  <c r="C48" i="12"/>
  <c r="B49" i="12"/>
  <c r="B42" i="12"/>
  <c r="C39" i="12"/>
  <c r="D9" i="12"/>
  <c r="D29" i="12" s="1"/>
  <c r="F29" i="12"/>
  <c r="C12" i="12"/>
  <c r="C13" i="12" s="1"/>
  <c r="D12" i="12"/>
  <c r="B13" i="12"/>
  <c r="B17" i="12"/>
  <c r="H24" i="12"/>
  <c r="D24" i="7"/>
  <c r="F35" i="7"/>
  <c r="B31" i="7"/>
  <c r="D35" i="7"/>
  <c r="B35" i="7"/>
  <c r="D11" i="7"/>
  <c r="B11" i="7"/>
  <c r="D9" i="7"/>
  <c r="D8" i="7"/>
  <c r="D7" i="7"/>
  <c r="C7" i="7"/>
  <c r="L5" i="7"/>
  <c r="C29" i="12"/>
  <c r="D16" i="12"/>
  <c r="D20" i="12" s="1"/>
  <c r="C16" i="12"/>
  <c r="C17" i="12" s="1"/>
  <c r="C10" i="12"/>
  <c r="C24" i="12" s="1"/>
  <c r="C4" i="12"/>
  <c r="E3" i="12"/>
  <c r="E2" i="12"/>
  <c r="D13" i="12" l="1"/>
  <c r="D17" i="12"/>
  <c r="D25" i="12" s="1"/>
  <c r="D10" i="12"/>
  <c r="D24" i="12" s="1"/>
  <c r="D22" i="12"/>
  <c r="C20" i="12"/>
  <c r="C22" i="12" s="1"/>
  <c r="C25" i="12"/>
  <c r="C26" i="12" l="1"/>
  <c r="C31" i="12" s="1"/>
  <c r="C42" i="12" s="1"/>
  <c r="D26" i="12"/>
  <c r="D31" i="12" s="1"/>
  <c r="D42" i="12" s="1"/>
  <c r="D44" i="12" s="1"/>
  <c r="C44" i="12" l="1"/>
  <c r="B31" i="12"/>
  <c r="C27" i="12"/>
  <c r="D27" i="12"/>
  <c r="H29" i="6" l="1"/>
  <c r="E54" i="1"/>
  <c r="H61" i="1"/>
  <c r="H29" i="1"/>
  <c r="D29" i="6" l="1"/>
  <c r="D29" i="1"/>
  <c r="D30" i="1" s="1"/>
  <c r="E24" i="7"/>
  <c r="B27" i="7"/>
  <c r="M13" i="7"/>
  <c r="L13" i="7"/>
  <c r="J13" i="7"/>
  <c r="I13" i="7"/>
  <c r="M12" i="7"/>
  <c r="J12" i="7"/>
  <c r="I12" i="7"/>
  <c r="L11" i="7"/>
  <c r="L12" i="7" s="1"/>
  <c r="I11" i="7"/>
  <c r="N5" i="7"/>
  <c r="M5" i="7"/>
  <c r="J5" i="7"/>
  <c r="I5" i="7"/>
  <c r="N4" i="7"/>
  <c r="J4" i="7"/>
  <c r="C4" i="7"/>
  <c r="M3" i="7"/>
  <c r="I3" i="7"/>
  <c r="I4" i="7" s="1"/>
  <c r="D27" i="7" l="1"/>
  <c r="D28" i="7" s="1"/>
  <c r="D36" i="7" s="1"/>
  <c r="M4" i="7"/>
  <c r="L4" i="7"/>
  <c r="E31" i="7"/>
  <c r="D31" i="7" s="1"/>
  <c r="D32" i="7" s="1"/>
  <c r="B22" i="6"/>
  <c r="D22" i="6"/>
  <c r="M11" i="6"/>
  <c r="L11" i="6"/>
  <c r="J11" i="6"/>
  <c r="I11" i="6"/>
  <c r="M10" i="6"/>
  <c r="J10" i="6"/>
  <c r="I10" i="6"/>
  <c r="L9" i="6"/>
  <c r="L10" i="6" s="1"/>
  <c r="I9" i="6"/>
  <c r="M4" i="6"/>
  <c r="L4" i="6"/>
  <c r="J4" i="6"/>
  <c r="I4" i="6"/>
  <c r="M3" i="6"/>
  <c r="J3" i="6"/>
  <c r="I3" i="6"/>
  <c r="C3" i="6"/>
  <c r="L2" i="6"/>
  <c r="L3" i="6" s="1"/>
  <c r="I2" i="6"/>
  <c r="B25" i="6" l="1"/>
  <c r="B29" i="6" s="1"/>
  <c r="E29" i="6" s="1"/>
  <c r="F33" i="5"/>
  <c r="F31" i="5"/>
  <c r="C33" i="5"/>
  <c r="D25" i="5"/>
  <c r="C25" i="5"/>
  <c r="D24" i="5"/>
  <c r="C24" i="5"/>
  <c r="D16" i="5"/>
  <c r="D17" i="5" s="1"/>
  <c r="C16" i="5"/>
  <c r="C20" i="5" s="1"/>
  <c r="C17" i="5"/>
  <c r="C12" i="5"/>
  <c r="C13" i="5" s="1"/>
  <c r="D29" i="5"/>
  <c r="C29" i="5"/>
  <c r="C4" i="5"/>
  <c r="D12" i="5"/>
  <c r="D13" i="5" s="1"/>
  <c r="D10" i="5"/>
  <c r="B17" i="5"/>
  <c r="B13" i="5"/>
  <c r="C10" i="5"/>
  <c r="E3" i="5"/>
  <c r="E2" i="5"/>
  <c r="D20" i="5" l="1"/>
  <c r="D26" i="5"/>
  <c r="C26" i="5"/>
  <c r="C27" i="5" s="1"/>
  <c r="D22" i="5"/>
  <c r="C22" i="5"/>
  <c r="D31" i="5" l="1"/>
  <c r="D33" i="5" s="1"/>
  <c r="D27" i="5"/>
  <c r="C31" i="5"/>
  <c r="M11" i="1" l="1"/>
  <c r="L11" i="1"/>
  <c r="M10" i="1"/>
  <c r="L10" i="1"/>
  <c r="L9" i="1"/>
  <c r="J11" i="1"/>
  <c r="I11" i="1"/>
  <c r="J10" i="1"/>
  <c r="I9" i="1"/>
  <c r="I10" i="1" s="1"/>
  <c r="L2" i="1"/>
  <c r="E29" i="1" s="1"/>
  <c r="I2" i="1"/>
  <c r="M4" i="1"/>
  <c r="L4" i="1"/>
  <c r="M3" i="1"/>
  <c r="B51" i="1"/>
  <c r="C51" i="1" s="1"/>
  <c r="D35" i="1"/>
  <c r="J43" i="1"/>
  <c r="E12" i="1"/>
  <c r="E8" i="1"/>
  <c r="B49" i="1"/>
  <c r="B43" i="1"/>
  <c r="B42" i="1"/>
  <c r="B39" i="1"/>
  <c r="B40" i="1" s="1"/>
  <c r="D40" i="1" s="1"/>
  <c r="B38" i="1"/>
  <c r="C36" i="1"/>
  <c r="C35" i="1"/>
  <c r="B12" i="1"/>
  <c r="D12" i="1" s="1"/>
  <c r="B11" i="1"/>
  <c r="B10" i="1"/>
  <c r="B6" i="1"/>
  <c r="B7" i="1"/>
  <c r="B29" i="1"/>
  <c r="B25" i="1"/>
  <c r="D16" i="1"/>
  <c r="B22" i="1"/>
  <c r="J3" i="1"/>
  <c r="I3" i="1"/>
  <c r="J4" i="1"/>
  <c r="I4" i="1"/>
  <c r="B17" i="1"/>
  <c r="C4" i="1"/>
  <c r="C3" i="1"/>
  <c r="B54" i="1" l="1"/>
  <c r="C54" i="1" s="1"/>
  <c r="B44" i="1"/>
  <c r="D44" i="1" s="1"/>
  <c r="D49" i="1" s="1"/>
  <c r="D51" i="1" s="1"/>
  <c r="E22" i="6"/>
  <c r="D25" i="6"/>
  <c r="D26" i="6" s="1"/>
  <c r="D30" i="6" s="1"/>
  <c r="L3" i="1"/>
  <c r="D48" i="1"/>
  <c r="B8" i="1"/>
  <c r="D8" i="1" s="1"/>
  <c r="D17" i="1" s="1"/>
  <c r="B57" i="1" l="1"/>
  <c r="C57" i="1" s="1"/>
  <c r="B46" i="1"/>
  <c r="D22" i="1"/>
  <c r="D19" i="1"/>
  <c r="D54" i="1"/>
  <c r="B14" i="1"/>
  <c r="B61" i="1" l="1"/>
  <c r="D61" i="1" s="1"/>
  <c r="D57" i="1"/>
  <c r="D58" i="1" s="1"/>
  <c r="D25" i="1"/>
  <c r="D26" i="1" s="1"/>
  <c r="E22" i="1"/>
  <c r="E61" i="1" l="1"/>
  <c r="C61" i="1"/>
  <c r="D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1" authorId="0" shapeId="0" xr:uid="{71F8EDF4-2F5C-41F2-A12F-8CF6D361A881}">
      <text>
        <r>
          <rPr>
            <b/>
            <sz val="9"/>
            <color indexed="81"/>
            <rFont val="돋움"/>
            <family val="3"/>
            <charset val="129"/>
          </rPr>
          <t>국세기본법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납세의무의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성립시기</t>
        </r>
        <r>
          <rPr>
            <b/>
            <sz val="9"/>
            <color indexed="81"/>
            <rFont val="Tahoma"/>
            <family val="2"/>
          </rPr>
          <t xml:space="preserve"> ]</t>
        </r>
      </text>
    </comment>
    <comment ref="D8" authorId="0" shapeId="0" xr:uid="{BB7336C7-1AC0-43FF-A8F2-BF13702C4E60}">
      <text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호ㆍ제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5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만분의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.(2019.02.12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27" authorId="0" shapeId="0" xr:uid="{35550AE4-2EE8-476A-8E84-99F24106F9BC}">
      <text>
        <r>
          <rPr>
            <b/>
            <sz val="9"/>
            <color indexed="81"/>
            <rFont val="돋움"/>
            <family val="3"/>
            <charset val="129"/>
          </rPr>
          <t>국세기본법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납부지연가산세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제목개정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연대납세의무자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납세자를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갈음하여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보증인을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법정납부기한까지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「인지세법」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인지세는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중간예납ㆍ예정신고납부ㆍ중간신고납부를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과소납부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환급받아야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많이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초과환급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.(2019.12.31.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  3. </t>
        </r>
        <r>
          <rPr>
            <b/>
            <sz val="9"/>
            <color indexed="81"/>
            <rFont val="돋움"/>
            <family val="3"/>
            <charset val="129"/>
          </rPr>
          <t>법정납부기한까지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세법에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과소납부분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 ×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3(</t>
        </r>
        <r>
          <rPr>
            <b/>
            <sz val="9"/>
            <color indexed="81"/>
            <rFont val="돋움"/>
            <family val="3"/>
            <charset val="129"/>
          </rPr>
          <t>국세를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완납하지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한정한다</t>
        </r>
        <r>
          <rPr>
            <b/>
            <sz val="9"/>
            <color indexed="81"/>
            <rFont val="Tahoma"/>
            <family val="2"/>
          </rPr>
          <t xml:space="preserve">)(2019.12.31.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31" authorId="0" shapeId="0" xr:uid="{E9F6CF19-1102-4E45-97EB-81A9AFF9E29C}">
      <text>
        <r>
          <rPr>
            <b/>
            <sz val="9"/>
            <color indexed="81"/>
            <rFont val="돋움"/>
            <family val="3"/>
            <charset val="129"/>
          </rPr>
          <t>국세기본법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납부지연가산세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제목개정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연대납세의무자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납세자를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갈음하여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보증인을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법정납부기한까지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「인지세법」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인지세는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중간예납ㆍ예정신고납부ㆍ중간신고납부를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과소납부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환급받아야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많이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초과환급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.(2019.12.31.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  1. </t>
        </r>
        <r>
          <rPr>
            <b/>
            <sz val="9"/>
            <color indexed="81"/>
            <rFont val="돋움"/>
            <family val="3"/>
            <charset val="129"/>
          </rPr>
          <t>납부하지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과소납부분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세법에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법정납부기한의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납부일까지의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납세고지일부터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금융회사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연체대출금에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  2. </t>
        </r>
        <r>
          <rPr>
            <b/>
            <sz val="9"/>
            <color indexed="81"/>
            <rFont val="돋움"/>
            <family val="3"/>
            <charset val="129"/>
          </rPr>
          <t>초과환급받은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세법에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이자상당가산액이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환급받은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납부일까지의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납세고지일부터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금융회사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연체대출금에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⑦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납부일까지의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「국세징수법」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17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체납액의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징수를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징수유예기간은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년으로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.(2018.12.31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⑧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납세고지서별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세목별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세액이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 xml:space="preserve">.(2019.12.31.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35" authorId="0" shapeId="0" xr:uid="{CF032AEA-B014-4EBA-BB87-579E725E8E04}">
      <text>
        <r>
          <rPr>
            <b/>
            <sz val="9"/>
            <color indexed="81"/>
            <rFont val="돋움"/>
            <family val="3"/>
            <charset val="129"/>
          </rPr>
          <t>국세기본법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납부지연가산세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제목개정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연대납세의무자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납세자를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갈음하여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납세의무자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보증인을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법정납부기한까지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「인지세법」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인지세는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중간예납ㆍ예정신고납부ㆍ중간신고납부를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과소납부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환급받아야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많이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초과환급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.(2019.12.31.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1. </t>
        </r>
        <r>
          <rPr>
            <b/>
            <sz val="9"/>
            <color indexed="81"/>
            <rFont val="돋움"/>
            <family val="3"/>
            <charset val="129"/>
          </rPr>
          <t>납부하지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과소납부분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세법에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법정납부기한의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납부일까지의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납세고지일부터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금융회사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연체대출금에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  2. </t>
        </r>
        <r>
          <rPr>
            <b/>
            <sz val="9"/>
            <color indexed="81"/>
            <rFont val="돋움"/>
            <family val="3"/>
            <charset val="129"/>
          </rPr>
          <t>초과환급받은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세법에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이자상당가산액이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환급받은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납부일까지의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납세고지일부터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 × </t>
        </r>
        <r>
          <rPr>
            <b/>
            <sz val="9"/>
            <color indexed="81"/>
            <rFont val="돋움"/>
            <family val="3"/>
            <charset val="129"/>
          </rPr>
          <t>금융회사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연체대출금에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(2018.12.31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E35" authorId="0" shapeId="0" xr:uid="{D244C37B-DC04-4BE2-B999-65DEC290D860}">
      <text>
        <r>
          <rPr>
            <b/>
            <sz val="9"/>
            <color indexed="81"/>
            <rFont val="돋움"/>
            <family val="3"/>
            <charset val="129"/>
          </rPr>
          <t>국세기본법시행령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4 [ </t>
        </r>
        <r>
          <rPr>
            <b/>
            <sz val="9"/>
            <color indexed="81"/>
            <rFont val="돋움"/>
            <family val="3"/>
            <charset val="129"/>
          </rPr>
          <t>납부지연가산세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원천징수납부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불성실가산세의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 xml:space="preserve">(2019.02.12 </t>
        </r>
        <r>
          <rPr>
            <b/>
            <sz val="9"/>
            <color indexed="81"/>
            <rFont val="돋움"/>
            <family val="3"/>
            <charset val="129"/>
          </rPr>
          <t>제목개정</t>
        </r>
        <r>
          <rPr>
            <b/>
            <sz val="9"/>
            <color indexed="81"/>
            <rFont val="Tahoma"/>
            <family val="2"/>
          </rPr>
          <t xml:space="preserve">) ]
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호ㆍ제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5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만분의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.(2019.02.12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F35" authorId="0" shapeId="0" xr:uid="{5E46AA81-433C-4650-857E-A89578F462D9}">
      <text>
        <r>
          <rPr>
            <b/>
            <sz val="9"/>
            <color indexed="81"/>
            <rFont val="돋움"/>
            <family val="3"/>
            <charset val="129"/>
          </rPr>
          <t>납세고지일부터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납세고지서에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납부기한까지의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</text>
    </comment>
  </commentList>
</comments>
</file>

<file path=xl/sharedStrings.xml><?xml version="1.0" encoding="utf-8"?>
<sst xmlns="http://schemas.openxmlformats.org/spreadsheetml/2006/main" count="417" uniqueCount="323">
  <si>
    <t>납부불성실</t>
    <phoneticPr fontId="4" type="noConversion"/>
  </si>
  <si>
    <t>납부기한</t>
    <phoneticPr fontId="4" type="noConversion"/>
  </si>
  <si>
    <t>가산금</t>
    <phoneticPr fontId="4" type="noConversion"/>
  </si>
  <si>
    <t>세무서고지일</t>
    <phoneticPr fontId="4" type="noConversion"/>
  </si>
  <si>
    <t>또는 자진 납부일</t>
    <phoneticPr fontId="4" type="noConversion"/>
  </si>
  <si>
    <t>시작</t>
    <phoneticPr fontId="4" type="noConversion"/>
  </si>
  <si>
    <t>종료</t>
    <phoneticPr fontId="4" type="noConversion"/>
  </si>
  <si>
    <t>일반무신고가산세</t>
    <phoneticPr fontId="4" type="noConversion"/>
  </si>
  <si>
    <t>금액</t>
    <phoneticPr fontId="4" type="noConversion"/>
  </si>
  <si>
    <t>납부기한경과 1개월 이내</t>
    <phoneticPr fontId="4" type="noConversion"/>
  </si>
  <si>
    <t>납부기한경과 매월</t>
    <phoneticPr fontId="4" type="noConversion"/>
  </si>
  <si>
    <t>계 ①</t>
    <phoneticPr fontId="4" type="noConversion"/>
  </si>
  <si>
    <t>중가산금②</t>
    <phoneticPr fontId="4" type="noConversion"/>
  </si>
  <si>
    <t>계 (①+②)</t>
    <phoneticPr fontId="4" type="noConversion"/>
  </si>
  <si>
    <t>고지전</t>
    <phoneticPr fontId="4" type="noConversion"/>
  </si>
  <si>
    <t>종합소득세</t>
    <phoneticPr fontId="4" type="noConversion"/>
  </si>
  <si>
    <t>산출세액</t>
    <phoneticPr fontId="4" type="noConversion"/>
  </si>
  <si>
    <t>가산세</t>
    <phoneticPr fontId="4" type="noConversion"/>
  </si>
  <si>
    <t>각종공제세액</t>
    <phoneticPr fontId="4" type="noConversion"/>
  </si>
  <si>
    <t>납기내 고지세액</t>
    <phoneticPr fontId="4" type="noConversion"/>
  </si>
  <si>
    <t>다만, 2019년 1월 1일 이후 가산하여 징수하는 가산금에 대하여는 종전의 제21조제2항 본문 중 “1천분의 12”를 “1만분의 75”로 한다.</t>
    <phoneticPr fontId="4" type="noConversion"/>
  </si>
  <si>
    <t>정기적인 신고에 대해서는 세무서에서 다음 다음달 초에 고지함.</t>
    <phoneticPr fontId="4" type="noConversion"/>
  </si>
  <si>
    <t>지방소득세 납부불성실가산세</t>
    <phoneticPr fontId="4" type="noConversion"/>
  </si>
  <si>
    <t>100만원이상</t>
    <phoneticPr fontId="4" type="noConversion"/>
  </si>
  <si>
    <t>http://cafe.daum.net/transtax/6zzM/90</t>
    <phoneticPr fontId="4" type="noConversion"/>
  </si>
  <si>
    <t>60개월</t>
    <phoneticPr fontId="4" type="noConversion"/>
  </si>
  <si>
    <t>30만원이상</t>
    <phoneticPr fontId="4" type="noConversion"/>
  </si>
  <si>
    <t>지방소득세 중가산금</t>
    <phoneticPr fontId="4" type="noConversion"/>
  </si>
  <si>
    <t>국세 납부불성실가산세</t>
    <phoneticPr fontId="4" type="noConversion"/>
  </si>
  <si>
    <t>국세 중가산금</t>
    <phoneticPr fontId="4" type="noConversion"/>
  </si>
  <si>
    <t>지방세징수법 제31조 [ 중가산금 ]</t>
    <phoneticPr fontId="4" type="noConversion"/>
  </si>
  <si>
    <t>지방세징수법 제30조 [ 가산금 ]</t>
    <phoneticPr fontId="4" type="noConversion"/>
  </si>
  <si>
    <t>정기신고일</t>
    <phoneticPr fontId="12" type="noConversion"/>
  </si>
  <si>
    <t>수정신고일</t>
    <phoneticPr fontId="12" type="noConversion"/>
  </si>
  <si>
    <t>납부일 오늘부터 +일수</t>
    <phoneticPr fontId="12" type="noConversion"/>
  </si>
  <si>
    <t>전체일수</t>
    <phoneticPr fontId="12" type="noConversion"/>
  </si>
  <si>
    <t>구분</t>
    <phoneticPr fontId="12" type="noConversion"/>
  </si>
  <si>
    <t>국세(원천세)</t>
    <phoneticPr fontId="12" type="noConversion"/>
  </si>
  <si>
    <t>지방세(원천세)</t>
    <phoneticPr fontId="12" type="noConversion"/>
  </si>
  <si>
    <t>본세</t>
    <phoneticPr fontId="12" type="noConversion"/>
  </si>
  <si>
    <t>일수1</t>
    <phoneticPr fontId="12" type="noConversion"/>
  </si>
  <si>
    <t>일수2</t>
    <phoneticPr fontId="12" type="noConversion"/>
  </si>
  <si>
    <t>납부불성실</t>
    <phoneticPr fontId="12" type="noConversion"/>
  </si>
  <si>
    <t>합계</t>
    <phoneticPr fontId="12" type="noConversion"/>
  </si>
  <si>
    <t>비율</t>
    <phoneticPr fontId="12" type="noConversion"/>
  </si>
  <si>
    <t>10%한도</t>
    <phoneticPr fontId="12" type="noConversion"/>
  </si>
  <si>
    <t>최종가산세</t>
    <phoneticPr fontId="12" type="noConversion"/>
  </si>
  <si>
    <t>일수계</t>
    <phoneticPr fontId="4" type="noConversion"/>
  </si>
  <si>
    <t>부담세액</t>
    <phoneticPr fontId="12" type="noConversion"/>
  </si>
  <si>
    <t>예정고지납부기한</t>
    <phoneticPr fontId="4" type="noConversion"/>
  </si>
  <si>
    <t>일수</t>
    <phoneticPr fontId="4" type="noConversion"/>
  </si>
  <si>
    <t>납부기한경과 납부일수</t>
    <phoneticPr fontId="4" type="noConversion"/>
  </si>
  <si>
    <t>일수</t>
    <phoneticPr fontId="4" type="noConversion"/>
  </si>
  <si>
    <t>중가산금② or 납부지연가산세</t>
    <phoneticPr fontId="4" type="noConversion"/>
  </si>
  <si>
    <t>부가가치세 정기납부기한</t>
    <phoneticPr fontId="4" type="noConversion"/>
  </si>
  <si>
    <t>2020.1.1. 이후 납세의무 성립분</t>
    <phoneticPr fontId="4" type="noConversion"/>
  </si>
  <si>
    <t>국세기본법 제47조의 4 [ 납부지연가산세(2018.12.31 제목개정) ]</t>
    <phoneticPr fontId="4" type="noConversion"/>
  </si>
  <si>
    <t xml:space="preserve">① 납세의무자(연대납세의무자, 납세자를 갈음하여 납부할 의무가 생긴 제2차 납세의무자 및 보증인을 포함한다)가 </t>
    <phoneticPr fontId="4" type="noConversion"/>
  </si>
  <si>
    <t xml:space="preserve">법정납부기한까지 국세(「인지세법」 제8조 제1항에 따른 인지세는 제외한다)의 납부(중간예납ㆍ예정신고납부ㆍ중간신고납부를 포함한다)를 하지 아니하거나 </t>
    <phoneticPr fontId="4" type="noConversion"/>
  </si>
  <si>
    <t>납부하여야 할 세액보다 적게 납부(이하 "과소납부"라 한다)하거나 환급받아야 할 세액보다 많이 환급(이하 "초과환급"이라 한다)받은 경우에는</t>
    <phoneticPr fontId="4" type="noConversion"/>
  </si>
  <si>
    <t xml:space="preserve">다음 각 호의 금액을 합한 금액을 가산세로 한다.(2019.12.31 개정) </t>
    <phoneticPr fontId="4" type="noConversion"/>
  </si>
  <si>
    <t>제20조 【납부지연가산세에 관한 경과조치】</t>
    <phoneticPr fontId="4" type="noConversion"/>
  </si>
  <si>
    <t>이 법 시행 전에 납세의무가 성립된 분에 대해서는 법률 제16097호 국세기본법 일부개정법률 제47조의4 제1항 및 제8항의 개정규정에도 불구하고 종전의 규정에 따른다.</t>
    <phoneticPr fontId="4" type="noConversion"/>
  </si>
  <si>
    <t>제21조 【원천징수납부 등 불성실가산세에 관한 경과조치】</t>
    <phoneticPr fontId="4" type="noConversion"/>
  </si>
  <si>
    <t xml:space="preserve">이 법 시행 전에 납세의무가 성립된 분에 대해서는 제47조의5 제1항, 제4항 및 제5항의 개정규정에도 불구하고 종전의 규정에 따른다. </t>
    <phoneticPr fontId="4" type="noConversion"/>
  </si>
  <si>
    <t>이 법 시행 전에 종전의 제38조부터 제41조까지의 규정에 따른 주된 납세자의 납세의무가 성립한 경우의 제2차 납세의무자에 대해서도 또한 같다.</t>
    <phoneticPr fontId="4" type="noConversion"/>
  </si>
  <si>
    <t>국세기본법부칙 [ 법률 제16097호 ] 2018.12.31.</t>
    <phoneticPr fontId="4" type="noConversion"/>
  </si>
  <si>
    <t>제1조 【시행일】</t>
    <phoneticPr fontId="4" type="noConversion"/>
  </si>
  <si>
    <t>▣ 2019.12.31 법률 제16841호</t>
    <phoneticPr fontId="4" type="noConversion"/>
  </si>
  <si>
    <t>이 법은 2019년 1월 1일부터 시행한다.</t>
    <phoneticPr fontId="4" type="noConversion"/>
  </si>
  <si>
    <t xml:space="preserve">다만, 제2조 제4호·제5호·제8호·제12호, 제5조 제3항, 제23조, 제24조 제1항·제3항, 제25조 제1항·제4항, 제25조 제2항·제3항(가산금과 관련된 개정사항에 한정한다), </t>
    <phoneticPr fontId="4" type="noConversion"/>
  </si>
  <si>
    <t xml:space="preserve"> 제25조의2, 제26조, 제32조부터 제34조까지, 제35조 제1항·제2항, 제35조 제4항(가산금과 관련된 개정사항에 한정한다), </t>
    <phoneticPr fontId="4" type="noConversion"/>
  </si>
  <si>
    <t xml:space="preserve"> 제36조부터 제42조까지, 제47조의4, 제51조 및 제83조의 개정규정은 2020년 1월 1일(「농어촌특별세법」 제5조제1항제1호·제6호 및 제7호에 따른</t>
    <phoneticPr fontId="4" type="noConversion"/>
  </si>
  <si>
    <t xml:space="preserve">취득세ㆍ등록면허세 또는 레저세를 본세로 하는 농어촌특별세에 대한 제47조의4의 개정규정은 2022년 2월 3일)부터 시행하고, </t>
    <phoneticPr fontId="4" type="noConversion"/>
  </si>
  <si>
    <t>법률 제9911호 국세기본법 일부개정법률 제21조의 개정규정은 법률 제9346호 교통·에너지·환경세법 폐지법률의 시행일부터 시행한다.(2019.12.31 단서개정)</t>
    <phoneticPr fontId="4" type="noConversion"/>
  </si>
  <si>
    <t>▣ 2018.12.31 법률 제16097호</t>
    <phoneticPr fontId="4" type="noConversion"/>
  </si>
  <si>
    <t xml:space="preserve">제25조의2, 제26조, 제32조부터 제34조까지, 제35조 제1항·제2항, 제35조 제4항(가산금과 관련된 개정사항에 한정한다), </t>
    <phoneticPr fontId="4" type="noConversion"/>
  </si>
  <si>
    <t xml:space="preserve">제36조부터 제42조까지, 제47조의4, 제51조 및 제83조의 개정규정은 2020년 1월 1일부터 시행하고, </t>
    <phoneticPr fontId="4" type="noConversion"/>
  </si>
  <si>
    <t>법률 제9911호 국세기본법 일부개정법률 제21조의 개정규정은 법률 제9346호 교통·에너지·환경세법 폐지법률의 시행일부터 시행한다.</t>
    <phoneticPr fontId="4" type="noConversion"/>
  </si>
  <si>
    <t>② 제1항은 「부가가치세법」에 따른 사업자가 아닌 자가 부가가치세액을 환급받은 경우에도 적용한다.(2011.12.31 개정)</t>
    <phoneticPr fontId="4" type="noConversion"/>
  </si>
  <si>
    <t>1. 「부가가치세법」에 따른 사업자가 같은 법에 따른 납부기한까지 어느 사업장에 대한 부가가치세를 다른 사업장에 대한 부가가치세에 더하여 신고납부한 경우(2014.12.23 신설)</t>
    <phoneticPr fontId="4" type="noConversion"/>
  </si>
  <si>
    <t>2. 「부가가치세법」 제45조 제3항 단서에 따른 대손세액에 상당하는 부분(2014.12.23 신설)</t>
    <phoneticPr fontId="4" type="noConversion"/>
  </si>
  <si>
    <t>4. 「법인세법」 제66조에 따라 법인세 과세표준 및 세액의 결정ㆍ경정으로 「상속세 및 증여세법」 제45조의3부터 제45조의5까지의 규정에 따른 증여의제이익이 변경되는 경우</t>
    <phoneticPr fontId="4" type="noConversion"/>
  </si>
  <si>
    <t>(부정행위로 인하여 법인세의 과세표준 및 세액을 결정·경정하는 경우는 제외한다)(2015.12.15 개정)</t>
    <phoneticPr fontId="4" type="noConversion"/>
  </si>
  <si>
    <t>5. 제4호에 해당하는 사유로 「소득세법」 제88조 제2호에 따른 주식등의 취득가액이 감소된 경우(2017.12.19 신설)</t>
    <phoneticPr fontId="4" type="noConversion"/>
  </si>
  <si>
    <t>제47조의4 제3항 제5호의 개정규정은 2018.01.01 이후 양도소득세를 수정신고하거나 결정 또는 경정하는 분부터 적용함 [2017.12.19 법률 제15220호 부칙 제4조③]</t>
    <phoneticPr fontId="4" type="noConversion"/>
  </si>
  <si>
    <t xml:space="preserve">④ 제47조의5에 따른 가산세가 부과되는 부분에 대해서는 국세의 납부와 관련하여 제1항에 따른 가산세를 부과하지 아니한다.(2018.12.31 개정) </t>
    <phoneticPr fontId="4" type="noConversion"/>
  </si>
  <si>
    <t xml:space="preserve">⑤ 중간예납, 예정신고납부 및 중간신고납부와 관련하여 제1항에 따른 가산세가 부과되는 부분에 대해서는 확정신고납부와 관련하여 제1항에 따른 가산세를 부과하지 아니한다.(2018.12.31 개정) </t>
    <phoneticPr fontId="4" type="noConversion"/>
  </si>
  <si>
    <t xml:space="preserve">⑥ 국세(소득세, 법인세 및 부가가치세만 해당한다)를 과세기간을 잘못 적용하여 신고납부한 경우에는 제1항을 적용할 때 </t>
    <phoneticPr fontId="4" type="noConversion"/>
  </si>
  <si>
    <t xml:space="preserve">실제 신고납부한 날에 실제 신고납부한 금액의 범위에서 당초 신고납부하였어야 할 과세기간에 대한 국세를 자진납부한 것으로 본다. </t>
    <phoneticPr fontId="4" type="noConversion"/>
  </si>
  <si>
    <t>다만, 해당 국세의 신고가 제47조의2에 따른 신고 중 부정행위로 무신고한 경우 또는 제47조의3에 따른 신고 중 부정행위로 과소신고ㆍ초과신고 한 경우에는 그러하지 아니하다.(2016.12.20 단서개정)</t>
    <phoneticPr fontId="4" type="noConversion"/>
  </si>
  <si>
    <t>과소납부한 경우에는 납부하지 아니한 세액 또는 과소납부분 세액의 100분의 50</t>
    <phoneticPr fontId="4" type="noConversion"/>
  </si>
  <si>
    <t>이 법 시행 전에 납세의무가 성립된 분에 대해서는 제47조의5 제1항, 제4항 및 제5항의 개정규정에도 불구하고 종전의 규정에 따른다.</t>
    <phoneticPr fontId="4" type="noConversion"/>
  </si>
  <si>
    <t>이 법은 2020년 1월 1일부터 시행한다. 다만, 법률 제9911호 국세기본법 일부개정법률 제21조 제2항 제11호의 개정규정은 법률 제9346호 교통·에너지·환경세법 폐지법률의 시행일부터 시행한다.</t>
    <phoneticPr fontId="4" type="noConversion"/>
  </si>
  <si>
    <t>국세기본법부칙 [ 법률 제16841호 ] 2019.12.31.</t>
    <phoneticPr fontId="4" type="noConversion"/>
  </si>
  <si>
    <t>1. 납부하지 아니한 세액 또는 과소납부분 세액의 100분의 3에 상당하는 금액(2011.12.31 개정)</t>
    <phoneticPr fontId="4" type="noConversion"/>
  </si>
  <si>
    <t>국세기본법시행령 제27조의 4 [ 납부지연가산세 및 원천징수납부 등 불성실가산세의 이자율(2019.02.12 제목개정) ]</t>
    <phoneticPr fontId="4" type="noConversion"/>
  </si>
  <si>
    <t>국세기본법시행령부칙 [ 대통령령 제29534호 ]</t>
    <phoneticPr fontId="4" type="noConversion"/>
  </si>
  <si>
    <t>이 영은 공포한 날부터 시행한다. 다만, 제16조, 제23조 제1항, 제27조의4(조 제목 부분에 한정한다), 제31조 제1항ㆍ제2항, 제37조 제4항 제1호 및 제43조의4 제2항의 개정규정은 2020년 1월 1일부터 시행한다.</t>
    <phoneticPr fontId="4" type="noConversion"/>
  </si>
  <si>
    <t>② 제1항에서 “국세를 징수하여 납부할 의무”란 다음 각 호의 어느 하나에 해당하는 의무를 말한다.(2011.12.31 개정)</t>
    <phoneticPr fontId="4" type="noConversion"/>
  </si>
  <si>
    <t>1.「소득세법」 또는 「법인세법」에 따라 소득세 또는 법인세를 원천징수하여 납부할 의무(2011.12.31 개정)</t>
    <phoneticPr fontId="4" type="noConversion"/>
  </si>
  <si>
    <t>2. 「소득세법」 제149조에 따른 납세조합이 같은 법 제150조부터 제152조까지의 규정에 따라 소득세를 징수하여 납부할 의무(2011.12.31 개정)</t>
    <phoneticPr fontId="4" type="noConversion"/>
  </si>
  <si>
    <t>3.「부가가치세법」 제52조에 따라 용역등을 공급받는 자가 부가가치세를 징수하여 납부할 의무(2013.06.07 개정)</t>
    <phoneticPr fontId="4" type="noConversion"/>
  </si>
  <si>
    <t>③ 제1항에도 불구하고 다음 각 호의 어느 하나에 해당하는 경우에는 제1항을 적용하지 아니한다.(2011.12.31 개정)</t>
    <phoneticPr fontId="4" type="noConversion"/>
  </si>
  <si>
    <t>1.「소득세법」에 따라 소득세를 원천징수하여야 할 자가 우리나라에 주둔하는 미군인 경우(2011.12.31 개정)</t>
    <phoneticPr fontId="4" type="noConversion"/>
  </si>
  <si>
    <t>2.「소득세법」에 따라 소득세를 원천징수하여야 할 자가 같은 법 제20조의3 제1항 제1호 또는 같은 법 제22조 제1항 제1호의 소득을 지급하는 경우(2013.01.01 개정)</t>
    <phoneticPr fontId="4" type="noConversion"/>
  </si>
  <si>
    <t>3.「소득세법」 또는 「법인세법」에 따라 소득세 또는 법인세를 원천징수하여야 할 자가 국가, 지방자치단체 또는 지방자치단체조합인 경우(「소득세법」 제128조의2에 해당하는 경우는 제외한다)(2011.12.31 개정)</t>
    <phoneticPr fontId="4" type="noConversion"/>
  </si>
  <si>
    <r>
      <t xml:space="preserve">법 제47조의4 제1항 제1호ㆍ제2호 및 제47조의5 제1항 제2호에서 "대통령령으로 정하는 이자율"이란 </t>
    </r>
    <r>
      <rPr>
        <b/>
        <sz val="11"/>
        <color theme="9" tint="-0.499984740745262"/>
        <rFont val="굴림"/>
        <family val="3"/>
        <charset val="129"/>
      </rPr>
      <t>1일 10만분의 25의 율</t>
    </r>
    <r>
      <rPr>
        <sz val="11"/>
        <color theme="1"/>
        <rFont val="굴림"/>
        <family val="2"/>
        <charset val="129"/>
      </rPr>
      <t xml:space="preserve">을 말한다.(2019.02.12 개정) </t>
    </r>
    <phoneticPr fontId="4" type="noConversion"/>
  </si>
  <si>
    <t>국세기본법 제48조 [ 가산세 감면 등(2010.01.01 제목개정) ]</t>
    <phoneticPr fontId="4" type="noConversion"/>
  </si>
  <si>
    <t xml:space="preserve">① 정부는 이 법 또는 세법에 따라 가산세를 부과하는 경우 그 부과의 원인이 되는 사유가 다음 각 호의 어느 하나에 해당하는 경우에는 해당 가산세를 부과하지 아니한다.(2018.12.31 개정)
</t>
    <phoneticPr fontId="4" type="noConversion"/>
  </si>
  <si>
    <t>2. 납세자가 의무를 이행하지 아니한 데에 정당한 사유가 있는 경우(2018.12.31 개정)</t>
    <phoneticPr fontId="4" type="noConversion"/>
  </si>
  <si>
    <t>3. 그 밖에 제1호 및 제2호와 유사한 경우로서 대통령령으로 정하는 경우(2018.12.31 개정)</t>
    <phoneticPr fontId="4" type="noConversion"/>
  </si>
  <si>
    <t>국세기본법시행령 제28조 [ 가산세의 감면 등(2019.02.12 제목개정) ]</t>
    <phoneticPr fontId="4" type="noConversion"/>
  </si>
  <si>
    <t xml:space="preserve">① 법 제48조 제1항 제3호에서 "대통령령으로 정하는 경우"란 다음 각 호의 어느 하나에 해당하는 경우를 말한다.(2019.02.12 신설) </t>
    <phoneticPr fontId="4" type="noConversion"/>
  </si>
  <si>
    <t>1. 제10조에 따른 세법해석에 관한 질의ㆍ회신 등에 따라 신고ㆍ납부하였으나 이후 다른 과세처분을 하는 경우(2019.02.12 신설)</t>
    <phoneticPr fontId="4" type="noConversion"/>
  </si>
  <si>
    <t>2. 「공익사업을 위한 토지 등의 취득 및 보상에 관한 법률」에 따른 토지등의 수용 또는 사용, 「국토의 계획 및 이용에 관한 법률」에 따른 도시·군계획 또는 그 밖의 법령 등으로 인해 세법상 의무를 이행할 수 없게 된 경우(2019.02.12 신설)</t>
    <phoneticPr fontId="4" type="noConversion"/>
  </si>
  <si>
    <t>② 법 제48조 제1항 또는 제2항에 따라 가산세의 감면 등을 받으려는 자는 다음 각 호의 사항을 적은 신청서를 관할 세무서장(세관장 또는 지방자치단체의 장을 포함한다. 이하 이 조에서 같다)에게 제출하여야 한다.(2019.02.12 항번개정)</t>
    <phoneticPr fontId="4" type="noConversion"/>
  </si>
  <si>
    <t>1. 감면을 받으려는 가산세와 관계되는 국세의 세목 및 부과연도와 가산세의 종류 및 금액(2010.02.18 개정)</t>
    <phoneticPr fontId="4" type="noConversion"/>
  </si>
  <si>
    <t>2. 해당 의무를 이행할 수 없었던 사유(법 제48조 제1항의 경우만 해당한다)(2010.02.18 개정)</t>
    <phoneticPr fontId="4" type="noConversion"/>
  </si>
  <si>
    <t>③ 제2항의 경우에 같은 항 제2호의 사유를 증명할 수 있는 서류가 있을 때에는 이를 첨부하여야 한다.(2019.02.12 개정)</t>
    <phoneticPr fontId="4" type="noConversion"/>
  </si>
  <si>
    <t>④ 관할 세무서장은 제2항에 따른 신청서를 제출받은 경우에는 그 승인여부를 통지하여야 한다.(2019.02.12 개정)</t>
    <phoneticPr fontId="4" type="noConversion"/>
  </si>
  <si>
    <t>② 정부는 다음 각 호의 어느 하나에 해당하는 경우에는 이 법 또는 세법에 따른 해당 가산세액에서 다음 각 호에서 정하는 금액을 감면한다.(2010.12.27 개정)</t>
    <phoneticPr fontId="4" type="noConversion"/>
  </si>
  <si>
    <t>가. 법정신고기한이 지난 후 1개월 이내에 수정신고한 경우: 해당 가산세액의 100분의 90에 상당하는 금액(2019.12.31 개정)</t>
    <phoneticPr fontId="4" type="noConversion"/>
  </si>
  <si>
    <t xml:space="preserve">1. 과세표준신고서를 법정신고기한까지 제출한 자가 법정신고기한이 지난 후 제45조에 따라 수정신고한 경우(제47조의3에 따른 가산세만 해당하며, </t>
    <phoneticPr fontId="4" type="noConversion"/>
  </si>
  <si>
    <t>과세표준과 세액을 경정할 것을 미리 알고 과세표준수정신고서를 제출한 경우는 제외한다)에는 다음 각 목의 구분에 따른 금액(2019.12.31 개정)</t>
    <phoneticPr fontId="4" type="noConversion"/>
  </si>
  <si>
    <t>나. 법정신고기한이 지난 후 1개월 초과 3개월 이내에 수정신고한 경우: 해당 가산세액의 100분의 75에 상당하는 금액(2019.12.31 개정)</t>
    <phoneticPr fontId="4" type="noConversion"/>
  </si>
  <si>
    <t>다. 법정신고기한이 지난 후 3개월 초과 6개월 이내에 수정신고한 경우: 해당 가산세액의 100분의 50에 상당하는 금액(2019.12.31 신설)</t>
    <phoneticPr fontId="4" type="noConversion"/>
  </si>
  <si>
    <t>. 법정신고기한이 지난 후 6개월 초과 1년 이내에 수정신고한 경우: 해당 가산세액의 100분의 30에 상당하는 금액(2019.12.31 신설)</t>
    <phoneticPr fontId="4" type="noConversion"/>
  </si>
  <si>
    <t>마. 법정신고기한이 지난 후 1년 초과 1년 6개월 이내에 수정신고한 경우: 해당 가산세액의 100분의 20에 상당하는 금액(2019.12.31 신설)</t>
    <phoneticPr fontId="4" type="noConversion"/>
  </si>
  <si>
    <t>바. 법정신고기한이 지난 후 1년 6개월 초과 2년 이내에 수정신고한 경우: 해당 가산세액의 100분의 10에 상당하는 금액(2019.12.31 개정)</t>
    <phoneticPr fontId="4" type="noConversion"/>
  </si>
  <si>
    <t xml:space="preserve">2. 과세표준신고서를 법정신고기한까지 제출하지 아니한 자가 법정신고기한이 지난 후 제45조의3에 따라 기한 후 신고를 한 경우(제47조의2에 따른 가산세만 해당하며, </t>
    <phoneticPr fontId="4" type="noConversion"/>
  </si>
  <si>
    <t>과세표준과 세액을 결정할 것을 미리 알고 기한후과세표준신고서를 제출한 경우는 제외한다)에는 다음 각 목의 구분에 따른 금액(2019.12.31 개정)</t>
    <phoneticPr fontId="4" type="noConversion"/>
  </si>
  <si>
    <t>가. 법정신고기한이 지난 후 1개월 이내에 기한 후 신고를 한 경우: 해당 가산세액의 100분의 50에 상당하는 금액(2014.12.23 개정)</t>
    <phoneticPr fontId="4" type="noConversion"/>
  </si>
  <si>
    <t>나. 법정신고기한이 지난 후 1개월 초과 3개월 이내에 기한 후 신고를 한 경우: 해당 가산세액의 100분의 30에 상당하는 금액(2019.12.31 신설)</t>
    <phoneticPr fontId="4" type="noConversion"/>
  </si>
  <si>
    <t>다. 법정신고기한이 지난 후 3개월 초과 6개월 이내에 기한 후 신고를 한 경우: 해당 가산세액의 100분의 20에 상당하는 금액(2019.12.31 개정)</t>
    <phoneticPr fontId="4" type="noConversion"/>
  </si>
  <si>
    <t>3. 다음 각 목의 어느 하나에 해당하는 경우에는 해당 가산세액의 100분의 50에 상당하는 금액(2010.12.27 개정)</t>
    <phoneticPr fontId="4" type="noConversion"/>
  </si>
  <si>
    <t>가. 제81조의15에 따른 과세전적부심사 결정ㆍ통지기간에 그 결과를 통지하지 아니한 경우(결정ㆍ통지가 지연됨으로써 해당 기간에 부과되는 제47조의4에 따른 가산세만 해당한다)(2011.12.31 개정)</t>
    <phoneticPr fontId="4" type="noConversion"/>
  </si>
  <si>
    <t>나. 세법에 따른 제출, 신고, 가입, 등록, 개설(이하 이 목에서 “제출등”이라 한다)의 기한이 지난 후 1개월 이내에 해당 세법에 따른 제출등의 의무를 이행하는 경우(제출등의 의무위반에 대하여 세법에 따라 부과되는 가산세만 해당한다)(2010.12.27 개정)</t>
    <phoneticPr fontId="4" type="noConversion"/>
  </si>
  <si>
    <t xml:space="preserve">다. 제1호 라목부터 바목까지의 규정에도 불구하고 세법에 따른 예정신고기한 및 중간신고기한까지 예정신고 및 중간신고를 하였으나 과소신고하거나 초과신고한 경우로서 </t>
    <phoneticPr fontId="4" type="noConversion"/>
  </si>
  <si>
    <t>확정신고기한까지 과세표준을 수정하여 신고한 경우(해당 기간에 부과되는 제47조의3에 따른 가산세만 해당하며, 과세표준과 세액을 경정할 것을 미리 알고 과세표준신고를 하는 경우는 제외한다)(2019.12.31 개정)</t>
    <phoneticPr fontId="4" type="noConversion"/>
  </si>
  <si>
    <t>라. 제2호에도 불구하고 세법에 따른 예정신고기한 및 중간신고기한까지 예정신고 및 중간신고를 하지 아니하였으나 확정신고기한까지 과세표준신고를 한 경우</t>
    <phoneticPr fontId="4" type="noConversion"/>
  </si>
  <si>
    <t>(해당 기간에 부과되는 제47조의2에 따른 가산세만 해당하며, 과세표준과 세액을 경정할 것을 미리 알고 과세표준신고를 하는 경우는 제외한다)(2017.12.19 신설)</t>
    <phoneticPr fontId="4" type="noConversion"/>
  </si>
  <si>
    <t>③ 제1항이나 제2항에 따른 가산세 감면 등을 받으려는 자는 대통령령으로 정하는 바에 따라 감면 등을 신청할 수 있다.(2010.01.01 개정)</t>
    <phoneticPr fontId="4" type="noConversion"/>
  </si>
  <si>
    <t>국세기본법 제49조 [ 가산세 한도 ]</t>
    <phoneticPr fontId="4" type="noConversion"/>
  </si>
  <si>
    <t xml:space="preserve">① 다음 각 호의 어느 하나에 해당하는 가산세에 대해서는 그 의무위반의 종류별로 각각 5천만원(「중소기업기본법」 제2조 제1항에 따른 중소기업이 아닌 기업은 1억원)을 한도로 한다. </t>
    <phoneticPr fontId="4" type="noConversion"/>
  </si>
  <si>
    <t xml:space="preserve">다만, 해당 의무를 고의적으로 위반한 경우에는 그러하지 아니하다.(2010.12.27 개정) </t>
    <phoneticPr fontId="4" type="noConversion"/>
  </si>
  <si>
    <t>1. 「소득세법」 제81조, 제81조의3, 제81조의6, 제81조의7, 제81조의10, 제81조의11 및 제81조의13에 따른 가산세(2019.12.31 개정)</t>
    <phoneticPr fontId="4" type="noConversion"/>
  </si>
  <si>
    <t>2. 「법인세법」 제75조의2, 제75조의4, 제75조의5, 제75조의7, 제75조의8(제1항 제4호는 제외한다) 및 제75조의9에 따른 가산세(2018.12.31 개정)</t>
    <phoneticPr fontId="4" type="noConversion"/>
  </si>
  <si>
    <t>3. 「부가가치세법」 제60조 제1항(같은 법 제68조 제2항에서 준용되는 경우를 포함한다), 같은 조 제2항 제1호ㆍ제3호부터 제5호까지 및 같은 조 제5항부터 제8항까지의 규정에 따른 가산세(2013.06.07 개정)</t>
    <phoneticPr fontId="4" type="noConversion"/>
  </si>
  <si>
    <t>5. 「조세특례제한법」 제30조의5 제5항 및 제90조의2 제1항에 따른 가산세(2010.01.01 개정)</t>
    <phoneticPr fontId="4" type="noConversion"/>
  </si>
  <si>
    <t>② 제1항을 적용하는 경우 의무위반의 구분, 가산세 한도의 적용기간 및 적용 방법, 그 밖에 필요한 사항은 대통령령으로 정한다.(2010.01.01 개정)</t>
    <phoneticPr fontId="4" type="noConversion"/>
  </si>
  <si>
    <t>국세기본법 제47조의 2 [ 무신고가산세 ]</t>
    <phoneticPr fontId="4" type="noConversion"/>
  </si>
  <si>
    <t>① 납세의무자가 법정신고기한까지 세법에 따른 국세의 과세표준 신고(예정신고 및 중간신고를 포함하며,</t>
    <phoneticPr fontId="4" type="noConversion"/>
  </si>
  <si>
    <t xml:space="preserve"> 「교육세법」 제9조에 따른 신고 중 금융ㆍ보험업자가 아닌 자의 신고와 「농어촌특별세법」 및 「종합부동산세법」에 따른 신고는 제외한다)를 하지 아니한 경우에는 </t>
    <phoneticPr fontId="4" type="noConversion"/>
  </si>
  <si>
    <t xml:space="preserve">그 신고로 납부하여야 할 세액(이 법 및 세법에 따른 가산세와 세법에 따라 가산하여 납부하여야 할 이자 상당 가산액이 있는 경우 그 금액은 제외하며, 이하 “무신고납부세액”이라 한다)에 </t>
    <phoneticPr fontId="4" type="noConversion"/>
  </si>
  <si>
    <t xml:space="preserve">다음 각 호의 구분에 따른 비율을 곱한 금액을 가산세로 한다.(2016.12.20 개정) </t>
    <phoneticPr fontId="4" type="noConversion"/>
  </si>
  <si>
    <t xml:space="preserve">1. 부정행위로 법정신고기한까지 세법에 따른 국세의 과세표준 신고를 하지 아니한 경우: 100분의 40(역외거래에서 발생한 부정행위인 경우에는 100분의 60)(2019.12.31 개정) </t>
    <phoneticPr fontId="4" type="noConversion"/>
  </si>
  <si>
    <t>2. 제1호 외의 경우: 100분의 20(2016.12.20 개정)</t>
    <phoneticPr fontId="4" type="noConversion"/>
  </si>
  <si>
    <t>② 제1항에도 불구하고 다음 각 호의 어느 하나에 해당하는 경우에는 해당 호에 따른 금액을 가산세로 한다.(2016.12.20 개정)</t>
    <phoneticPr fontId="4" type="noConversion"/>
  </si>
  <si>
    <t xml:space="preserve">1. 「소득세법」 제70조 및 제124조 또는 「법인세법」 제60조, 제76조의17 및 제97조에 따른 신고를 하지 아니한 자가 </t>
    <phoneticPr fontId="4" type="noConversion"/>
  </si>
  <si>
    <t>「소득세법」 제160조 제3항에 따른 복식부기의무자(이하 “복식부기의무자”라 한다) 또는 법인인 경우: 다음 각 목의 구분에 따른 금액과 제1항 각 호의 구분에 따른 금액 중 큰 금액(2016.12.20 개정)</t>
    <phoneticPr fontId="4" type="noConversion"/>
  </si>
  <si>
    <t>가. 제1항 제1호의 경우: 다음 구분에 따른 수입금액(이하 이 조에서 "수입금액"이라 한다)에 1만분의 14를 곱한 금액(2019.12.31 개정)</t>
    <phoneticPr fontId="4" type="noConversion"/>
  </si>
  <si>
    <t>1) 개인: 「소득세법」 제24조부터 제26조까지 및 제122조에 따라 계산한 사업소득에 대한 해당 개인의 총수입금액(2019.12.31 신설)</t>
    <phoneticPr fontId="4" type="noConversion"/>
  </si>
  <si>
    <t>2) 법인: 「법인세법」 제60조, 제76조의17, 제97조에 따라 법인세 과세표준 및 세액 신고서에 적어야 할 해당 법인의 수입금액(2019.12.31 신설)</t>
    <phoneticPr fontId="4" type="noConversion"/>
  </si>
  <si>
    <t>나. 제1항 제2호의 경우: 수입금액에 1만분의 7을 곱한 금액(2016.12.20 개정)</t>
    <phoneticPr fontId="4" type="noConversion"/>
  </si>
  <si>
    <t xml:space="preserve">2. 「부가가치세법」에 따른 사업자가 같은 법 제48조 제1항, 제49조 제1항 및 제67조에 따른 신고를 하지 아니한 경우로서 같은 법 </t>
    <phoneticPr fontId="4" type="noConversion"/>
  </si>
  <si>
    <t>또는 「조세특례제한법」에 따른 영세율이 적용되는 과세표준(이하 “영세율과세표준”이라 한다)이 있는 경우: 제1항 각 호의 구분에 따른 금액에 영세율과세표준의 1천분의 5에 상당하는 금액을 더한 금액(2016.12.20 개정)</t>
    <phoneticPr fontId="4" type="noConversion"/>
  </si>
  <si>
    <t>③ 제1항 및 제2항에도 불구하고 다음 각 호의 어느 하나에 해당하는 경우에는 제1항 및 제2항을 적용하지 아니한다.(2011.12.31 개정)</t>
    <phoneticPr fontId="4" type="noConversion"/>
  </si>
  <si>
    <t>2. 「부가가치세법」 제69조에 따라 납부의무가 면제되는 경우(2013.06.07 개정)</t>
    <phoneticPr fontId="4" type="noConversion"/>
  </si>
  <si>
    <t>④ 제1항 또는 제2항을 적용할 때 「부가가치세법」 제45조 제3항 단서에 따른 대손세액에 상당하는 부분에 대해서는 제1항 또는 제2항에 따른 가산세를 적용하지 아니한다.(2013.06.07 개정)</t>
    <phoneticPr fontId="4" type="noConversion"/>
  </si>
  <si>
    <t xml:space="preserve">⑤ 제1항 또는 제2항을 적용할 때 예정신고 및 중간신고와 관련하여 이 조 또는 제47조의3에 따라 가산세가 부과되는 부분에 대해서는 확정신고와 관련하여 제1항 또는 제2항에 따른 가산세를 적용하지 아니한다.(2014.12.23 항번개정) </t>
    <phoneticPr fontId="4" type="noConversion"/>
  </si>
  <si>
    <t>⑥ 제1항 또는 제2항을 적용할 때 「소득세법」 제81조의5, 제115조 또는 「법인세법」 제75조의3이 동시에 적용되는 경우에는 그 중 가산세액이 큰 가산세만 적용하고, 가산세액이 같은 경우에는 제1항 또는 제2항의 가산세만 적용한다.(2019.12.31 개정)</t>
    <phoneticPr fontId="4" type="noConversion"/>
  </si>
  <si>
    <t>⑦ 제1항부터 제6항까지에서 규정한 사항 외에 가산세 부과에 필요한 사항은 대통령령으로 정한다.(2019.12.31 개정)</t>
    <phoneticPr fontId="4" type="noConversion"/>
  </si>
  <si>
    <t>국세기본법 제47조의 3 [ 과소신고·초과환급신고가산세(2011.12.31 제목개정) ]</t>
    <phoneticPr fontId="4" type="noConversion"/>
  </si>
  <si>
    <t xml:space="preserve"> 「교육세법」 제9조에 따른 신고 중 금융ㆍ보험업자가 아닌 자의 신고와 「농어촌특별세법」에 따른 신고는 제외한다)를 한 경우로서 납부할 세액을 신고하여야 할 세액보다 </t>
    <phoneticPr fontId="4" type="noConversion"/>
  </si>
  <si>
    <t xml:space="preserve">적게 신고(이하 이 조 및 제48조에서 "과소신고"라 한다)하거나 환급받을 세액을 신고하여야 할 금액보다 많이 신고(이하 이 조 및 제48조에서 "초과신고"라 한다)한 경우에는 </t>
    <phoneticPr fontId="4" type="noConversion"/>
  </si>
  <si>
    <t>과소신고한 납부세액과 초과신고한 환급세액을 합한 금액(이 법 및 세법에 따른 가산세와 세법에 따라 가산하여 납부하여야 할 이자 상당 가산액이 있는 경우 그 금액은 제외하며,</t>
    <phoneticPr fontId="4" type="noConversion"/>
  </si>
  <si>
    <t xml:space="preserve"> 이하 “과소신고납부세액등”이라 한다)에 다음 각 호의 구분에 따른 산출방법을 적용한 금액을 가산세로 한다.(2017.12.19 개정)</t>
    <phoneticPr fontId="4" type="noConversion"/>
  </si>
  <si>
    <t>1. 부정행위로 과소신고하거나 초과신고한 경우: 다음 각 목의 금액을 합한 금액(2016.12.20 개정)</t>
    <phoneticPr fontId="4" type="noConversion"/>
  </si>
  <si>
    <t xml:space="preserve">가. 부정행위로 인한 과소신고납부세액등의 100분의 40(역외거래에서 발생한 부정행위로 인한 경우에는 100분의 60)에 상당하는 금액(2019.12.31 개정) </t>
    <phoneticPr fontId="4" type="noConversion"/>
  </si>
  <si>
    <t>나. 과소신고납부세액등에서 부정행위로 인한 과소신고납부세액등을 뺀 금액의 100분의 10에 상당하는 금액(2016.12.20 개정)</t>
    <phoneticPr fontId="4" type="noConversion"/>
  </si>
  <si>
    <t>2. 제1호 외의 경우: 과소신고납부세액등의 100분의 10에 상당하는 금액(2016.12.20 개정)</t>
    <phoneticPr fontId="4" type="noConversion"/>
  </si>
  <si>
    <t>② 제1항에도 불구하고 다음 각 호의 어느 하나에 해당하는 경우에는 해당 호에 따른 금액을 가산세로 한다.(2011.12.31 개정)</t>
    <phoneticPr fontId="4" type="noConversion"/>
  </si>
  <si>
    <t>1. 부정행위로 「소득세법」 제70조 및 제124조 또는 「법인세법」 제60조, 제76조의17 및 제97조에 따른 신고를 과소신고한 자가 복식부기의무자 또는 법인인 경우: 다음 각 목의 금액 중 큰 금액에 제1항 제1호 나목에 따른 금액을 더한 금액(2016.12.20 개정)</t>
    <phoneticPr fontId="4" type="noConversion"/>
  </si>
  <si>
    <t>가. 제1항 제1호 가목에 따른 금액(2016.12.20 개정)</t>
    <phoneticPr fontId="4" type="noConversion"/>
  </si>
  <si>
    <t>나. 부정행위로 과소신고된 과세표준관련 수입금액에 1만분의 14를 곱하여 계산한 금액(2016.12.20 개정)</t>
    <phoneticPr fontId="4" type="noConversion"/>
  </si>
  <si>
    <t>1의2. 삭제(2014.12.23)</t>
    <phoneticPr fontId="4" type="noConversion"/>
  </si>
  <si>
    <t xml:space="preserve">2. 「부가가치세법」에 따른 사업자가 같은 법 제48조 제1항ㆍ제4항, 제49조 제1항, 제66조 및 제67조에 따른 신고를 한 경우로서 영세율과세표준을 과소신고하거나 신고하지 아니한 경우: </t>
    <phoneticPr fontId="4" type="noConversion"/>
  </si>
  <si>
    <t>제1항 각 호의 구분에 따른 금액에 그 과소신고되거나 무신고된 영세율과세표준의 1천분의 5에 상당하는 금액을 더한 금액(2016.12.20 개정)</t>
    <phoneticPr fontId="4" type="noConversion"/>
  </si>
  <si>
    <t>③ 제1항 및 제2항은 「부가가치세법」에 따른 사업자가 아닌 자가 환급세액을 신고한 경우에도 적용한다.(2011.12.31 개정)</t>
    <phoneticPr fontId="4" type="noConversion"/>
  </si>
  <si>
    <t>④ 제1항 또는 제2항을 적용할 때 다음 각 호의 어느 하나에 해당하는 경우에는 이와 관련하여 과소신고하거나 초과신고한 부분에 대해서는 제1항 또는 제2항의 가산세를 적용하지 아니한다.(2011.12.31 개정)</t>
    <phoneticPr fontId="4" type="noConversion"/>
  </si>
  <si>
    <t>1. 다음 각 목의 어느 하나에 해당하는 사유로 상속세ㆍ증여세 과세표준을 과소신고한 경우(2011.12.31 개정)</t>
    <phoneticPr fontId="4" type="noConversion"/>
  </si>
  <si>
    <t>가. 신고 당시 소유권에 대한 소송 등의 사유로 상속재산 또는 증여재산으로 확정되지 아니하였던 경우(2011.12.31 개정)</t>
    <phoneticPr fontId="4" type="noConversion"/>
  </si>
  <si>
    <t>나. 「상속세 및 증여세법」 제18조부터 제23조까지, 제23조의2, 제24조, 제53조 및 제54조에 따른 공제의 적용에 착오가 있었던 경우(2011.12.31 개정)</t>
    <phoneticPr fontId="4" type="noConversion"/>
  </si>
  <si>
    <t>다. 「상속세 및 증여세법」 제60조제2항ㆍ제3항 및 제66조에 따라 평가한 가액으로 과세표준을 결정한 경우(2011.12.31 개정)</t>
    <phoneticPr fontId="4" type="noConversion"/>
  </si>
  <si>
    <t>라. 「법인세법」 제66조에 따라 법인세 과세표준 및 세액의 결정ㆍ경정으로 「상속세 및 증여세법」 제45조의3부터 제45조의5까지의 규정에 따른 증여의제이익이 변경되는 경우</t>
    <phoneticPr fontId="4" type="noConversion"/>
  </si>
  <si>
    <t>2. 「부가가치세법」 제45조 제3항 단서가 적용되는 경우(2013.06.07 개정)</t>
    <phoneticPr fontId="4" type="noConversion"/>
  </si>
  <si>
    <t>3. 제1호 라목에 해당하는 사유로 「소득세법」 제88조 제2호에 따른 주식등의 취득가액이 감소된 경우(2017.12.19 신설)</t>
    <phoneticPr fontId="4" type="noConversion"/>
  </si>
  <si>
    <t>⑤ 삭제(2014.12.23)</t>
    <phoneticPr fontId="4" type="noConversion"/>
  </si>
  <si>
    <t>⑦ 부정행위로 인한 과소신고납부세액등의 계산과 그 밖에 가산세의 부과에 필요한 사항은 대통령령으로 정한다.(2014.12.23 개정)</t>
    <phoneticPr fontId="4" type="noConversion"/>
  </si>
  <si>
    <t xml:space="preserve">※ 납부지연가산세(前 명칭 중가산금) 등의 적용에 관한 자세한 내용은 국세기본법 제47의4, 제47의5를 </t>
    <phoneticPr fontId="4" type="noConversion"/>
  </si>
  <si>
    <t xml:space="preserve">    참고하시기 바랍니다.</t>
    <phoneticPr fontId="4" type="noConversion"/>
  </si>
  <si>
    <t>가. 체납된 국세에 부과되는 가산금율 인하(안 제21조제2항)</t>
    <phoneticPr fontId="4" type="noConversion"/>
  </si>
  <si>
    <r>
      <t>나. 가산금 제도 폐지 및 관련규정 정비(안 제3조제1항제2호, 제4조제3호, 제9조제2항, 제19조제1항</t>
    </r>
    <r>
      <rPr>
        <sz val="11"/>
        <color theme="1"/>
        <rFont val="MS Gothic"/>
        <family val="3"/>
        <charset val="128"/>
      </rPr>
      <t>･</t>
    </r>
    <r>
      <rPr>
        <sz val="11"/>
        <color theme="1"/>
        <rFont val="굴림"/>
        <family val="2"/>
        <charset val="129"/>
      </rPr>
      <t>제2항ㆍ제4항 및 제5항, 제21조, 제24조제1항제1호, 제65조제4항, 제78조제2항)</t>
    </r>
    <phoneticPr fontId="4" type="noConversion"/>
  </si>
  <si>
    <t>2020년부터 국세징수법에 따른 가산금과 국세기본법에 따른 납부불성실가산세를 납부지연가산세로 통합함에 따라 가산금제도를 폐지하고, 관련 규정을 정비함</t>
    <phoneticPr fontId="4" type="noConversion"/>
  </si>
  <si>
    <r>
      <t xml:space="preserve">체납된 국세를 납부하지 아니하였을 때 납부기한이 지난 날부터 매 1개월이 지날 때마다 부과되는 가산금의 비율을 </t>
    </r>
    <r>
      <rPr>
        <sz val="11"/>
        <color rgb="FFFF0000"/>
        <rFont val="굴림"/>
        <family val="3"/>
        <charset val="129"/>
      </rPr>
      <t>2019년 말까지</t>
    </r>
    <r>
      <rPr>
        <sz val="11"/>
        <color theme="1"/>
        <rFont val="굴림"/>
        <family val="2"/>
        <charset val="129"/>
      </rPr>
      <t xml:space="preserve"> 1천분의 12에서 1만분의 75로 인하함</t>
    </r>
    <phoneticPr fontId="4" type="noConversion"/>
  </si>
  <si>
    <t>제2조(가산금에 관한 특례) 제21조의 개정규정에도 불구하고 2019년 12월 31일까지 납세의무가 성립한 국세에 대해서는 종전의 제21조 규정을 적용한다.</t>
    <phoneticPr fontId="4" type="noConversion"/>
  </si>
  <si>
    <t>다만, 2019년 1월 1일 이후 가산하여 징수하는 가산금에 대하여는 종전의 제21조제2항 본문 중 “1천분의 12”를 “1만분의 75”로 한다.</t>
    <phoneticPr fontId="4" type="noConversion"/>
  </si>
  <si>
    <t>납부기한</t>
    <phoneticPr fontId="4" type="noConversion"/>
  </si>
  <si>
    <t>본세</t>
    <phoneticPr fontId="4" type="noConversion"/>
  </si>
  <si>
    <t>http://cafe.daum.net/transtax/IZQL/39</t>
    <phoneticPr fontId="4" type="noConversion"/>
  </si>
  <si>
    <t>를보고 엑셀수식 변경</t>
    <phoneticPr fontId="4" type="noConversion"/>
  </si>
  <si>
    <t>국세기본법 제47조의 5 [ 원천징수납부 등 불성실가산세(2011.12.31 제목개정) ]</t>
    <phoneticPr fontId="12" type="noConversion"/>
  </si>
  <si>
    <t xml:space="preserve">국세기본법시행령 제27조의4 [ 납부지연가산세 및 원천징수납부 등 불성실가산세의 이자율(2019.02.12 제목개정) ]
 </t>
    <phoneticPr fontId="12" type="noConversion"/>
  </si>
  <si>
    <t>지방세기본법 제56조 [ 특별징수납부 등 불성실가산세 ]</t>
    <phoneticPr fontId="12" type="noConversion"/>
  </si>
  <si>
    <t>지방세기본법시행령 제34조 [ 납부불성실가산세·환급불성실가산세 등에 대한 이자율 ]</t>
    <phoneticPr fontId="12" type="noConversion"/>
  </si>
  <si>
    <t>⑤ 체납된 국세의 납세고지서별·세목별 세액이 100만원 미만인 경우에는 제1항 제2호의 가산세를 적용하지 아니한다. (2019.12.31. 신설)</t>
    <phoneticPr fontId="4" type="noConversion"/>
  </si>
  <si>
    <t xml:space="preserve">     이 법은 2020년 1월 1일부터 시행한다.</t>
    <phoneticPr fontId="4" type="noConversion"/>
  </si>
  <si>
    <t xml:space="preserve">      이 법 시행 전에 납세의무가 성립된 분에 대해서는 제47조의5[ 원천징수납부 등 불성실가산세] 제1항, 제4항 및 제5항의 개정규정에도 불구하고 종전의 규정에 따른다.</t>
    <phoneticPr fontId="4" type="noConversion"/>
  </si>
  <si>
    <t>국세기본법 제21조 [ 납세의무의 성립시기 ]</t>
    <phoneticPr fontId="4" type="noConversion"/>
  </si>
  <si>
    <t>가산금(3%)</t>
    <phoneticPr fontId="4" type="noConversion"/>
  </si>
  <si>
    <t>· 2020년 납세의무 성립분부터 납부불성실가산세와 가산금이 납부지연가산세(1일 0.025%)로</t>
    <phoneticPr fontId="4" type="noConversion"/>
  </si>
  <si>
    <t xml:space="preserve">  통합됩니다.</t>
    <phoneticPr fontId="4" type="noConversion"/>
  </si>
  <si>
    <t>신고납부기한</t>
    <phoneticPr fontId="4" type="noConversion"/>
  </si>
  <si>
    <t>납부일</t>
    <phoneticPr fontId="4" type="noConversion"/>
  </si>
  <si>
    <t>납부불성실가산세</t>
    <phoneticPr fontId="4" type="noConversion"/>
  </si>
  <si>
    <t>납부지연가산세</t>
    <phoneticPr fontId="4" type="noConversion"/>
  </si>
  <si>
    <t>납세의무 성립분</t>
    <phoneticPr fontId="4" type="noConversion"/>
  </si>
  <si>
    <t>국세 납부불성실가산세-&gt; 2020년이후 납세의무성립분 -&gt; 「납부지연가산세」</t>
    <phoneticPr fontId="4" type="noConversion"/>
  </si>
  <si>
    <t>부담세액</t>
    <phoneticPr fontId="4" type="noConversion"/>
  </si>
  <si>
    <t>①</t>
    <phoneticPr fontId="4" type="noConversion"/>
  </si>
  <si>
    <t>②</t>
    <phoneticPr fontId="4" type="noConversion"/>
  </si>
  <si>
    <t>③ = ① + ②</t>
    <phoneticPr fontId="4" type="noConversion"/>
  </si>
  <si>
    <t>납부지연가산세(중가산금)</t>
    <phoneticPr fontId="4" type="noConversion"/>
  </si>
  <si>
    <t>세무서 고지일</t>
    <phoneticPr fontId="4" type="noConversion"/>
  </si>
  <si>
    <t xml:space="preserve">2020년 이후 납세의무 성립분부터 </t>
    <phoneticPr fontId="4" type="noConversion"/>
  </si>
  <si>
    <t>부가가치세 : 2020년 1기부터,원천세는 2020년 1월 지급분 부터(2020년 2월10일)</t>
    <phoneticPr fontId="4" type="noConversion"/>
  </si>
  <si>
    <t>소득세,법인세 2020년귀속분 부터(2020년 5월,2020년 3월)</t>
    <phoneticPr fontId="4" type="noConversion"/>
  </si>
  <si>
    <t>http://cafe.daum.net/transtax/6zzM/92</t>
    <phoneticPr fontId="4" type="noConversion"/>
  </si>
  <si>
    <t>국세기본법 제47조의 4 제47조의4 납부지연가산세(2018.12.31 제목개정)</t>
    <phoneticPr fontId="4" type="noConversion"/>
  </si>
  <si>
    <r>
      <t xml:space="preserve">⑧ </t>
    </r>
    <r>
      <rPr>
        <b/>
        <u/>
        <sz val="11"/>
        <color theme="5"/>
        <rFont val="굴림"/>
        <family val="3"/>
        <charset val="129"/>
      </rPr>
      <t>체납된</t>
    </r>
    <r>
      <rPr>
        <sz val="11"/>
        <color theme="1"/>
        <rFont val="굴림"/>
        <family val="2"/>
        <charset val="129"/>
      </rPr>
      <t xml:space="preserve"> 국세의 납세고지서별·세목별 세액이 100만원 미만인 경우에는 제1항 제1호 및 제2호의 가산세를 적용하지 아니한다.(2019.12.31. 개정)</t>
    </r>
    <phoneticPr fontId="4" type="noConversion"/>
  </si>
  <si>
    <t>가산금 =&gt; 국세기본법 제47조의 4 제47조의4 납부지연가산세 ①항 3호</t>
    <phoneticPr fontId="4" type="noConversion"/>
  </si>
  <si>
    <t>중가산금 =&gt; 국세기본법 제47조의 4 제47조의4 납부지연가산세 ①항 1호,2호</t>
    <phoneticPr fontId="4" type="noConversion"/>
  </si>
  <si>
    <t>2020년 1월지급분부터 (2020년 2월10일 납부분 부터)</t>
    <phoneticPr fontId="4" type="noConversion"/>
  </si>
  <si>
    <t>납부일</t>
    <phoneticPr fontId="12" type="noConversion"/>
  </si>
  <si>
    <t>· 2020년 납세의무 성립분부터 납부불성실가산세와 가산금이 납부지연가산세(1일 0.025%)로 통합됩니다.</t>
    <phoneticPr fontId="4" type="noConversion"/>
  </si>
  <si>
    <t>구분</t>
    <phoneticPr fontId="4" type="noConversion"/>
  </si>
  <si>
    <t>납부기한 내</t>
    <phoneticPr fontId="4" type="noConversion"/>
  </si>
  <si>
    <t>자진납부</t>
    <phoneticPr fontId="4" type="noConversion"/>
  </si>
  <si>
    <t>납부기한 후</t>
    <phoneticPr fontId="4" type="noConversion"/>
  </si>
  <si>
    <t>세무서 고지분</t>
    <phoneticPr fontId="4" type="noConversion"/>
  </si>
  <si>
    <t>19년 이전 납세의무 성립분</t>
    <phoneticPr fontId="4" type="noConversion"/>
  </si>
  <si>
    <t>20년 이후 납세의무 성립분</t>
    <phoneticPr fontId="4" type="noConversion"/>
  </si>
  <si>
    <t>· 납부불성실가산세 (일 0.025%)</t>
    <phoneticPr fontId="4" type="noConversion"/>
  </si>
  <si>
    <t>· 납부지연가산세(일 0.025%)</t>
    <phoneticPr fontId="4" type="noConversion"/>
  </si>
  <si>
    <t>· 가산금(체납시 3%, 일(日) 0.025%)</t>
    <phoneticPr fontId="4" type="noConversion"/>
  </si>
  <si>
    <t>· 가산금(체납시 3%, 월(月) 0.75%)</t>
    <phoneticPr fontId="4" type="noConversion"/>
  </si>
  <si>
    <t>납부지연가산세
국기법 제47조의5
①항 1호</t>
    <phoneticPr fontId="4" type="noConversion"/>
  </si>
  <si>
    <t>납부지연가산세
국기법 제47조의5
①항 2호</t>
    <phoneticPr fontId="4" type="noConversion"/>
  </si>
  <si>
    <t>납부불성실가산세</t>
    <phoneticPr fontId="4" type="noConversion"/>
  </si>
  <si>
    <t>2020년이후 납세성립</t>
    <phoneticPr fontId="4" type="noConversion"/>
  </si>
  <si>
    <t>ⓐ</t>
    <phoneticPr fontId="4" type="noConversion"/>
  </si>
  <si>
    <r>
      <t xml:space="preserve">자진납부한도 </t>
    </r>
    <r>
      <rPr>
        <b/>
        <sz val="11"/>
        <color rgb="FFFF0000"/>
        <rFont val="굴림"/>
        <family val="3"/>
        <charset val="129"/>
      </rPr>
      <t>ⓑ</t>
    </r>
    <phoneticPr fontId="4" type="noConversion"/>
  </si>
  <si>
    <t>min(ⓐ,ⓑ)</t>
    <phoneticPr fontId="4" type="noConversion"/>
  </si>
  <si>
    <t>까지</t>
    <phoneticPr fontId="4" type="noConversion"/>
  </si>
  <si>
    <t>세무서고지일</t>
    <phoneticPr fontId="12" type="noConversion"/>
  </si>
  <si>
    <t>세무서 고지일 납부기한</t>
    <phoneticPr fontId="4" type="noConversion"/>
  </si>
  <si>
    <t>실제납부일</t>
    <phoneticPr fontId="4" type="noConversion"/>
  </si>
  <si>
    <t>체납국세 100만원 미만 여부 check</t>
    <phoneticPr fontId="4" type="noConversion"/>
  </si>
  <si>
    <t>체납지방세 30만원 미만 여부 check</t>
    <phoneticPr fontId="4" type="noConversion"/>
  </si>
  <si>
    <t>납부지연가산세(중가산금)
국기법 제47조의5
①항 2호</t>
    <phoneticPr fontId="4" type="noConversion"/>
  </si>
  <si>
    <t>부담세액</t>
    <phoneticPr fontId="4" type="noConversion"/>
  </si>
  <si>
    <t>50% 한도</t>
    <phoneticPr fontId="4" type="noConversion"/>
  </si>
  <si>
    <t xml:space="preserve">지방세기본법 제56조 [ 특별징수납부 등 불성실가산세 ]
</t>
    <phoneticPr fontId="4" type="noConversion"/>
  </si>
  <si>
    <t>지방세 고지일</t>
    <phoneticPr fontId="4" type="noConversion"/>
  </si>
  <si>
    <t>지방세를 납부기한까지 완납하지 아니하면 납부기한이 지난 날부터 체납된 지방세의 100분의 3에 상당하는 가산금을 징수한다.</t>
    <phoneticPr fontId="4" type="noConversion"/>
  </si>
  <si>
    <t>다만, 국가와 지방자치단체(「지방자치법」 제159조에 따른 지방자치단체조합을 포함한다)에 대해서는 가산금을 징수하지 아니한다.(2020.03.24. 단서개정)</t>
    <phoneticPr fontId="4" type="noConversion"/>
  </si>
  <si>
    <t>지방세 고지일 납부기한</t>
    <phoneticPr fontId="4" type="noConversion"/>
  </si>
  <si>
    <t>지방세 실제납부일</t>
    <phoneticPr fontId="4" type="noConversion"/>
  </si>
  <si>
    <t>① 체납된 지방세를 납부하지 아니하였을 때에는 납부기한이 지난 날부터 1개월이 지날 때마다 체납된 지방세의 1만분의 75에 상당하는 가산금(이하 "중가산금"이라 한다)을 제30조에 따른 가산금에 더하여 징수한다.
이 경우 중가산금을 가산하여 징수하는 기간은 60개월을 초과할 수 없다.(2018.12.24 개정)</t>
    <phoneticPr fontId="4" type="noConversion"/>
  </si>
  <si>
    <t xml:space="preserve">     이 법은 2019년 1월 1일부터 시행한다.</t>
    <phoneticPr fontId="4" type="noConversion"/>
  </si>
  <si>
    <t>체납 개월수</t>
    <phoneticPr fontId="4" type="noConversion"/>
  </si>
  <si>
    <t>지방세 - 중가산금(60개월 까지)</t>
    <phoneticPr fontId="4" type="noConversion"/>
  </si>
  <si>
    <t>지방세 - 가산금</t>
    <phoneticPr fontId="4" type="noConversion"/>
  </si>
  <si>
    <t>② 제1항은 제30조 단서의 경우와 체납된 납세고지서별 세액이 30만원 미만일 때에는 적용하지 아니한다. 이 경우 같은 납세고지서에 둘 이상의 세목이 함께 적혀 있을 때에는 세목별로 판단한다.(2016.12.27 제정)</t>
    <phoneticPr fontId="4" type="noConversion"/>
  </si>
  <si>
    <t>자진납부일</t>
    <phoneticPr fontId="4" type="noConversion"/>
  </si>
  <si>
    <t>가산세</t>
    <phoneticPr fontId="12" type="noConversion"/>
  </si>
  <si>
    <t>계</t>
    <phoneticPr fontId="4" type="noConversion"/>
  </si>
  <si>
    <t>가산세 합계</t>
    <phoneticPr fontId="12" type="noConversion"/>
  </si>
  <si>
    <t>국세기본법 제47조의 5 [ 원천징수 등 납부지연가산세(2020.12.22 제목개정) ]</t>
    <phoneticPr fontId="4" type="noConversion"/>
  </si>
  <si>
    <t>① 국세를 징수하여 납부할 의무를 지는 자가 징수하여야 할 세액(제2항 제2호의 경우에는 징수한 세액)을 법정납부기한까지 납부하지 아니하거나</t>
    <phoneticPr fontId="4" type="noConversion"/>
  </si>
  <si>
    <t xml:space="preserve">(제1호의 금액과 제2호 중 법정납부기한의 다음 날부터 납부고지일까지의 기간에 해당하는 금액을 합한 금액은 100분의 10)에 </t>
    <phoneticPr fontId="4" type="noConversion"/>
  </si>
  <si>
    <t>상당하는 금액을 한도로 하여 다음 각 호의 금액을 합한 금액을 가산세로 한다.(2020.12.29 개정)</t>
    <phoneticPr fontId="4" type="noConversion"/>
  </si>
  <si>
    <t>2. 납부하지 아니한 세액 또는 과소납부분 세액 × 법정납부기한의 다음 날부터 납부일까지의 기간(납부고지일부터 납부고지서에 따른 납부기한까지의 기간은 제외한다)</t>
    <phoneticPr fontId="4" type="noConversion"/>
  </si>
  <si>
    <t>× 금융회사 등이 연체대출금에 대하여 적용하는 이자율 등을 고려하여 대통령령으로 정하는 이자율(2020.12.29 개정)</t>
    <phoneticPr fontId="4" type="noConversion"/>
  </si>
  <si>
    <t xml:space="preserve">    × 금융회사 등이 연체대출금에 대하여 적용하는 이자율 등을 고려하여 대통령령으로 정하는 이자율(2020.12.29 개정)</t>
    <phoneticPr fontId="4" type="noConversion"/>
  </si>
  <si>
    <t>④  제1항을 적용할 때 납부고지서에 따른 납부기한의 다음 날부터 납부일까지의 기간(「국세징수법」 제13조에 따라 지정납부기한과 독촉장에서 정하는 기한을 연장한 경우에는 그 연장기간은 제외한다)이 5년을 초과하는 경우에는 그 기간은 5년으로 한다.(2020.12.29 개정)</t>
    <phoneticPr fontId="4" type="noConversion"/>
  </si>
  <si>
    <t>⑤ 체납된 국세의 납부고지서별·세목별 세액이 100만원 미만인 경우에는 제1항 제2호의 가산세를 적용하지 아니한다(2020.12.29 개정)</t>
    <phoneticPr fontId="4" type="noConversion"/>
  </si>
  <si>
    <t>1. 납부하지 아니한 세액 또는 과소납부분 세액(세법에 따라 가산하여 납부하여야 할 이자 상당 가산액이 있는 경우에는 그 금액을 더한다) × 법정납부기한의 다음 날부터 납부일까지의 기간(납부고지일부터 납부고지서에 따른 납부기한까지의 기간은 제외한다)</t>
    <phoneticPr fontId="4" type="noConversion"/>
  </si>
  <si>
    <t>2. 초과환급받은 세액(세법에 따라 가산하여 납부하여야 할 이자상당가산액이 있는 경우에는 그 금액을 더한다) × 환급받은 날의 다음 날부터 납부일까지의 기간(납부고지일부터 납부고지서에 따른 납부기한까지의 기간은 제외한다)</t>
    <phoneticPr fontId="4" type="noConversion"/>
  </si>
  <si>
    <t>3. 법정납부기한까지 납부하여야 할 세액(세법에 따라 가산하여 납부하여야 할 이자 상당 가산액이 있는 경우에는 그 금액을 더한다) 중 납부고지서에 따른 납부기한까지 납부하지 아니한 세액 또는 과소납부분 세액</t>
    <phoneticPr fontId="4" type="noConversion"/>
  </si>
  <si>
    <t>× 100분의 3(국세를 납부고지서에 따른 납부기한까지 완납하지 아니한 경우에 한정한다)(2020.12.29 개정)</t>
    <phoneticPr fontId="4" type="noConversion"/>
  </si>
  <si>
    <t>③ 다음 각 호의 어느 하나에 해당하는 경우에는 제1항 제1호 및 제2호의 가산세(법정납부기한의 다음 날부터 납부고지일까지의 기간에 한정한다)를 적용하지 아니한다.(2020.12.29 개정)</t>
    <phoneticPr fontId="4" type="noConversion"/>
  </si>
  <si>
    <t>3. 삭제(2020.12.22)</t>
    <phoneticPr fontId="4" type="noConversion"/>
  </si>
  <si>
    <t>6. 「상속세 및 증여세법」 제67조 또는 제68조에 따라 상속세 또는 증여세를 신고한 자가 같은 법 제70조에 따라 법정신고기한까지 상속세 또는 증여세를 납부한 경우로서</t>
    <phoneticPr fontId="4" type="noConversion"/>
  </si>
  <si>
    <t>법정신고기한 이후 대통령령으로 정하는 방법에 따라 상속재산 또는 증여재산을 평가하여 과세표준과 세액을 결정ㆍ경정한 경우(2020.12.22 신설)</t>
    <phoneticPr fontId="4" type="noConversion"/>
  </si>
  <si>
    <t>⑦ 제1항을 적용할 때 납부고지서에 따른 납부기한의 다음 날부터 납부일까지의 기간(「국세징수법」 제13조에 따라 지정납부기한과 독촉장에서 정하는 기한을 연장한 경우에는 그 연장기간은 제외한다)이 5년을 초과하는 경우에는 그 기간은 5년으로 한다.(2020.12.29 개정)</t>
    <phoneticPr fontId="4" type="noConversion"/>
  </si>
  <si>
    <t>⑧ 체납된 국세의 납부고지서별·세목별 세액이 100만원 미만인 경우에는 제1항 제1호 및 제2호의 가산세를 적용하지 아니한다.(2020.12.29 개정)</t>
    <phoneticPr fontId="4" type="noConversion"/>
  </si>
  <si>
    <t>⑨  「인지세법」 제8조 제1항에 따른 인지세의 납부를 하지 아니하거나 과소납부한 경우에는 납부하지 아니한 세액 또는 과소납부분 세액의 100분의 300에 상당하는 금액을 가산세로 한다.</t>
    <phoneticPr fontId="4" type="noConversion"/>
  </si>
  <si>
    <t>다만, 다음 각 호의 어느 하나에 해당하는 경우(과세표준과 세액을 경정할 것을 미리 알고 납부하는 경우는 제외한다)에는 해당 호에 따른 금액을 가산세로 한다.(2020.12.22 단서신설)</t>
    <phoneticPr fontId="4" type="noConversion"/>
  </si>
  <si>
    <t>1. 「인지세법」에 따른 법정납부기한이 지난 후 3개월 이내에 납부한 경우: 납부하지 아니한 세액 또는 과소납부분 세액의 100분의 100  (2020.12.22 신설)</t>
    <phoneticPr fontId="4" type="noConversion"/>
  </si>
  <si>
    <t>2. 「인지세법」에 따른 법정납부기한이 지난 후 3개월 초과 6개월 이내에 납부한 경우: 납부하지 아니한 세액 또는 과소납부분 세액의 100분의 200  (2020.12.22 신설)</t>
    <phoneticPr fontId="4" type="noConversion"/>
  </si>
  <si>
    <t>1. 삭제(2020.12.22)</t>
    <phoneticPr fontId="4" type="noConversion"/>
  </si>
  <si>
    <t xml:space="preserve">⑥ 이 조에 따른 가산세의 부과에 대해서는 제47조의2[ 무신고가산세 ] 제5항 및 제6항을 준용한다.(2020.12.22 개정) </t>
    <phoneticPr fontId="4" type="noConversion"/>
  </si>
  <si>
    <t>1. 제6조에 따른 기한 연장 사유에 해당하는 경우(2020.12.22 개정)</t>
    <phoneticPr fontId="4" type="noConversion"/>
  </si>
  <si>
    <t>3. 「소득세법 시행령」 제118조의5 제1항에 따라 실손의료보험금(같은 영 제216조의3 제7항 각 호의 어느 하나에 해당하는 자로부터 지급받은 것을 말한다)을 의료비에서 제외할 때에</t>
    <phoneticPr fontId="4" type="noConversion"/>
  </si>
  <si>
    <t xml:space="preserve">     실손의료보험금 지급의 원인이 되는 의료비를 지출한 과세기간과 해당 보험금을 지급받은 과세기간이 달라 해당 보험금을 지급받은 후 의료비를 지출한 과세기간에 대한 소득세를 수정신고하는 경우</t>
    <phoneticPr fontId="4" type="noConversion"/>
  </si>
  <si>
    <t xml:space="preserve">    (해당 보험금을 지급받은 과세기간에 대한 종합소득 과세표준 확정신고기한까지 수정신고하는 경우로 한정한다)(2021.02.17 신설)</t>
    <phoneticPr fontId="4" type="noConversion"/>
  </si>
  <si>
    <t>4. 「상속세 및 증여세법」 제78조[ 가산세 등 ] 제3항ㆍ제5항(같은 법 제50조[ 공익법인등의 세무확인 및 회계감사의무(2016.12.20 제목개정) ]
 제1항 및 제2항에 따른 의무를 위반한 경우만 해당한다)ㆍ제12항ㆍ제13항 및 제14항에 따른 가산세(2020.12.22 개정)</t>
    <phoneticPr fontId="4" type="noConversion"/>
  </si>
  <si>
    <t>국세기본법 제47조의 5 [ 원천징수 등 납부지연가산세(2020.12.22 제목개정) ]</t>
    <phoneticPr fontId="4" type="noConversion"/>
  </si>
  <si>
    <t>국세 납부지연가산세(국기법 제47조의5)</t>
    <phoneticPr fontId="4" type="noConversion"/>
  </si>
  <si>
    <t>지방소득세 납부지연가산세(지방세기본법 제56조)</t>
    <phoneticPr fontId="4" type="noConversion"/>
  </si>
  <si>
    <t>2020년귀속 성립분부터는 하단 수정해서 사용할 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</si>
</sst>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0.000%"/>
    <numFmt numFmtId="177" formatCode="0.0%"/>
    <numFmt numFmtId="178" formatCode="_-* #,##0_-&quot;일&quot;;\-* #,##0_-;_-* &quot;-&quot;_-;_-@_-"/>
    <numFmt numFmtId="179" formatCode="_-* #,##0_-&quot;원&quot;;\-* #,##0_-;_-* &quot;-&quot;_-;_-@_-"/>
    <numFmt numFmtId="180" formatCode="#,##0&quot;개월&quot;"/>
  </numFmts>
  <fonts count="34" x14ac:knownFonts="1">
    <font>
      <sz val="11"/>
      <color theme="1"/>
      <name val="굴림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2"/>
      <charset val="129"/>
    </font>
    <font>
      <sz val="8"/>
      <name val="굴림"/>
      <family val="2"/>
      <charset val="129"/>
    </font>
    <font>
      <b/>
      <sz val="11"/>
      <color rgb="FF7030A0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1"/>
      <color rgb="FF0070C0"/>
      <name val="굴림"/>
      <family val="2"/>
      <charset val="129"/>
    </font>
    <font>
      <b/>
      <sz val="11"/>
      <color theme="1"/>
      <name val="굴림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9" tint="-0.499984740745262"/>
      <name val="굴림"/>
      <family val="3"/>
      <charset val="129"/>
    </font>
    <font>
      <u/>
      <sz val="11"/>
      <color theme="10"/>
      <name val="굴림"/>
      <family val="2"/>
      <charset val="129"/>
    </font>
    <font>
      <sz val="8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7030A0"/>
      <name val="굴림"/>
      <family val="2"/>
      <charset val="129"/>
    </font>
    <font>
      <b/>
      <sz val="14"/>
      <color rgb="FF7030A0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rgb="FFFF0000"/>
      <name val="굴림"/>
      <family val="3"/>
      <charset val="129"/>
    </font>
    <font>
      <sz val="11"/>
      <color theme="1"/>
      <name val="MS Gothic"/>
      <family val="3"/>
      <charset val="128"/>
    </font>
    <font>
      <sz val="11"/>
      <color rgb="FFFF0000"/>
      <name val="굴림"/>
      <family val="3"/>
      <charset val="129"/>
    </font>
    <font>
      <b/>
      <sz val="11"/>
      <color theme="9" tint="-0.249977111117893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4"/>
      <name val="맑은 고딕"/>
      <family val="3"/>
      <charset val="129"/>
      <scheme val="minor"/>
    </font>
    <font>
      <sz val="11"/>
      <color theme="0" tint="-0.34998626667073579"/>
      <name val="굴림"/>
      <family val="2"/>
      <charset val="129"/>
    </font>
    <font>
      <sz val="11"/>
      <color theme="0" tint="-0.34998626667073579"/>
      <name val="굴림"/>
      <family val="3"/>
      <charset val="129"/>
    </font>
    <font>
      <b/>
      <sz val="11"/>
      <color theme="0" tint="-0.34998626667073579"/>
      <name val="굴림"/>
      <family val="3"/>
      <charset val="129"/>
    </font>
    <font>
      <sz val="8"/>
      <color theme="1"/>
      <name val="굴림"/>
      <family val="2"/>
      <charset val="129"/>
    </font>
    <font>
      <b/>
      <u/>
      <sz val="11"/>
      <color theme="5"/>
      <name val="굴림"/>
      <family val="3"/>
      <charset val="129"/>
    </font>
    <font>
      <b/>
      <sz val="11"/>
      <color rgb="FF7030A0"/>
      <name val="맑은 고딕"/>
      <family val="3"/>
      <charset val="129"/>
      <scheme val="minor"/>
    </font>
    <font>
      <sz val="10"/>
      <color theme="1"/>
      <name val="굴림"/>
      <family val="2"/>
      <charset val="129"/>
    </font>
    <font>
      <b/>
      <sz val="14"/>
      <color rgb="FFFF0000"/>
      <name val="굴림"/>
      <family val="3"/>
      <charset val="129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double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41" fontId="0" fillId="0" borderId="0" xfId="1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0" fontId="0" fillId="0" borderId="0" xfId="0" applyNumberForma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14" fontId="5" fillId="0" borderId="0" xfId="0" applyNumberFormat="1" applyFont="1">
      <alignment vertical="center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41" fontId="5" fillId="0" borderId="0" xfId="1" applyFont="1">
      <alignment vertical="center"/>
    </xf>
    <xf numFmtId="41" fontId="0" fillId="4" borderId="0" xfId="1" applyFont="1" applyFill="1">
      <alignment vertical="center"/>
    </xf>
    <xf numFmtId="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9" fontId="5" fillId="0" borderId="0" xfId="0" applyNumberFormat="1" applyFont="1">
      <alignment vertical="center"/>
    </xf>
    <xf numFmtId="14" fontId="0" fillId="2" borderId="1" xfId="0" applyNumberFormat="1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41" fontId="6" fillId="0" borderId="0" xfId="1" applyFont="1">
      <alignment vertical="center"/>
    </xf>
    <xf numFmtId="176" fontId="7" fillId="0" borderId="0" xfId="0" applyNumberFormat="1" applyFont="1">
      <alignment vertical="center"/>
    </xf>
    <xf numFmtId="176" fontId="0" fillId="2" borderId="1" xfId="0" applyNumberFormat="1" applyFill="1" applyBorder="1" applyAlignment="1">
      <alignment horizontal="center" vertical="center"/>
    </xf>
    <xf numFmtId="41" fontId="8" fillId="5" borderId="0" xfId="1" applyFont="1" applyFill="1">
      <alignment vertical="center"/>
    </xf>
    <xf numFmtId="0" fontId="0" fillId="0" borderId="0" xfId="0" applyAlignment="1">
      <alignment horizontal="right" vertical="center"/>
    </xf>
    <xf numFmtId="41" fontId="8" fillId="6" borderId="0" xfId="1" applyFont="1" applyFill="1">
      <alignment vertical="center"/>
    </xf>
    <xf numFmtId="14" fontId="6" fillId="0" borderId="0" xfId="0" applyNumberFormat="1" applyFont="1" applyAlignment="1">
      <alignment horizontal="center" vertical="center"/>
    </xf>
    <xf numFmtId="176" fontId="9" fillId="0" borderId="0" xfId="0" applyNumberFormat="1" applyFont="1">
      <alignment vertical="center"/>
    </xf>
    <xf numFmtId="10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4" fontId="0" fillId="7" borderId="0" xfId="0" applyNumberFormat="1" applyFill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14" fontId="0" fillId="0" borderId="0" xfId="0" applyNumberFormat="1" applyBorder="1" applyAlignment="1">
      <alignment horizontal="center" vertical="center"/>
    </xf>
    <xf numFmtId="41" fontId="0" fillId="0" borderId="0" xfId="1" applyFont="1" applyBorder="1">
      <alignment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14" fontId="0" fillId="0" borderId="2" xfId="0" applyNumberFormat="1" applyBorder="1" applyAlignment="1">
      <alignment horizontal="center" vertical="center"/>
    </xf>
    <xf numFmtId="41" fontId="0" fillId="0" borderId="2" xfId="1" applyFont="1" applyBorder="1">
      <alignment vertical="center"/>
    </xf>
    <xf numFmtId="41" fontId="10" fillId="0" borderId="0" xfId="1" applyFont="1">
      <alignment vertical="center"/>
    </xf>
    <xf numFmtId="0" fontId="10" fillId="0" borderId="0" xfId="0" applyFont="1">
      <alignment vertical="center"/>
    </xf>
    <xf numFmtId="0" fontId="11" fillId="0" borderId="0" xfId="2">
      <alignment vertical="center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41" fontId="0" fillId="0" borderId="0" xfId="3" applyFont="1">
      <alignment vertical="center"/>
    </xf>
    <xf numFmtId="14" fontId="13" fillId="0" borderId="4" xfId="3" applyNumberFormat="1" applyFont="1" applyBorder="1" applyAlignment="1">
      <alignment horizontal="center" vertical="center"/>
    </xf>
    <xf numFmtId="14" fontId="13" fillId="0" borderId="0" xfId="3" applyNumberFormat="1" applyFont="1" applyAlignment="1">
      <alignment horizontal="center" vertical="center"/>
    </xf>
    <xf numFmtId="41" fontId="13" fillId="0" borderId="4" xfId="3" applyFont="1" applyBorder="1">
      <alignment vertical="center"/>
    </xf>
    <xf numFmtId="3" fontId="0" fillId="0" borderId="0" xfId="3" applyNumberFormat="1" applyFont="1">
      <alignment vertical="center"/>
    </xf>
    <xf numFmtId="14" fontId="14" fillId="0" borderId="0" xfId="3" applyNumberFormat="1" applyFont="1" applyAlignment="1">
      <alignment horizontal="center" vertical="center"/>
    </xf>
    <xf numFmtId="41" fontId="13" fillId="0" borderId="5" xfId="3" applyFont="1" applyBorder="1">
      <alignment vertical="center"/>
    </xf>
    <xf numFmtId="10" fontId="14" fillId="0" borderId="0" xfId="4" applyNumberFormat="1" applyFont="1">
      <alignment vertical="center"/>
    </xf>
    <xf numFmtId="176" fontId="14" fillId="0" borderId="0" xfId="4" applyNumberFormat="1" applyFont="1">
      <alignment vertical="center"/>
    </xf>
    <xf numFmtId="41" fontId="0" fillId="0" borderId="3" xfId="3" applyFont="1" applyBorder="1">
      <alignment vertical="center"/>
    </xf>
    <xf numFmtId="10" fontId="0" fillId="0" borderId="0" xfId="4" applyNumberFormat="1" applyFont="1">
      <alignment vertical="center"/>
    </xf>
    <xf numFmtId="41" fontId="15" fillId="2" borderId="1" xfId="3" applyFont="1" applyFill="1" applyBorder="1">
      <alignment vertical="center"/>
    </xf>
    <xf numFmtId="9" fontId="6" fillId="0" borderId="0" xfId="3" applyNumberFormat="1" applyFont="1">
      <alignment vertical="center"/>
    </xf>
    <xf numFmtId="41" fontId="6" fillId="0" borderId="0" xfId="3" applyFont="1">
      <alignment vertical="center"/>
    </xf>
    <xf numFmtId="3" fontId="6" fillId="0" borderId="0" xfId="3" applyNumberFormat="1" applyFont="1">
      <alignment vertical="center"/>
    </xf>
    <xf numFmtId="9" fontId="0" fillId="0" borderId="0" xfId="3" applyNumberFormat="1" applyFont="1" applyAlignment="1">
      <alignment horizontal="center" vertical="center"/>
    </xf>
    <xf numFmtId="41" fontId="0" fillId="0" borderId="0" xfId="3" applyNumberFormat="1" applyFont="1">
      <alignment vertical="center"/>
    </xf>
    <xf numFmtId="41" fontId="0" fillId="0" borderId="3" xfId="3" applyNumberFormat="1" applyFont="1" applyBorder="1">
      <alignment vertical="center"/>
    </xf>
    <xf numFmtId="41" fontId="15" fillId="4" borderId="1" xfId="3" applyFont="1" applyFill="1" applyBorder="1">
      <alignment vertical="center"/>
    </xf>
    <xf numFmtId="41" fontId="6" fillId="4" borderId="1" xfId="3" applyFont="1" applyFill="1" applyBorder="1">
      <alignment vertical="center"/>
    </xf>
    <xf numFmtId="14" fontId="16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>
      <alignment vertical="center"/>
    </xf>
    <xf numFmtId="43" fontId="0" fillId="0" borderId="0" xfId="0" applyNumberForma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7" fillId="0" borderId="6" xfId="0" applyFont="1" applyBorder="1">
      <alignment vertical="center"/>
    </xf>
    <xf numFmtId="0" fontId="20" fillId="0" borderId="0" xfId="0" applyFont="1">
      <alignment vertical="center"/>
    </xf>
    <xf numFmtId="41" fontId="0" fillId="0" borderId="0" xfId="1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1" fontId="0" fillId="0" borderId="0" xfId="6" applyFont="1">
      <alignment vertical="center"/>
    </xf>
    <xf numFmtId="41" fontId="11" fillId="0" borderId="0" xfId="2" applyNumberFormat="1">
      <alignment vertical="center"/>
    </xf>
    <xf numFmtId="41" fontId="0" fillId="3" borderId="14" xfId="6" applyFont="1" applyFill="1" applyBorder="1">
      <alignment vertical="center"/>
    </xf>
    <xf numFmtId="14" fontId="13" fillId="0" borderId="4" xfId="6" applyNumberFormat="1" applyFont="1" applyBorder="1" applyAlignment="1">
      <alignment horizontal="center" vertical="center"/>
    </xf>
    <xf numFmtId="41" fontId="13" fillId="0" borderId="4" xfId="6" applyFont="1" applyBorder="1">
      <alignment vertical="center"/>
    </xf>
    <xf numFmtId="41" fontId="0" fillId="3" borderId="1" xfId="6" applyFont="1" applyFill="1" applyBorder="1">
      <alignment vertical="center"/>
    </xf>
    <xf numFmtId="178" fontId="23" fillId="9" borderId="15" xfId="6" applyNumberFormat="1" applyFont="1" applyFill="1" applyBorder="1">
      <alignment vertical="center"/>
    </xf>
    <xf numFmtId="3" fontId="0" fillId="0" borderId="0" xfId="6" applyNumberFormat="1" applyFont="1">
      <alignment vertical="center"/>
    </xf>
    <xf numFmtId="41" fontId="24" fillId="0" borderId="0" xfId="6" applyFont="1" applyAlignment="1">
      <alignment horizontal="left" vertical="center"/>
    </xf>
    <xf numFmtId="41" fontId="15" fillId="3" borderId="1" xfId="6" applyFont="1" applyFill="1" applyBorder="1" applyAlignment="1">
      <alignment horizontal="center" vertical="center"/>
    </xf>
    <xf numFmtId="41" fontId="15" fillId="3" borderId="16" xfId="6" applyFont="1" applyFill="1" applyBorder="1">
      <alignment vertical="center"/>
    </xf>
    <xf numFmtId="41" fontId="15" fillId="3" borderId="11" xfId="6" applyFont="1" applyFill="1" applyBorder="1" applyAlignment="1">
      <alignment horizontal="center" vertical="center"/>
    </xf>
    <xf numFmtId="179" fontId="13" fillId="0" borderId="5" xfId="6" applyNumberFormat="1" applyFont="1" applyBorder="1">
      <alignment vertical="center"/>
    </xf>
    <xf numFmtId="9" fontId="15" fillId="3" borderId="1" xfId="6" applyNumberFormat="1" applyFont="1" applyFill="1" applyBorder="1" applyAlignment="1">
      <alignment horizontal="center" vertical="center" wrapText="1"/>
    </xf>
    <xf numFmtId="9" fontId="15" fillId="3" borderId="1" xfId="6" applyNumberFormat="1" applyFont="1" applyFill="1" applyBorder="1" applyAlignment="1">
      <alignment horizontal="center" vertical="center"/>
    </xf>
    <xf numFmtId="179" fontId="25" fillId="9" borderId="1" xfId="6" applyNumberFormat="1" applyFont="1" applyFill="1" applyBorder="1">
      <alignment vertical="center"/>
    </xf>
    <xf numFmtId="41" fontId="15" fillId="10" borderId="1" xfId="6" applyFont="1" applyFill="1" applyBorder="1" applyAlignment="1">
      <alignment horizontal="center" vertical="center"/>
    </xf>
    <xf numFmtId="41" fontId="15" fillId="10" borderId="1" xfId="6" applyFont="1" applyFill="1" applyBorder="1">
      <alignment vertical="center"/>
    </xf>
    <xf numFmtId="41" fontId="15" fillId="9" borderId="1" xfId="6" applyFont="1" applyFill="1" applyBorder="1" applyAlignment="1">
      <alignment horizontal="center" vertical="center"/>
    </xf>
    <xf numFmtId="178" fontId="23" fillId="9" borderId="1" xfId="6" applyNumberFormat="1" applyFont="1" applyFill="1" applyBorder="1">
      <alignment vertical="center"/>
    </xf>
    <xf numFmtId="9" fontId="15" fillId="3" borderId="17" xfId="6" applyNumberFormat="1" applyFont="1" applyFill="1" applyBorder="1" applyAlignment="1">
      <alignment horizontal="center" vertical="center"/>
    </xf>
    <xf numFmtId="179" fontId="25" fillId="9" borderId="17" xfId="6" applyNumberFormat="1" applyFont="1" applyFill="1" applyBorder="1">
      <alignment vertical="center"/>
    </xf>
    <xf numFmtId="41" fontId="8" fillId="4" borderId="15" xfId="6" applyFont="1" applyFill="1" applyBorder="1" applyAlignment="1">
      <alignment horizontal="left" vertical="center"/>
    </xf>
    <xf numFmtId="179" fontId="8" fillId="4" borderId="15" xfId="6" applyNumberFormat="1" applyFont="1" applyFill="1" applyBorder="1">
      <alignment vertical="center"/>
    </xf>
    <xf numFmtId="14" fontId="0" fillId="0" borderId="0" xfId="6" applyNumberFormat="1" applyFont="1">
      <alignment vertical="center"/>
    </xf>
    <xf numFmtId="178" fontId="6" fillId="8" borderId="0" xfId="1" applyNumberFormat="1" applyFont="1" applyFill="1">
      <alignment vertical="center"/>
    </xf>
    <xf numFmtId="14" fontId="8" fillId="5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41" fontId="8" fillId="9" borderId="0" xfId="1" applyFont="1" applyFill="1">
      <alignment vertical="center"/>
    </xf>
    <xf numFmtId="176" fontId="8" fillId="14" borderId="0" xfId="1" applyNumberFormat="1" applyFont="1" applyFill="1">
      <alignment vertical="center"/>
    </xf>
    <xf numFmtId="41" fontId="6" fillId="12" borderId="0" xfId="1" applyFont="1" applyFill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14" fontId="27" fillId="0" borderId="0" xfId="0" applyNumberFormat="1" applyFont="1">
      <alignment vertical="center"/>
    </xf>
    <xf numFmtId="14" fontId="27" fillId="0" borderId="0" xfId="0" applyNumberFormat="1" applyFont="1" applyAlignment="1">
      <alignment horizontal="center" vertical="center"/>
    </xf>
    <xf numFmtId="41" fontId="27" fillId="0" borderId="0" xfId="1" applyFont="1">
      <alignment vertical="center"/>
    </xf>
    <xf numFmtId="41" fontId="28" fillId="0" borderId="0" xfId="1" applyFont="1">
      <alignment vertical="center"/>
    </xf>
    <xf numFmtId="0" fontId="0" fillId="0" borderId="0" xfId="0" quotePrefix="1">
      <alignment vertical="center"/>
    </xf>
    <xf numFmtId="0" fontId="29" fillId="0" borderId="0" xfId="0" applyFont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41" fontId="8" fillId="0" borderId="0" xfId="6" applyFont="1">
      <alignment vertical="center"/>
    </xf>
    <xf numFmtId="14" fontId="14" fillId="12" borderId="1" xfId="6" applyNumberFormat="1" applyFont="1" applyFill="1" applyBorder="1" applyAlignment="1">
      <alignment horizontal="center" vertical="center"/>
    </xf>
    <xf numFmtId="41" fontId="0" fillId="0" borderId="0" xfId="6" applyFont="1" applyAlignment="1">
      <alignment horizontal="right" vertical="center"/>
    </xf>
    <xf numFmtId="41" fontId="0" fillId="0" borderId="0" xfId="6" applyFont="1" applyAlignment="1">
      <alignment horizontal="center" vertical="center"/>
    </xf>
    <xf numFmtId="41" fontId="0" fillId="0" borderId="1" xfId="6" applyFont="1" applyBorder="1" applyAlignment="1">
      <alignment horizontal="center" vertical="center"/>
    </xf>
    <xf numFmtId="41" fontId="0" fillId="0" borderId="1" xfId="6" applyFont="1" applyBorder="1">
      <alignment vertical="center"/>
    </xf>
    <xf numFmtId="41" fontId="0" fillId="0" borderId="1" xfId="6" quotePrefix="1" applyFont="1" applyBorder="1" applyAlignment="1">
      <alignment horizontal="center" vertical="center"/>
    </xf>
    <xf numFmtId="41" fontId="8" fillId="13" borderId="1" xfId="6" applyFont="1" applyFill="1" applyBorder="1">
      <alignment vertical="center"/>
    </xf>
    <xf numFmtId="41" fontId="8" fillId="13" borderId="1" xfId="6" applyFont="1" applyFill="1" applyBorder="1" applyAlignment="1">
      <alignment horizontal="center" vertical="center"/>
    </xf>
    <xf numFmtId="176" fontId="14" fillId="9" borderId="1" xfId="7" applyNumberFormat="1" applyFont="1" applyFill="1" applyBorder="1" applyAlignment="1">
      <alignment horizontal="center" vertical="center"/>
    </xf>
    <xf numFmtId="10" fontId="14" fillId="10" borderId="1" xfId="7" applyNumberFormat="1" applyFont="1" applyFill="1" applyBorder="1" applyAlignment="1">
      <alignment horizontal="center" vertical="center"/>
    </xf>
    <xf numFmtId="41" fontId="20" fillId="0" borderId="0" xfId="6" applyFont="1" applyAlignment="1">
      <alignment horizontal="center" vertical="center"/>
    </xf>
    <xf numFmtId="178" fontId="20" fillId="0" borderId="0" xfId="1" applyNumberFormat="1" applyFont="1">
      <alignment vertical="center"/>
    </xf>
    <xf numFmtId="178" fontId="23" fillId="9" borderId="1" xfId="6" applyNumberFormat="1" applyFont="1" applyFill="1" applyBorder="1" applyAlignment="1">
      <alignment horizontal="center" vertical="center"/>
    </xf>
    <xf numFmtId="179" fontId="8" fillId="13" borderId="1" xfId="6" applyNumberFormat="1" applyFont="1" applyFill="1" applyBorder="1">
      <alignment vertical="center"/>
    </xf>
    <xf numFmtId="41" fontId="8" fillId="13" borderId="15" xfId="6" applyFont="1" applyFill="1" applyBorder="1">
      <alignment vertical="center"/>
    </xf>
    <xf numFmtId="14" fontId="31" fillId="0" borderId="4" xfId="6" applyNumberFormat="1" applyFont="1" applyBorder="1" applyAlignment="1">
      <alignment horizontal="center" vertical="center"/>
    </xf>
    <xf numFmtId="10" fontId="8" fillId="15" borderId="1" xfId="5" applyNumberFormat="1" applyFont="1" applyFill="1" applyBorder="1">
      <alignment vertical="center"/>
    </xf>
    <xf numFmtId="41" fontId="8" fillId="4" borderId="1" xfId="6" applyFont="1" applyFill="1" applyBorder="1" applyAlignment="1">
      <alignment horizontal="center" vertical="center"/>
    </xf>
    <xf numFmtId="179" fontId="8" fillId="4" borderId="1" xfId="6" applyNumberFormat="1" applyFont="1" applyFill="1" applyBorder="1">
      <alignment vertical="center"/>
    </xf>
    <xf numFmtId="10" fontId="8" fillId="0" borderId="1" xfId="8" applyNumberFormat="1" applyFont="1" applyBorder="1" applyAlignment="1">
      <alignment horizontal="center" vertical="center"/>
    </xf>
    <xf numFmtId="41" fontId="0" fillId="0" borderId="0" xfId="6" applyFont="1" applyAlignment="1">
      <alignment vertical="center"/>
    </xf>
    <xf numFmtId="10" fontId="14" fillId="9" borderId="1" xfId="7" applyNumberFormat="1" applyFont="1" applyFill="1" applyBorder="1" applyAlignment="1">
      <alignment horizontal="center" vertical="center"/>
    </xf>
    <xf numFmtId="9" fontId="14" fillId="9" borderId="1" xfId="7" applyNumberFormat="1" applyFont="1" applyFill="1" applyBorder="1" applyAlignment="1">
      <alignment horizontal="center" vertical="center"/>
    </xf>
    <xf numFmtId="179" fontId="25" fillId="9" borderId="1" xfId="1" applyNumberFormat="1" applyFont="1" applyFill="1" applyBorder="1">
      <alignment vertical="center"/>
    </xf>
    <xf numFmtId="179" fontId="8" fillId="4" borderId="15" xfId="1" applyNumberFormat="1" applyFont="1" applyFill="1" applyBorder="1">
      <alignment vertical="center"/>
    </xf>
    <xf numFmtId="179" fontId="8" fillId="11" borderId="1" xfId="6" applyNumberFormat="1" applyFont="1" applyFill="1" applyBorder="1">
      <alignment vertical="center"/>
    </xf>
    <xf numFmtId="180" fontId="31" fillId="0" borderId="4" xfId="6" applyNumberFormat="1" applyFont="1" applyBorder="1" applyAlignment="1">
      <alignment horizontal="center" vertical="center"/>
    </xf>
    <xf numFmtId="3" fontId="8" fillId="8" borderId="0" xfId="6" applyNumberFormat="1" applyFont="1" applyFill="1">
      <alignment vertical="center"/>
    </xf>
    <xf numFmtId="41" fontId="8" fillId="0" borderId="0" xfId="6" applyFont="1" applyBorder="1" applyAlignment="1">
      <alignment horizontal="center" vertical="center"/>
    </xf>
    <xf numFmtId="41" fontId="0" fillId="0" borderId="0" xfId="6" applyFont="1" applyBorder="1">
      <alignment vertical="center"/>
    </xf>
    <xf numFmtId="41" fontId="0" fillId="0" borderId="18" xfId="6" applyFont="1" applyBorder="1">
      <alignment vertical="center"/>
    </xf>
    <xf numFmtId="41" fontId="10" fillId="15" borderId="15" xfId="6" applyFont="1" applyFill="1" applyBorder="1">
      <alignment vertical="center"/>
    </xf>
    <xf numFmtId="41" fontId="10" fillId="15" borderId="17" xfId="6" applyFont="1" applyFill="1" applyBorder="1">
      <alignment vertical="center"/>
    </xf>
    <xf numFmtId="41" fontId="8" fillId="3" borderId="15" xfId="6" applyFont="1" applyFill="1" applyBorder="1">
      <alignment vertical="center"/>
    </xf>
    <xf numFmtId="41" fontId="15" fillId="3" borderId="17" xfId="6" applyFont="1" applyFill="1" applyBorder="1" applyAlignment="1">
      <alignment horizontal="center" vertical="center"/>
    </xf>
    <xf numFmtId="179" fontId="6" fillId="16" borderId="17" xfId="6" applyNumberFormat="1" applyFont="1" applyFill="1" applyBorder="1">
      <alignment vertical="center"/>
    </xf>
    <xf numFmtId="41" fontId="15" fillId="3" borderId="15" xfId="6" applyFont="1" applyFill="1" applyBorder="1" applyAlignment="1">
      <alignment horizontal="center" vertical="center"/>
    </xf>
    <xf numFmtId="179" fontId="6" fillId="16" borderId="15" xfId="6" applyNumberFormat="1" applyFont="1" applyFill="1" applyBorder="1">
      <alignment vertical="center"/>
    </xf>
    <xf numFmtId="41" fontId="15" fillId="3" borderId="19" xfId="6" applyFont="1" applyFill="1" applyBorder="1" applyAlignment="1">
      <alignment horizontal="center" vertical="center"/>
    </xf>
    <xf numFmtId="41" fontId="15" fillId="3" borderId="19" xfId="6" applyFont="1" applyFill="1" applyBorder="1">
      <alignment vertical="center"/>
    </xf>
    <xf numFmtId="41" fontId="8" fillId="13" borderId="19" xfId="6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3" fillId="0" borderId="0" xfId="0" applyFont="1">
      <alignment vertical="center"/>
    </xf>
  </cellXfs>
  <cellStyles count="9">
    <cellStyle name="백분율" xfId="5" builtinId="5"/>
    <cellStyle name="백분율 2" xfId="4" xr:uid="{917AACDA-94FB-4FED-BDFE-032A82B88562}"/>
    <cellStyle name="백분율 2 2" xfId="8" xr:uid="{E0F09E6D-188C-490D-92CB-D59A9250177C}"/>
    <cellStyle name="백분율 3" xfId="7" xr:uid="{9A26800D-C39D-4DC3-9897-365A0ECBCB21}"/>
    <cellStyle name="쉼표 [0]" xfId="1" builtinId="6"/>
    <cellStyle name="쉼표 [0] 2" xfId="3" xr:uid="{DA47DEFE-AE17-4086-AA04-424137848CDE}"/>
    <cellStyle name="쉼표 [0] 3" xfId="6" xr:uid="{FD006150-78B8-4BA1-A4CD-210F649E943D}"/>
    <cellStyle name="표준" xfId="0" builtinId="0"/>
    <cellStyle name="하이퍼링크" xfId="2" builtinId="8"/>
  </cellStyles>
  <dxfs count="2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85725</xdr:colOff>
      <xdr:row>0</xdr:row>
      <xdr:rowOff>9525</xdr:rowOff>
    </xdr:from>
    <xdr:to>
      <xdr:col>27</xdr:col>
      <xdr:colOff>372376</xdr:colOff>
      <xdr:row>21</xdr:row>
      <xdr:rowOff>38607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145909B-18C6-4219-B925-018F9B96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9525"/>
          <a:ext cx="6458851" cy="3629532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25</xdr:row>
      <xdr:rowOff>142875</xdr:rowOff>
    </xdr:from>
    <xdr:to>
      <xdr:col>27</xdr:col>
      <xdr:colOff>83869</xdr:colOff>
      <xdr:row>84</xdr:row>
      <xdr:rowOff>66675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44910459-F5CB-4AA9-85D4-2A4FC9BB3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4429125"/>
          <a:ext cx="619891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8</xdr:col>
      <xdr:colOff>143958</xdr:colOff>
      <xdr:row>78</xdr:row>
      <xdr:rowOff>67522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DC62D96B-7C1B-492A-B8F9-A1A48697B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48500"/>
          <a:ext cx="7763958" cy="6068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31</xdr:row>
      <xdr:rowOff>0</xdr:rowOff>
    </xdr:from>
    <xdr:to>
      <xdr:col>14</xdr:col>
      <xdr:colOff>38100</xdr:colOff>
      <xdr:row>55</xdr:row>
      <xdr:rowOff>190696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3FB509-5C8C-4045-A8C2-22377D9B1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8350" y="6953250"/>
          <a:ext cx="7772400" cy="5315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33</xdr:row>
      <xdr:rowOff>19050</xdr:rowOff>
    </xdr:from>
    <xdr:to>
      <xdr:col>21</xdr:col>
      <xdr:colOff>293222</xdr:colOff>
      <xdr:row>91</xdr:row>
      <xdr:rowOff>133350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A8B3EC3-9C51-433B-9E03-A3E14679B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5695950"/>
          <a:ext cx="7113122" cy="100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2</xdr:row>
      <xdr:rowOff>85725</xdr:rowOff>
    </xdr:from>
    <xdr:to>
      <xdr:col>20</xdr:col>
      <xdr:colOff>239049</xdr:colOff>
      <xdr:row>33</xdr:row>
      <xdr:rowOff>29312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590F69C2-FD88-4951-9B5C-EE43A75DA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175" y="428625"/>
          <a:ext cx="6620799" cy="52775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16</xdr:row>
      <xdr:rowOff>161925</xdr:rowOff>
    </xdr:from>
    <xdr:to>
      <xdr:col>20</xdr:col>
      <xdr:colOff>479113</xdr:colOff>
      <xdr:row>75</xdr:row>
      <xdr:rowOff>85725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A028ADF-0717-4864-AFDE-0C763C1AA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900" y="2905125"/>
          <a:ext cx="7118038" cy="10058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152400</xdr:rowOff>
    </xdr:from>
    <xdr:to>
      <xdr:col>20</xdr:col>
      <xdr:colOff>228600</xdr:colOff>
      <xdr:row>32</xdr:row>
      <xdr:rowOff>47821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CC7895B-A05C-4047-9F65-E581753B5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52450"/>
          <a:ext cx="7772400" cy="5315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afe.daum.net/transtax/6zzM/92" TargetMode="External"/><Relationship Id="rId1" Type="http://schemas.openxmlformats.org/officeDocument/2006/relationships/hyperlink" Target="http://cafe.daum.net/transtax/6zzM/90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afe.daum.net/transtax/IZQL/3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afe.daum.net/transtax/6zzM/9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afe.daum.net/transtax/6zzM/9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21AE-BD26-4D25-96A6-0DEF057738A5}">
  <sheetPr>
    <tabColor theme="9" tint="-0.249977111117893"/>
  </sheetPr>
  <dimension ref="A1:V42"/>
  <sheetViews>
    <sheetView topLeftCell="A7" workbookViewId="0">
      <selection activeCell="B35" sqref="B35"/>
    </sheetView>
  </sheetViews>
  <sheetFormatPr defaultRowHeight="13.5" x14ac:dyDescent="0.15"/>
  <cols>
    <col min="1" max="1" width="26.75" customWidth="1"/>
    <col min="2" max="2" width="13.25" bestFit="1" customWidth="1"/>
    <col min="4" max="4" width="15" bestFit="1" customWidth="1"/>
    <col min="9" max="9" width="13.375" customWidth="1"/>
    <col min="10" max="10" width="11.375" customWidth="1"/>
    <col min="12" max="14" width="15.875" customWidth="1"/>
  </cols>
  <sheetData>
    <row r="1" spans="1:15" x14ac:dyDescent="0.15">
      <c r="A1" s="122" t="s">
        <v>235</v>
      </c>
      <c r="B1" s="2"/>
      <c r="C1" s="124" t="s">
        <v>237</v>
      </c>
      <c r="D1" s="1"/>
      <c r="I1" s="41" t="s">
        <v>238</v>
      </c>
      <c r="N1" s="7" t="s">
        <v>23</v>
      </c>
      <c r="O1" s="41" t="s">
        <v>24</v>
      </c>
    </row>
    <row r="2" spans="1:15" x14ac:dyDescent="0.15">
      <c r="A2" s="122" t="s">
        <v>236</v>
      </c>
      <c r="B2" s="2"/>
      <c r="C2" s="4"/>
      <c r="D2" s="1"/>
      <c r="J2" s="123" t="s">
        <v>228</v>
      </c>
      <c r="L2" s="82" t="s">
        <v>227</v>
      </c>
      <c r="M2" s="24" t="s">
        <v>29</v>
      </c>
      <c r="N2" s="7"/>
      <c r="O2" s="41"/>
    </row>
    <row r="3" spans="1:15" x14ac:dyDescent="0.15">
      <c r="B3" s="3" t="s">
        <v>208</v>
      </c>
      <c r="C3" s="3"/>
      <c r="D3" s="83" t="s">
        <v>209</v>
      </c>
      <c r="I3" s="111">
        <f>J3+1</f>
        <v>43508</v>
      </c>
      <c r="J3" s="17">
        <v>43507</v>
      </c>
      <c r="L3" s="111">
        <v>43831</v>
      </c>
      <c r="M3" s="17">
        <f>N3+1</f>
        <v>43466</v>
      </c>
      <c r="N3" s="17">
        <v>43465</v>
      </c>
    </row>
    <row r="4" spans="1:15" x14ac:dyDescent="0.15">
      <c r="A4" t="s">
        <v>223</v>
      </c>
      <c r="B4" s="8">
        <v>44039</v>
      </c>
      <c r="C4" s="4" t="str">
        <f>TEXT(B4,"aaa")</f>
        <v>월</v>
      </c>
      <c r="D4" s="12">
        <v>23535000</v>
      </c>
      <c r="E4" t="s">
        <v>230</v>
      </c>
      <c r="I4" s="18">
        <f>I3</f>
        <v>43508</v>
      </c>
      <c r="J4" s="19">
        <f>J3</f>
        <v>43507</v>
      </c>
      <c r="L4" s="18">
        <f>L3</f>
        <v>43831</v>
      </c>
      <c r="M4" s="18">
        <f>M3</f>
        <v>43466</v>
      </c>
      <c r="N4" s="19">
        <f>N3</f>
        <v>43465</v>
      </c>
    </row>
    <row r="5" spans="1:15" x14ac:dyDescent="0.15">
      <c r="A5" s="1"/>
      <c r="B5" s="1"/>
      <c r="C5" s="1"/>
      <c r="D5" s="1"/>
      <c r="I5" s="112">
        <f>25/100000</f>
        <v>2.5000000000000001E-4</v>
      </c>
      <c r="J5" s="22">
        <f>3/10000</f>
        <v>2.9999999999999997E-4</v>
      </c>
      <c r="L5" s="112">
        <f>2.5/10000</f>
        <v>2.5000000000000001E-4</v>
      </c>
      <c r="M5" s="22">
        <f>75/10000</f>
        <v>7.4999999999999997E-3</v>
      </c>
      <c r="N5" s="22">
        <f>12/1000</f>
        <v>1.2E-2</v>
      </c>
    </row>
    <row r="6" spans="1:15" x14ac:dyDescent="0.15">
      <c r="B6" s="2"/>
      <c r="C6" s="4"/>
      <c r="D6" s="1"/>
    </row>
    <row r="7" spans="1:15" x14ac:dyDescent="0.15">
      <c r="A7" t="s">
        <v>224</v>
      </c>
      <c r="B7" s="8">
        <v>44074</v>
      </c>
      <c r="C7" s="4" t="str">
        <f>TEXT(B7,"aaa")</f>
        <v>월</v>
      </c>
      <c r="D7" s="110">
        <f>B7-B4</f>
        <v>35</v>
      </c>
      <c r="G7" t="s">
        <v>20</v>
      </c>
    </row>
    <row r="8" spans="1:15" x14ac:dyDescent="0.15">
      <c r="B8" s="2"/>
      <c r="C8" s="4"/>
      <c r="D8" s="114">
        <f>I5</f>
        <v>2.5000000000000001E-4</v>
      </c>
    </row>
    <row r="9" spans="1:15" x14ac:dyDescent="0.15">
      <c r="A9" t="s">
        <v>225</v>
      </c>
      <c r="B9" s="2" t="s">
        <v>226</v>
      </c>
      <c r="C9" s="4"/>
      <c r="D9" s="113">
        <f>D4*D7*D8</f>
        <v>205931.25</v>
      </c>
      <c r="E9" t="s">
        <v>231</v>
      </c>
    </row>
    <row r="10" spans="1:15" x14ac:dyDescent="0.15">
      <c r="B10" s="2"/>
      <c r="C10" s="4"/>
      <c r="D10" s="1"/>
      <c r="I10" s="24" t="s">
        <v>22</v>
      </c>
      <c r="J10" s="7"/>
      <c r="L10" s="24" t="s">
        <v>27</v>
      </c>
      <c r="M10" s="7" t="s">
        <v>26</v>
      </c>
    </row>
    <row r="11" spans="1:15" x14ac:dyDescent="0.15">
      <c r="B11" s="26">
        <f>B7</f>
        <v>44074</v>
      </c>
      <c r="C11" s="4" t="s">
        <v>229</v>
      </c>
      <c r="D11" s="115">
        <f>SUM(D4,D9)</f>
        <v>23740931.25</v>
      </c>
      <c r="E11" t="s">
        <v>232</v>
      </c>
      <c r="I11" s="17">
        <f>J11+1</f>
        <v>43466</v>
      </c>
      <c r="J11" s="17">
        <v>43465</v>
      </c>
      <c r="L11" s="17">
        <f>M11+1</f>
        <v>43466</v>
      </c>
      <c r="M11" s="17">
        <v>43465</v>
      </c>
    </row>
    <row r="12" spans="1:15" x14ac:dyDescent="0.15">
      <c r="B12" s="2"/>
      <c r="C12" s="4"/>
      <c r="D12" s="1"/>
      <c r="I12" s="18">
        <f>I11</f>
        <v>43466</v>
      </c>
      <c r="J12" s="19">
        <f>J11</f>
        <v>43465</v>
      </c>
      <c r="L12" s="18">
        <f>L11</f>
        <v>43466</v>
      </c>
      <c r="M12" s="19">
        <f>M11</f>
        <v>43465</v>
      </c>
    </row>
    <row r="13" spans="1:15" x14ac:dyDescent="0.15">
      <c r="B13" s="2"/>
      <c r="C13" s="4"/>
      <c r="D13" s="1"/>
      <c r="I13" s="22">
        <f>25/100000</f>
        <v>2.5000000000000001E-4</v>
      </c>
      <c r="J13" s="22">
        <f>3/10000</f>
        <v>2.9999999999999997E-4</v>
      </c>
      <c r="L13" s="22">
        <f>75/10000</f>
        <v>7.4999999999999997E-3</v>
      </c>
      <c r="M13" s="22">
        <f>12/1000</f>
        <v>1.2E-2</v>
      </c>
    </row>
    <row r="14" spans="1:15" x14ac:dyDescent="0.15">
      <c r="B14" s="2"/>
      <c r="C14" s="4"/>
      <c r="D14" s="1"/>
      <c r="I14" s="7" t="s">
        <v>31</v>
      </c>
      <c r="L14" t="s">
        <v>30</v>
      </c>
    </row>
    <row r="15" spans="1:15" x14ac:dyDescent="0.15">
      <c r="B15" s="2"/>
      <c r="C15" s="4"/>
      <c r="D15" s="1"/>
    </row>
    <row r="16" spans="1:15" x14ac:dyDescent="0.15">
      <c r="B16" s="2"/>
      <c r="C16" s="4"/>
      <c r="D16" s="1"/>
    </row>
    <row r="17" spans="1:11" x14ac:dyDescent="0.15">
      <c r="B17" s="2"/>
      <c r="C17" s="4"/>
      <c r="D17" s="1"/>
    </row>
    <row r="18" spans="1:11" x14ac:dyDescent="0.15">
      <c r="B18" s="2"/>
      <c r="C18" s="4"/>
      <c r="D18" s="1"/>
      <c r="I18" s="84">
        <v>43831</v>
      </c>
    </row>
    <row r="19" spans="1:11" x14ac:dyDescent="0.15">
      <c r="B19" s="2"/>
      <c r="C19" s="4"/>
      <c r="D19" s="1"/>
    </row>
    <row r="20" spans="1:11" x14ac:dyDescent="0.15">
      <c r="B20" s="2"/>
      <c r="C20" s="4"/>
      <c r="D20" s="1"/>
    </row>
    <row r="21" spans="1:11" x14ac:dyDescent="0.15">
      <c r="B21" s="2"/>
      <c r="C21" s="4"/>
      <c r="D21" s="1"/>
    </row>
    <row r="22" spans="1:11" x14ac:dyDescent="0.15">
      <c r="B22" s="6"/>
      <c r="C22" s="4"/>
      <c r="D22" s="1"/>
      <c r="E22" s="5"/>
    </row>
    <row r="23" spans="1:11" x14ac:dyDescent="0.15">
      <c r="C23" s="4"/>
      <c r="D23" t="s">
        <v>8</v>
      </c>
      <c r="E23" s="5"/>
    </row>
    <row r="24" spans="1:11" x14ac:dyDescent="0.15">
      <c r="A24" s="3" t="s">
        <v>234</v>
      </c>
      <c r="B24" s="65">
        <v>44075</v>
      </c>
      <c r="C24" s="4"/>
      <c r="D24" s="20">
        <f>D11</f>
        <v>23740931.25</v>
      </c>
      <c r="E24" t="str">
        <f>IF(D24&gt;=1000000,"100만원이상 중가산금대상","100만원 미만 중가산금제외")</f>
        <v>100만원이상 중가산금대상</v>
      </c>
    </row>
    <row r="25" spans="1:11" x14ac:dyDescent="0.15">
      <c r="B25" s="4"/>
      <c r="C25" s="4"/>
      <c r="D25" s="1"/>
    </row>
    <row r="26" spans="1:11" x14ac:dyDescent="0.15">
      <c r="A26" t="s">
        <v>9</v>
      </c>
      <c r="B26" s="4"/>
      <c r="C26" s="4"/>
      <c r="D26" s="1"/>
    </row>
    <row r="27" spans="1:11" x14ac:dyDescent="0.15">
      <c r="A27" t="s">
        <v>220</v>
      </c>
      <c r="B27" s="64">
        <f>B24+30</f>
        <v>44105</v>
      </c>
      <c r="C27" s="4"/>
      <c r="D27" s="39">
        <f>TRUNC(D24*E27,-1)</f>
        <v>712220</v>
      </c>
      <c r="E27" s="28">
        <v>0.03</v>
      </c>
      <c r="F27" s="82" t="s">
        <v>241</v>
      </c>
    </row>
    <row r="28" spans="1:11" x14ac:dyDescent="0.15">
      <c r="B28" s="4" t="s">
        <v>11</v>
      </c>
      <c r="C28" s="4"/>
      <c r="D28" s="20">
        <f>TRUNC(SUM(D27,D24),-1)</f>
        <v>24453150</v>
      </c>
    </row>
    <row r="29" spans="1:11" x14ac:dyDescent="0.15">
      <c r="B29" s="2"/>
      <c r="C29" s="4"/>
      <c r="D29" s="1"/>
    </row>
    <row r="30" spans="1:11" x14ac:dyDescent="0.15">
      <c r="A30" s="116" t="s">
        <v>10</v>
      </c>
      <c r="B30" s="118"/>
      <c r="C30" s="119"/>
      <c r="D30" s="120"/>
      <c r="J30" s="7"/>
    </row>
    <row r="31" spans="1:11" x14ac:dyDescent="0.15">
      <c r="A31" s="117" t="s">
        <v>12</v>
      </c>
      <c r="B31" s="119">
        <f>B27+31</f>
        <v>44136</v>
      </c>
      <c r="C31" s="119"/>
      <c r="D31" s="121">
        <f>IF(AND(D24&gt;=1000000,B4&lt;I18),TRUNC(D24*E31,-1),0)</f>
        <v>0</v>
      </c>
      <c r="E31" s="28">
        <f>IF(B31&lt;$M$3,$N$5,$M$5)</f>
        <v>7.4999999999999997E-3</v>
      </c>
      <c r="J31" s="7"/>
      <c r="K31" t="s">
        <v>221</v>
      </c>
    </row>
    <row r="32" spans="1:11" x14ac:dyDescent="0.15">
      <c r="B32" s="119" t="s">
        <v>13</v>
      </c>
      <c r="C32" s="119"/>
      <c r="D32" s="121">
        <f>SUM(D31,D28)</f>
        <v>24453150</v>
      </c>
      <c r="J32" s="7"/>
      <c r="K32" t="s">
        <v>222</v>
      </c>
    </row>
    <row r="33" spans="1:22" x14ac:dyDescent="0.15">
      <c r="A33" s="31"/>
      <c r="B33" s="32"/>
      <c r="C33" s="33"/>
      <c r="D33" s="34"/>
      <c r="E33" s="31"/>
      <c r="F33" s="31"/>
      <c r="G33" s="31"/>
      <c r="J33" s="7"/>
    </row>
    <row r="34" spans="1:22" x14ac:dyDescent="0.15">
      <c r="A34" t="s">
        <v>51</v>
      </c>
      <c r="B34" s="2"/>
      <c r="C34" s="4"/>
      <c r="D34" s="1"/>
      <c r="F34" s="3" t="s">
        <v>50</v>
      </c>
      <c r="H34" t="s">
        <v>200</v>
      </c>
      <c r="J34" s="7"/>
    </row>
    <row r="35" spans="1:22" x14ac:dyDescent="0.15">
      <c r="A35" s="66" t="s">
        <v>233</v>
      </c>
      <c r="B35" s="65">
        <f>B27+30</f>
        <v>44135</v>
      </c>
      <c r="C35" s="4"/>
      <c r="D35" s="39">
        <f>IF(AND(D24&gt;=1000000,B4&gt;=I18),TRUNC(D24*E35*F35,-1),0)</f>
        <v>178050</v>
      </c>
      <c r="E35" s="27">
        <v>2.5000000000000001E-4</v>
      </c>
      <c r="F35" s="110">
        <f>B35-B27</f>
        <v>30</v>
      </c>
      <c r="H35" t="s">
        <v>201</v>
      </c>
      <c r="J35" s="7"/>
    </row>
    <row r="36" spans="1:22" x14ac:dyDescent="0.15">
      <c r="B36" s="4" t="s">
        <v>13</v>
      </c>
      <c r="C36" s="4"/>
      <c r="D36" s="20">
        <f>SUM(D28,D35)</f>
        <v>24631200</v>
      </c>
      <c r="F36" t="s">
        <v>25</v>
      </c>
      <c r="G36" s="82" t="s">
        <v>242</v>
      </c>
      <c r="J36" s="7"/>
    </row>
    <row r="37" spans="1:22" x14ac:dyDescent="0.15">
      <c r="B37" s="4"/>
      <c r="C37" s="4"/>
      <c r="D37" s="20"/>
      <c r="J37" s="7"/>
    </row>
    <row r="38" spans="1:22" x14ac:dyDescent="0.15">
      <c r="A38" t="s">
        <v>239</v>
      </c>
      <c r="B38" s="4"/>
      <c r="C38" s="4"/>
      <c r="D38" s="20"/>
      <c r="J38" s="7"/>
    </row>
    <row r="39" spans="1:22" x14ac:dyDescent="0.15">
      <c r="A39" t="s">
        <v>240</v>
      </c>
      <c r="B39" s="4"/>
      <c r="C39" s="4"/>
      <c r="D39" s="20"/>
      <c r="J39" s="7"/>
    </row>
    <row r="40" spans="1:22" x14ac:dyDescent="0.15">
      <c r="B40" s="4"/>
      <c r="C40" s="4"/>
      <c r="D40" s="20"/>
      <c r="J40" s="7"/>
    </row>
    <row r="41" spans="1:22" ht="14.25" thickBot="1" x14ac:dyDescent="0.2">
      <c r="A41" s="35"/>
      <c r="B41" s="36"/>
      <c r="C41" s="37"/>
      <c r="D41" s="38"/>
      <c r="E41" s="35"/>
      <c r="F41" s="35"/>
      <c r="G41" s="35"/>
      <c r="H41" s="42"/>
      <c r="I41" s="42"/>
      <c r="J41" s="43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</row>
    <row r="42" spans="1:22" ht="14.25" thickTop="1" x14ac:dyDescent="0.15"/>
  </sheetData>
  <phoneticPr fontId="4" type="noConversion"/>
  <conditionalFormatting sqref="C4">
    <cfRule type="cellIs" dxfId="24" priority="3" operator="equal">
      <formula>"일"</formula>
    </cfRule>
    <cfRule type="cellIs" dxfId="23" priority="4" operator="equal">
      <formula>"토"</formula>
    </cfRule>
  </conditionalFormatting>
  <conditionalFormatting sqref="C7">
    <cfRule type="cellIs" dxfId="22" priority="1" operator="equal">
      <formula>"일"</formula>
    </cfRule>
    <cfRule type="cellIs" dxfId="21" priority="2" operator="equal">
      <formula>"토"</formula>
    </cfRule>
  </conditionalFormatting>
  <hyperlinks>
    <hyperlink ref="O1" r:id="rId1" xr:uid="{0C28B940-BEC1-4777-9738-C8B3A2D406BA}"/>
    <hyperlink ref="I1" r:id="rId2" xr:uid="{2FFC9283-A625-4E01-A2B9-0739D35AA447}"/>
  </hyperlinks>
  <pageMargins left="0.7" right="0.7" top="0.75" bottom="0.75" header="0.3" footer="0.3"/>
  <pageSetup paperSize="9" orientation="portrait" verticalDpi="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8459C-6708-47F0-BCAA-61920FD9C367}">
  <sheetPr>
    <tabColor rgb="FFFFC000"/>
  </sheetPr>
  <dimension ref="A1:M66"/>
  <sheetViews>
    <sheetView workbookViewId="0">
      <selection activeCell="I35" sqref="I35"/>
    </sheetView>
  </sheetViews>
  <sheetFormatPr defaultRowHeight="13.5" x14ac:dyDescent="0.15"/>
  <cols>
    <col min="1" max="1" width="30.25" style="85" customWidth="1"/>
    <col min="2" max="2" width="13.25" style="85" bestFit="1" customWidth="1"/>
    <col min="3" max="4" width="15.125" style="85" customWidth="1"/>
    <col min="5" max="5" width="13.125" style="85" customWidth="1"/>
    <col min="6" max="6" width="12.875" style="85" customWidth="1"/>
    <col min="7" max="9" width="9" style="85"/>
    <col min="10" max="10" width="14.125" style="85" customWidth="1"/>
    <col min="11" max="12" width="33.375" style="85" customWidth="1"/>
    <col min="13" max="13" width="11.625" style="85" bestFit="1" customWidth="1"/>
    <col min="14" max="14" width="9" style="85"/>
    <col min="15" max="15" width="10.875" style="85" bestFit="1" customWidth="1"/>
    <col min="16" max="16" width="9.375" style="85" bestFit="1" customWidth="1"/>
    <col min="17" max="16384" width="9" style="85"/>
  </cols>
  <sheetData>
    <row r="1" spans="1:13" ht="14.25" thickBot="1" x14ac:dyDescent="0.2">
      <c r="A1" s="125" t="s">
        <v>243</v>
      </c>
      <c r="G1" s="86" t="s">
        <v>210</v>
      </c>
      <c r="K1" s="85" t="s">
        <v>211</v>
      </c>
    </row>
    <row r="2" spans="1:13" ht="17.25" thickBot="1" x14ac:dyDescent="0.2">
      <c r="A2" s="153">
        <v>43831</v>
      </c>
      <c r="B2" s="87" t="s">
        <v>32</v>
      </c>
      <c r="C2" s="88">
        <v>43900</v>
      </c>
      <c r="D2" s="153">
        <f>C2</f>
        <v>43900</v>
      </c>
      <c r="E2" s="128" t="str">
        <f>TEXT(C2,"aaaa")</f>
        <v>화요일</v>
      </c>
      <c r="M2" s="1"/>
    </row>
    <row r="3" spans="1:13" ht="17.25" thickBot="1" x14ac:dyDescent="0.2">
      <c r="B3" s="87" t="s">
        <v>244</v>
      </c>
      <c r="C3" s="88">
        <v>43931</v>
      </c>
      <c r="D3" s="109"/>
      <c r="E3" s="128" t="str">
        <f>TEXT(C3,"aaaa")</f>
        <v>금요일</v>
      </c>
      <c r="F3" s="89">
        <v>0</v>
      </c>
      <c r="G3" s="85" t="s">
        <v>34</v>
      </c>
    </row>
    <row r="4" spans="1:13" ht="16.5" x14ac:dyDescent="0.15">
      <c r="B4" s="90" t="s">
        <v>35</v>
      </c>
      <c r="C4" s="91">
        <f>C3-C2</f>
        <v>31</v>
      </c>
    </row>
    <row r="5" spans="1:13" x14ac:dyDescent="0.15">
      <c r="C5" s="92"/>
      <c r="G5" s="85" t="s">
        <v>245</v>
      </c>
    </row>
    <row r="6" spans="1:13" ht="17.25" x14ac:dyDescent="0.15">
      <c r="C6" s="126">
        <v>43508</v>
      </c>
      <c r="D6" s="126">
        <v>43466</v>
      </c>
      <c r="G6" s="93" t="s">
        <v>212</v>
      </c>
    </row>
    <row r="7" spans="1:13" ht="17.25" x14ac:dyDescent="0.15">
      <c r="G7" s="93" t="s">
        <v>213</v>
      </c>
    </row>
    <row r="8" spans="1:13" ht="17.25" thickBot="1" x14ac:dyDescent="0.2">
      <c r="B8" s="94" t="s">
        <v>36</v>
      </c>
      <c r="C8" s="95" t="s">
        <v>37</v>
      </c>
      <c r="D8" s="95" t="s">
        <v>38</v>
      </c>
    </row>
    <row r="9" spans="1:13" ht="17.25" thickBot="1" x14ac:dyDescent="0.2">
      <c r="B9" s="96" t="s">
        <v>39</v>
      </c>
      <c r="C9" s="97">
        <v>1000000</v>
      </c>
      <c r="D9" s="97">
        <f>TRUNC(C9*10%,-1)</f>
        <v>100000</v>
      </c>
    </row>
    <row r="10" spans="1:13" ht="51" customHeight="1" x14ac:dyDescent="0.15">
      <c r="A10" s="98" t="s">
        <v>257</v>
      </c>
      <c r="B10" s="99">
        <v>0.03</v>
      </c>
      <c r="C10" s="100">
        <f>TRUNC(C9*B10,0)</f>
        <v>30000</v>
      </c>
      <c r="D10" s="100">
        <f>TRUNC(D9*B10,0)</f>
        <v>3000</v>
      </c>
      <c r="G10" s="85" t="s">
        <v>214</v>
      </c>
    </row>
    <row r="11" spans="1:13" x14ac:dyDescent="0.15">
      <c r="G11" s="85" t="s">
        <v>215</v>
      </c>
    </row>
    <row r="12" spans="1:13" ht="16.5" x14ac:dyDescent="0.15">
      <c r="B12" s="101" t="s">
        <v>40</v>
      </c>
      <c r="C12" s="102">
        <f>IF(C2&lt;C6,D6-C2,0)</f>
        <v>0</v>
      </c>
      <c r="D12" s="102">
        <f>IF(C2&lt;D6,D6-C2,0)</f>
        <v>0</v>
      </c>
    </row>
    <row r="13" spans="1:13" ht="16.5" x14ac:dyDescent="0.15">
      <c r="A13" s="98" t="s">
        <v>259</v>
      </c>
      <c r="B13" s="135">
        <f>3/10000</f>
        <v>2.9999999999999997E-4</v>
      </c>
      <c r="C13" s="102">
        <f>C9*C12*$B$13</f>
        <v>0</v>
      </c>
      <c r="D13" s="102">
        <f>D9*D12*$B$13</f>
        <v>0</v>
      </c>
    </row>
    <row r="16" spans="1:13" ht="16.5" x14ac:dyDescent="0.15">
      <c r="A16" s="133" t="s">
        <v>260</v>
      </c>
      <c r="B16" s="103" t="s">
        <v>41</v>
      </c>
      <c r="C16" s="138">
        <f>IF(C2&gt;=C6,C3-C2,0)</f>
        <v>31</v>
      </c>
      <c r="D16" s="138">
        <f>IF(C2&gt;=D6,C3-C2,0)</f>
        <v>31</v>
      </c>
      <c r="E16" s="146" t="s">
        <v>273</v>
      </c>
    </row>
    <row r="17" spans="1:12" ht="50.25" customHeight="1" x14ac:dyDescent="0.15">
      <c r="A17" s="98" t="s">
        <v>258</v>
      </c>
      <c r="B17" s="134">
        <f>25/100000</f>
        <v>2.5000000000000001E-4</v>
      </c>
      <c r="C17" s="100">
        <f>C9*C16*B17</f>
        <v>7750</v>
      </c>
      <c r="D17" s="149">
        <f>TRUNC(D9*D16*B17,0)</f>
        <v>775</v>
      </c>
      <c r="G17" s="85" t="s">
        <v>216</v>
      </c>
    </row>
    <row r="18" spans="1:12" x14ac:dyDescent="0.15">
      <c r="G18" s="85" t="s">
        <v>217</v>
      </c>
    </row>
    <row r="19" spans="1:12" x14ac:dyDescent="0.15">
      <c r="G19" s="85" t="s">
        <v>218</v>
      </c>
    </row>
    <row r="20" spans="1:12" ht="16.5" x14ac:dyDescent="0.15">
      <c r="C20" s="138">
        <f>SUM(C16,C12)</f>
        <v>31</v>
      </c>
      <c r="D20" s="138">
        <f>SUM(D16,D12)</f>
        <v>31</v>
      </c>
    </row>
    <row r="22" spans="1:12" ht="16.5" x14ac:dyDescent="0.15">
      <c r="C22" s="104">
        <f>C4-C20</f>
        <v>0</v>
      </c>
      <c r="D22" s="104">
        <f>C4-D20</f>
        <v>0</v>
      </c>
      <c r="H22" s="85" t="s">
        <v>219</v>
      </c>
    </row>
    <row r="24" spans="1:12" ht="16.5" x14ac:dyDescent="0.15">
      <c r="B24" s="99">
        <v>0.03</v>
      </c>
      <c r="C24" s="100">
        <f>C10</f>
        <v>30000</v>
      </c>
      <c r="D24" s="100">
        <f>D10</f>
        <v>3000</v>
      </c>
      <c r="H24" s="85">
        <f>IF(OR(C2&lt;43831,C9&gt;=1000000),C9*C16*B17,0)</f>
        <v>7750</v>
      </c>
    </row>
    <row r="25" spans="1:12" ht="17.25" thickBot="1" x14ac:dyDescent="0.2">
      <c r="B25" s="105" t="s">
        <v>42</v>
      </c>
      <c r="C25" s="106">
        <f>SUM(C17,C13)</f>
        <v>7750</v>
      </c>
      <c r="D25" s="106">
        <f>SUM(D17,D13)</f>
        <v>775</v>
      </c>
      <c r="J25" s="129" t="s">
        <v>246</v>
      </c>
      <c r="K25" s="131" t="s">
        <v>251</v>
      </c>
      <c r="L25" s="131" t="s">
        <v>252</v>
      </c>
    </row>
    <row r="26" spans="1:12" ht="14.25" thickTop="1" x14ac:dyDescent="0.15">
      <c r="A26" s="136" t="s">
        <v>261</v>
      </c>
      <c r="B26" s="107" t="s">
        <v>43</v>
      </c>
      <c r="C26" s="108">
        <f>TRUNC(SUM(C24:C25),-1)</f>
        <v>37750</v>
      </c>
      <c r="D26" s="150">
        <f>TRUNC(SUM(D24:D25),-1)</f>
        <v>3770</v>
      </c>
      <c r="I26" s="85" t="s">
        <v>248</v>
      </c>
      <c r="J26" s="130" t="s">
        <v>247</v>
      </c>
      <c r="K26" s="130" t="s">
        <v>253</v>
      </c>
      <c r="L26" s="130" t="s">
        <v>254</v>
      </c>
    </row>
    <row r="27" spans="1:12" ht="16.5" x14ac:dyDescent="0.15">
      <c r="B27" s="99" t="s">
        <v>44</v>
      </c>
      <c r="C27" s="145">
        <f>C26/C9</f>
        <v>3.7749999999999999E-2</v>
      </c>
      <c r="D27" s="145">
        <f>D26/D9</f>
        <v>3.7699999999999997E-2</v>
      </c>
      <c r="I27" s="127" t="s">
        <v>250</v>
      </c>
      <c r="J27" s="130" t="s">
        <v>249</v>
      </c>
      <c r="K27" s="130" t="s">
        <v>256</v>
      </c>
      <c r="L27" s="130" t="s">
        <v>255</v>
      </c>
    </row>
    <row r="29" spans="1:12" ht="16.5" x14ac:dyDescent="0.15">
      <c r="A29" s="85" t="s">
        <v>262</v>
      </c>
      <c r="B29" s="94" t="s">
        <v>45</v>
      </c>
      <c r="C29" s="151">
        <f>TRUNC(C9*10%,-1)</f>
        <v>100000</v>
      </c>
      <c r="D29" s="151">
        <f>TRUNC(D9*10%,-1)</f>
        <v>10000</v>
      </c>
      <c r="F29" s="137">
        <f>7%/0.025%</f>
        <v>280</v>
      </c>
      <c r="G29" s="125" t="s">
        <v>264</v>
      </c>
    </row>
    <row r="31" spans="1:12" x14ac:dyDescent="0.15">
      <c r="A31" s="154" t="s">
        <v>263</v>
      </c>
      <c r="B31" s="132">
        <f>SUM(C31:D31)</f>
        <v>41520</v>
      </c>
      <c r="C31" s="139">
        <f>MIN(C26,C29)</f>
        <v>37750</v>
      </c>
      <c r="D31" s="139">
        <f>MIN(D26,D29)</f>
        <v>3770</v>
      </c>
      <c r="E31" s="155"/>
      <c r="F31" s="155"/>
      <c r="G31" s="155"/>
      <c r="H31" s="155"/>
    </row>
    <row r="32" spans="1:12" x14ac:dyDescent="0.15">
      <c r="A32" s="154"/>
      <c r="B32" s="155"/>
      <c r="C32" s="155"/>
      <c r="D32" s="155"/>
      <c r="E32" s="155"/>
      <c r="F32" s="155"/>
      <c r="G32" s="155"/>
      <c r="H32" s="155"/>
    </row>
    <row r="33" spans="1:8" ht="17.25" thickBot="1" x14ac:dyDescent="0.2">
      <c r="A33" s="154"/>
      <c r="B33" s="164" t="s">
        <v>36</v>
      </c>
      <c r="C33" s="165" t="s">
        <v>37</v>
      </c>
      <c r="D33" s="165" t="s">
        <v>38</v>
      </c>
      <c r="E33" s="166" t="s">
        <v>287</v>
      </c>
      <c r="F33" s="155"/>
      <c r="G33" s="155"/>
      <c r="H33" s="155"/>
    </row>
    <row r="34" spans="1:8" ht="16.5" x14ac:dyDescent="0.15">
      <c r="A34" s="154" t="s">
        <v>285</v>
      </c>
      <c r="B34" s="162" t="s">
        <v>39</v>
      </c>
      <c r="C34" s="163">
        <f>C9</f>
        <v>1000000</v>
      </c>
      <c r="D34" s="163">
        <f>D9</f>
        <v>100000</v>
      </c>
      <c r="E34" s="157">
        <f>SUM(C34:D34)</f>
        <v>1100000</v>
      </c>
      <c r="F34" s="155"/>
      <c r="G34" s="155"/>
      <c r="H34" s="155"/>
    </row>
    <row r="35" spans="1:8" ht="17.25" thickBot="1" x14ac:dyDescent="0.2">
      <c r="A35" s="154"/>
      <c r="B35" s="160" t="s">
        <v>286</v>
      </c>
      <c r="C35" s="161">
        <f>C31</f>
        <v>37750</v>
      </c>
      <c r="D35" s="161">
        <f>D31</f>
        <v>3770</v>
      </c>
      <c r="E35" s="158">
        <f>SUM(C35:D35)</f>
        <v>41520</v>
      </c>
      <c r="F35" s="155"/>
      <c r="G35" s="155"/>
      <c r="H35" s="155"/>
    </row>
    <row r="36" spans="1:8" ht="14.25" thickTop="1" x14ac:dyDescent="0.15">
      <c r="A36" s="154"/>
      <c r="B36" s="140" t="s">
        <v>271</v>
      </c>
      <c r="C36" s="159">
        <f>SUM(C34:C35)</f>
        <v>1037750</v>
      </c>
      <c r="D36" s="159">
        <f t="shared" ref="D36:E36" si="0">SUM(D34:D35)</f>
        <v>103770</v>
      </c>
      <c r="E36" s="157">
        <f t="shared" si="0"/>
        <v>1141520</v>
      </c>
      <c r="F36" s="155"/>
      <c r="G36" s="155"/>
      <c r="H36" s="155"/>
    </row>
    <row r="37" spans="1:8" ht="14.25" thickBot="1" x14ac:dyDescent="0.2">
      <c r="A37" s="156"/>
      <c r="B37" s="156"/>
      <c r="C37" s="156"/>
      <c r="D37" s="156"/>
      <c r="E37" s="156"/>
      <c r="F37" s="156"/>
      <c r="G37" s="156"/>
      <c r="H37" s="156"/>
    </row>
    <row r="38" spans="1:8" ht="14.25" thickBot="1" x14ac:dyDescent="0.2"/>
    <row r="39" spans="1:8" ht="17.25" thickBot="1" x14ac:dyDescent="0.2">
      <c r="A39" s="87" t="s">
        <v>265</v>
      </c>
      <c r="B39" s="141">
        <v>43952</v>
      </c>
      <c r="C39" s="128" t="str">
        <f>TEXT(B39,"aaaa")</f>
        <v>금요일</v>
      </c>
    </row>
    <row r="41" spans="1:8" ht="17.25" thickBot="1" x14ac:dyDescent="0.2">
      <c r="C41" s="95" t="s">
        <v>37</v>
      </c>
      <c r="D41" s="95" t="s">
        <v>38</v>
      </c>
    </row>
    <row r="42" spans="1:8" ht="17.25" thickBot="1" x14ac:dyDescent="0.2">
      <c r="A42" s="85" t="s">
        <v>266</v>
      </c>
      <c r="B42" s="141">
        <f>B39+30</f>
        <v>43982</v>
      </c>
      <c r="C42" s="149">
        <f>C31</f>
        <v>37750</v>
      </c>
      <c r="D42" s="149">
        <f>D31</f>
        <v>3770</v>
      </c>
    </row>
    <row r="44" spans="1:8" x14ac:dyDescent="0.15">
      <c r="A44" s="85" t="s">
        <v>268</v>
      </c>
      <c r="C44" s="139">
        <f>SUM(C42,C9)</f>
        <v>1037750</v>
      </c>
      <c r="D44" s="139">
        <f>SUM(D42,D9)</f>
        <v>103770</v>
      </c>
      <c r="F44" s="85" t="s">
        <v>269</v>
      </c>
    </row>
    <row r="46" spans="1:8" ht="14.25" thickBot="1" x14ac:dyDescent="0.2"/>
    <row r="47" spans="1:8" ht="17.25" thickBot="1" x14ac:dyDescent="0.2">
      <c r="A47" s="85" t="s">
        <v>267</v>
      </c>
      <c r="B47" s="141">
        <v>44012</v>
      </c>
    </row>
    <row r="48" spans="1:8" ht="16.5" x14ac:dyDescent="0.15">
      <c r="A48" s="133" t="s">
        <v>260</v>
      </c>
      <c r="B48" s="103" t="s">
        <v>41</v>
      </c>
      <c r="C48" s="138">
        <f>B47-B42</f>
        <v>30</v>
      </c>
    </row>
    <row r="49" spans="1:6" ht="49.5" x14ac:dyDescent="0.15">
      <c r="A49" s="98" t="s">
        <v>270</v>
      </c>
      <c r="B49" s="134">
        <f>25/100000</f>
        <v>2.5000000000000001E-4</v>
      </c>
      <c r="C49" s="100">
        <f>IF(C44&lt;1000000,0,TRUNC(C42*C48*B17,0))</f>
        <v>283</v>
      </c>
    </row>
    <row r="51" spans="1:6" ht="14.25" thickBot="1" x14ac:dyDescent="0.2"/>
    <row r="52" spans="1:6" ht="17.25" thickBot="1" x14ac:dyDescent="0.2">
      <c r="A52" s="85" t="s">
        <v>274</v>
      </c>
      <c r="B52" s="141">
        <v>44013</v>
      </c>
    </row>
    <row r="53" spans="1:6" ht="17.25" thickBot="1" x14ac:dyDescent="0.2">
      <c r="A53" s="85" t="s">
        <v>277</v>
      </c>
      <c r="B53" s="141">
        <v>44043</v>
      </c>
      <c r="F53" s="85" t="s">
        <v>31</v>
      </c>
    </row>
    <row r="54" spans="1:6" ht="17.25" thickBot="1" x14ac:dyDescent="0.2">
      <c r="A54" s="85" t="s">
        <v>278</v>
      </c>
      <c r="B54" s="141">
        <v>44074</v>
      </c>
      <c r="F54" s="85" t="s">
        <v>275</v>
      </c>
    </row>
    <row r="55" spans="1:6" x14ac:dyDescent="0.15">
      <c r="F55" s="85" t="s">
        <v>276</v>
      </c>
    </row>
    <row r="56" spans="1:6" ht="16.5" x14ac:dyDescent="0.15">
      <c r="A56" s="85" t="s">
        <v>283</v>
      </c>
      <c r="D56" s="149">
        <f>TRUNC(D44*E56,0)</f>
        <v>3113</v>
      </c>
      <c r="E56" s="148">
        <v>0.03</v>
      </c>
    </row>
    <row r="57" spans="1:6" ht="14.25" thickBot="1" x14ac:dyDescent="0.2">
      <c r="B57" s="85" t="s">
        <v>281</v>
      </c>
      <c r="F57" s="85" t="s">
        <v>30</v>
      </c>
    </row>
    <row r="58" spans="1:6" ht="17.25" thickBot="1" x14ac:dyDescent="0.2">
      <c r="A58" s="85" t="s">
        <v>282</v>
      </c>
      <c r="B58" s="152">
        <v>1</v>
      </c>
      <c r="D58" s="149">
        <f>IF(D44&lt;300000,0,D44*B58)</f>
        <v>0</v>
      </c>
      <c r="E58" s="147">
        <f>75/10000</f>
        <v>7.4999999999999997E-3</v>
      </c>
      <c r="F58" s="146" t="s">
        <v>279</v>
      </c>
    </row>
    <row r="59" spans="1:6" x14ac:dyDescent="0.15">
      <c r="F59" s="85" t="s">
        <v>280</v>
      </c>
    </row>
    <row r="60" spans="1:6" x14ac:dyDescent="0.15">
      <c r="F60" s="85" t="s">
        <v>284</v>
      </c>
    </row>
    <row r="63" spans="1:6" ht="17.25" thickBot="1" x14ac:dyDescent="0.2">
      <c r="B63" s="164" t="s">
        <v>36</v>
      </c>
      <c r="C63" s="165" t="s">
        <v>37</v>
      </c>
      <c r="D63" s="165" t="s">
        <v>38</v>
      </c>
      <c r="E63" s="166" t="s">
        <v>287</v>
      </c>
    </row>
    <row r="64" spans="1:6" ht="16.5" x14ac:dyDescent="0.15">
      <c r="A64" s="143" t="s">
        <v>272</v>
      </c>
      <c r="B64" s="162" t="s">
        <v>39</v>
      </c>
      <c r="C64" s="163">
        <f>SUM(C9)</f>
        <v>1000000</v>
      </c>
      <c r="D64" s="163">
        <f>D9</f>
        <v>100000</v>
      </c>
      <c r="E64" s="157">
        <f>SUM(C64:D64)</f>
        <v>1100000</v>
      </c>
    </row>
    <row r="65" spans="1:5" ht="17.25" thickBot="1" x14ac:dyDescent="0.2">
      <c r="A65" s="142">
        <f>C65/C64</f>
        <v>3.8032999999999997E-2</v>
      </c>
      <c r="B65" s="160" t="s">
        <v>288</v>
      </c>
      <c r="C65" s="161">
        <f>SUM(C49,C42)</f>
        <v>38033</v>
      </c>
      <c r="D65" s="161">
        <f>SUM(D58,D56,D44)</f>
        <v>106883</v>
      </c>
      <c r="E65" s="158">
        <f>SUM(C65:D65)</f>
        <v>144916</v>
      </c>
    </row>
    <row r="66" spans="1:5" ht="14.25" thickTop="1" x14ac:dyDescent="0.15">
      <c r="A66" s="144">
        <f>C64*50%</f>
        <v>500000</v>
      </c>
      <c r="B66" s="140" t="s">
        <v>271</v>
      </c>
      <c r="C66" s="159">
        <f>SUM(C64:C65)</f>
        <v>1038033</v>
      </c>
      <c r="D66" s="159">
        <f>SUM(D64:D65)</f>
        <v>206883</v>
      </c>
      <c r="E66" s="157">
        <f t="shared" ref="E66" si="1">SUM(E64:E65)</f>
        <v>1244916</v>
      </c>
    </row>
  </sheetData>
  <phoneticPr fontId="12" type="noConversion"/>
  <conditionalFormatting sqref="C27:D27">
    <cfRule type="cellIs" dxfId="20" priority="17" operator="equal">
      <formula>0.1</formula>
    </cfRule>
    <cfRule type="cellIs" dxfId="19" priority="18" operator="lessThan">
      <formula>0.1</formula>
    </cfRule>
    <cfRule type="cellIs" dxfId="18" priority="19" operator="greaterThan">
      <formula>0.1</formula>
    </cfRule>
  </conditionalFormatting>
  <conditionalFormatting sqref="C2">
    <cfRule type="cellIs" dxfId="17" priority="16" operator="lessThan">
      <formula>43831</formula>
    </cfRule>
  </conditionalFormatting>
  <conditionalFormatting sqref="B39">
    <cfRule type="cellIs" dxfId="16" priority="15" operator="lessThan">
      <formula>43831</formula>
    </cfRule>
  </conditionalFormatting>
  <conditionalFormatting sqref="C39">
    <cfRule type="cellIs" dxfId="15" priority="13" operator="equal">
      <formula>"일요일"</formula>
    </cfRule>
    <cfRule type="cellIs" dxfId="14" priority="14" operator="equal">
      <formula>"토요일"</formula>
    </cfRule>
  </conditionalFormatting>
  <conditionalFormatting sqref="E2">
    <cfRule type="cellIs" dxfId="13" priority="11" operator="equal">
      <formula>"일요일"</formula>
    </cfRule>
    <cfRule type="cellIs" dxfId="12" priority="12" operator="equal">
      <formula>"토요일"</formula>
    </cfRule>
  </conditionalFormatting>
  <conditionalFormatting sqref="E3">
    <cfRule type="cellIs" dxfId="11" priority="9" operator="equal">
      <formula>"일요일"</formula>
    </cfRule>
    <cfRule type="cellIs" dxfId="10" priority="10" operator="equal">
      <formula>"토요일"</formula>
    </cfRule>
  </conditionalFormatting>
  <conditionalFormatting sqref="B42">
    <cfRule type="cellIs" dxfId="9" priority="8" operator="lessThan">
      <formula>43831</formula>
    </cfRule>
  </conditionalFormatting>
  <conditionalFormatting sqref="B47">
    <cfRule type="cellIs" dxfId="8" priority="7" operator="lessThan">
      <formula>43831</formula>
    </cfRule>
  </conditionalFormatting>
  <conditionalFormatting sqref="D44">
    <cfRule type="cellIs" dxfId="7" priority="5" operator="lessThan">
      <formula>300000</formula>
    </cfRule>
  </conditionalFormatting>
  <conditionalFormatting sqref="C44">
    <cfRule type="cellIs" dxfId="6" priority="4" operator="lessThan">
      <formula>1000000</formula>
    </cfRule>
  </conditionalFormatting>
  <conditionalFormatting sqref="B52">
    <cfRule type="cellIs" dxfId="5" priority="3" operator="lessThan">
      <formula>43831</formula>
    </cfRule>
  </conditionalFormatting>
  <conditionalFormatting sqref="B53:B54">
    <cfRule type="cellIs" dxfId="4" priority="2" operator="lessThan">
      <formula>43831</formula>
    </cfRule>
  </conditionalFormatting>
  <hyperlinks>
    <hyperlink ref="G1" r:id="rId1" xr:uid="{B76B115A-C2A2-4277-8F26-CF7C018C894B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"/>
  <sheetViews>
    <sheetView showGridLines="0" workbookViewId="0">
      <selection activeCell="A2" sqref="A2"/>
    </sheetView>
  </sheetViews>
  <sheetFormatPr defaultRowHeight="13.5" x14ac:dyDescent="0.15"/>
  <cols>
    <col min="1" max="1" width="26.75" customWidth="1"/>
    <col min="2" max="2" width="13.25" style="2" bestFit="1" customWidth="1"/>
    <col min="3" max="3" width="3.375" style="4" bestFit="1" customWidth="1"/>
    <col min="4" max="4" width="18.75" style="1" bestFit="1" customWidth="1"/>
    <col min="6" max="6" width="11.875" bestFit="1" customWidth="1"/>
    <col min="9" max="9" width="11.625" bestFit="1" customWidth="1"/>
    <col min="10" max="10" width="11.625" style="7" bestFit="1" customWidth="1"/>
    <col min="11" max="13" width="11.625" bestFit="1" customWidth="1"/>
  </cols>
  <sheetData>
    <row r="1" spans="1:14" x14ac:dyDescent="0.15">
      <c r="I1" s="167" t="s">
        <v>320</v>
      </c>
      <c r="L1" s="24" t="s">
        <v>29</v>
      </c>
      <c r="M1" s="7" t="s">
        <v>23</v>
      </c>
      <c r="N1" s="41" t="s">
        <v>24</v>
      </c>
    </row>
    <row r="2" spans="1:14" ht="18.75" x14ac:dyDescent="0.15">
      <c r="A2" s="168" t="s">
        <v>322</v>
      </c>
      <c r="B2"/>
      <c r="C2" s="3"/>
      <c r="I2" s="17">
        <f>J2+1</f>
        <v>43508</v>
      </c>
      <c r="J2" s="17">
        <v>43507</v>
      </c>
      <c r="L2" s="17">
        <f>M2+1</f>
        <v>43466</v>
      </c>
      <c r="M2" s="17">
        <v>43465</v>
      </c>
    </row>
    <row r="3" spans="1:14" x14ac:dyDescent="0.15">
      <c r="A3" t="s">
        <v>54</v>
      </c>
      <c r="B3" s="8">
        <v>43508</v>
      </c>
      <c r="C3" s="4" t="str">
        <f>TEXT(B3,"aaa")</f>
        <v>화</v>
      </c>
      <c r="D3" s="12">
        <v>1843218</v>
      </c>
      <c r="I3" s="18">
        <f>I2</f>
        <v>43508</v>
      </c>
      <c r="J3" s="19">
        <f>J2</f>
        <v>43507</v>
      </c>
      <c r="L3" s="18">
        <f>L2</f>
        <v>43466</v>
      </c>
      <c r="M3" s="19">
        <f>M2</f>
        <v>43465</v>
      </c>
    </row>
    <row r="4" spans="1:14" x14ac:dyDescent="0.15">
      <c r="A4" t="s">
        <v>3</v>
      </c>
      <c r="B4" s="8">
        <v>43854</v>
      </c>
      <c r="C4" s="4" t="str">
        <f>TEXT(B4,"aaa")</f>
        <v>금</v>
      </c>
      <c r="D4" s="1" t="s">
        <v>4</v>
      </c>
      <c r="I4" s="22">
        <f>25/100000</f>
        <v>2.5000000000000001E-4</v>
      </c>
      <c r="J4" s="22">
        <f>3/10000</f>
        <v>2.9999999999999997E-4</v>
      </c>
      <c r="L4" s="22">
        <f>75/10000</f>
        <v>7.4999999999999997E-3</v>
      </c>
      <c r="M4" s="22">
        <f>12/1000</f>
        <v>1.2E-2</v>
      </c>
    </row>
    <row r="5" spans="1:14" x14ac:dyDescent="0.15">
      <c r="J5"/>
    </row>
    <row r="6" spans="1:14" x14ac:dyDescent="0.15">
      <c r="A6" s="9" t="s">
        <v>5</v>
      </c>
      <c r="B6" s="10">
        <f>IF(B3&lt;$I$3,B3,0)</f>
        <v>0</v>
      </c>
      <c r="J6"/>
      <c r="L6" t="s">
        <v>20</v>
      </c>
    </row>
    <row r="7" spans="1:14" x14ac:dyDescent="0.15">
      <c r="A7" s="9" t="s">
        <v>6</v>
      </c>
      <c r="B7" s="10">
        <f>IF(AND(B3&lt;$I$3,B4&lt;$I$3),B4,IF(AND(B3&gt;$J$3,B4&gt;$J$3),0,$J$3))</f>
        <v>0</v>
      </c>
      <c r="J7"/>
    </row>
    <row r="8" spans="1:14" x14ac:dyDescent="0.15">
      <c r="A8" s="9"/>
      <c r="B8" s="11">
        <f>B7-B6</f>
        <v>0</v>
      </c>
      <c r="D8" s="13">
        <f>TRUNC(D3*$J$4*B8,0)</f>
        <v>0</v>
      </c>
      <c r="E8" s="21">
        <f>$J$4</f>
        <v>2.9999999999999997E-4</v>
      </c>
      <c r="I8" s="167" t="s">
        <v>321</v>
      </c>
      <c r="L8" s="24" t="s">
        <v>27</v>
      </c>
      <c r="M8" s="7" t="s">
        <v>26</v>
      </c>
    </row>
    <row r="9" spans="1:14" x14ac:dyDescent="0.15">
      <c r="A9" s="3"/>
      <c r="I9" s="17">
        <f>J9+1</f>
        <v>43466</v>
      </c>
      <c r="J9" s="17">
        <v>43465</v>
      </c>
      <c r="L9" s="17">
        <f>M9+1</f>
        <v>43466</v>
      </c>
      <c r="M9" s="17">
        <v>43465</v>
      </c>
    </row>
    <row r="10" spans="1:14" x14ac:dyDescent="0.15">
      <c r="A10" s="9" t="s">
        <v>5</v>
      </c>
      <c r="B10" s="10">
        <f>IF(B3&gt;$J$3,B3,IF(AND(B3&lt;$I$3,B4&gt;$J$3),$I$3,0))</f>
        <v>43508</v>
      </c>
      <c r="I10" s="18">
        <f>I9</f>
        <v>43466</v>
      </c>
      <c r="J10" s="19">
        <f>J9</f>
        <v>43465</v>
      </c>
      <c r="L10" s="18">
        <f>L9</f>
        <v>43466</v>
      </c>
      <c r="M10" s="19">
        <f>M9</f>
        <v>43465</v>
      </c>
    </row>
    <row r="11" spans="1:14" x14ac:dyDescent="0.15">
      <c r="A11" s="9" t="s">
        <v>6</v>
      </c>
      <c r="B11" s="10">
        <f>IF(B4&gt;$J$3,B4,0)</f>
        <v>43854</v>
      </c>
      <c r="I11" s="22">
        <f>25/100000</f>
        <v>2.5000000000000001E-4</v>
      </c>
      <c r="J11" s="22">
        <f>3/10000</f>
        <v>2.9999999999999997E-4</v>
      </c>
      <c r="L11" s="22">
        <f>75/10000</f>
        <v>7.4999999999999997E-3</v>
      </c>
      <c r="M11" s="22">
        <f>12/1000</f>
        <v>1.2E-2</v>
      </c>
    </row>
    <row r="12" spans="1:14" x14ac:dyDescent="0.15">
      <c r="A12" s="9"/>
      <c r="B12" s="11">
        <f>IF(B3&lt;$I$3,B11-B10+1,B11-B10)</f>
        <v>346</v>
      </c>
      <c r="D12" s="13">
        <f>TRUNC(D3*$I$4*B12,0)</f>
        <v>159438</v>
      </c>
      <c r="E12" s="21">
        <f>$I$4</f>
        <v>2.5000000000000001E-4</v>
      </c>
      <c r="I12" s="7" t="s">
        <v>31</v>
      </c>
      <c r="J12"/>
      <c r="L12" t="s">
        <v>30</v>
      </c>
    </row>
    <row r="13" spans="1:14" x14ac:dyDescent="0.15">
      <c r="J13"/>
    </row>
    <row r="14" spans="1:14" x14ac:dyDescent="0.15">
      <c r="B14" s="14">
        <f>SUM(B12,B8)</f>
        <v>346</v>
      </c>
      <c r="E14" s="7"/>
      <c r="J14"/>
    </row>
    <row r="15" spans="1:14" x14ac:dyDescent="0.15">
      <c r="B15" s="15"/>
      <c r="J15"/>
    </row>
    <row r="16" spans="1:14" x14ac:dyDescent="0.15">
      <c r="A16" t="s">
        <v>7</v>
      </c>
      <c r="B16" s="15"/>
      <c r="D16" s="25">
        <f>TRUNC(D3*E16,0)</f>
        <v>0</v>
      </c>
      <c r="E16" s="16">
        <v>0</v>
      </c>
      <c r="J16"/>
    </row>
    <row r="17" spans="1:22" x14ac:dyDescent="0.15">
      <c r="A17" t="s">
        <v>0</v>
      </c>
      <c r="B17" s="14">
        <f>B4-B3</f>
        <v>346</v>
      </c>
      <c r="D17" s="23">
        <f>TRUNC(SUM(D8,D12),0)</f>
        <v>159438</v>
      </c>
      <c r="E17" s="5"/>
      <c r="I17" t="s">
        <v>202</v>
      </c>
      <c r="J17"/>
    </row>
    <row r="18" spans="1:22" x14ac:dyDescent="0.15">
      <c r="B18" s="6"/>
      <c r="E18" s="5"/>
      <c r="I18" t="s">
        <v>205</v>
      </c>
      <c r="J18"/>
    </row>
    <row r="19" spans="1:22" x14ac:dyDescent="0.15">
      <c r="A19" t="s">
        <v>14</v>
      </c>
      <c r="B19" s="6"/>
      <c r="D19" s="20">
        <f>TRUNC(SUM(D16:D17,D3),-1)</f>
        <v>2002650</v>
      </c>
      <c r="E19" s="5"/>
      <c r="I19" t="s">
        <v>206</v>
      </c>
      <c r="J19"/>
    </row>
    <row r="20" spans="1:22" x14ac:dyDescent="0.15">
      <c r="B20" s="6"/>
      <c r="E20" s="5"/>
      <c r="I20" t="s">
        <v>207</v>
      </c>
      <c r="J20"/>
    </row>
    <row r="21" spans="1:22" x14ac:dyDescent="0.15">
      <c r="B21" s="3" t="s">
        <v>1</v>
      </c>
      <c r="E21" s="5"/>
      <c r="J21"/>
    </row>
    <row r="22" spans="1:22" x14ac:dyDescent="0.15">
      <c r="A22" t="s">
        <v>8</v>
      </c>
      <c r="B22" s="4">
        <f>B4+31</f>
        <v>43885</v>
      </c>
      <c r="D22" s="20">
        <f>TRUNC(SUM(D16,D17,D3),-1)</f>
        <v>2002650</v>
      </c>
      <c r="E22" s="82" t="str">
        <f>IF(D22&gt;=1000000,"100만원이상 중가산금대상","100만원 미만 중가산금제외")</f>
        <v>100만원이상 중가산금대상</v>
      </c>
      <c r="I22" t="s">
        <v>203</v>
      </c>
      <c r="J22"/>
    </row>
    <row r="23" spans="1:22" x14ac:dyDescent="0.15">
      <c r="B23" s="4"/>
      <c r="I23" t="s">
        <v>204</v>
      </c>
      <c r="J23"/>
    </row>
    <row r="24" spans="1:22" x14ac:dyDescent="0.15">
      <c r="A24" t="s">
        <v>9</v>
      </c>
      <c r="B24" s="4"/>
      <c r="J24"/>
    </row>
    <row r="25" spans="1:22" x14ac:dyDescent="0.15">
      <c r="A25" t="s">
        <v>2</v>
      </c>
      <c r="B25" s="4">
        <f>B22+30</f>
        <v>43915</v>
      </c>
      <c r="D25" s="39">
        <f>TRUNC(D22*E25,-1)</f>
        <v>60070</v>
      </c>
      <c r="E25" s="28">
        <v>0.03</v>
      </c>
    </row>
    <row r="26" spans="1:22" x14ac:dyDescent="0.15">
      <c r="B26" s="4" t="s">
        <v>11</v>
      </c>
      <c r="D26" s="20">
        <f>TRUNC(SUM(D25,D22),-1)</f>
        <v>2062720</v>
      </c>
      <c r="J26"/>
    </row>
    <row r="27" spans="1:22" x14ac:dyDescent="0.15">
      <c r="G27" t="s">
        <v>55</v>
      </c>
      <c r="J27"/>
    </row>
    <row r="28" spans="1:22" x14ac:dyDescent="0.15">
      <c r="A28" t="s">
        <v>10</v>
      </c>
      <c r="H28" s="67" t="s">
        <v>52</v>
      </c>
      <c r="J28" s="68">
        <v>43831</v>
      </c>
      <c r="K28" s="7">
        <v>43831</v>
      </c>
    </row>
    <row r="29" spans="1:22" x14ac:dyDescent="0.15">
      <c r="A29" t="s">
        <v>53</v>
      </c>
      <c r="B29" s="65">
        <f>B25+31</f>
        <v>43946</v>
      </c>
      <c r="D29" s="39">
        <f>IF(AND(D22&gt;=1000000,B3&lt;J28),TRUNC(D22*E29,-1),IF(AND(D22&gt;=1000000,B3&gt;=J28),TRUNC(D19*H29*I4,-1),0))</f>
        <v>15010</v>
      </c>
      <c r="E29" s="28">
        <f>IF(B29&lt;$L$2,$M$4,$L$4)</f>
        <v>7.4999999999999997E-3</v>
      </c>
      <c r="F29" t="s">
        <v>25</v>
      </c>
      <c r="G29" s="27">
        <v>2.5000000000000001E-4</v>
      </c>
      <c r="H29" s="67">
        <f>B29-B22</f>
        <v>61</v>
      </c>
    </row>
    <row r="30" spans="1:22" x14ac:dyDescent="0.15">
      <c r="B30" s="4" t="s">
        <v>13</v>
      </c>
      <c r="D30" s="20">
        <f>SUM(D29,D26)</f>
        <v>2077730</v>
      </c>
      <c r="F30" s="69"/>
    </row>
    <row r="31" spans="1:22" x14ac:dyDescent="0.15">
      <c r="A31" s="31"/>
      <c r="B31" s="32"/>
      <c r="C31" s="33"/>
      <c r="D31" s="34"/>
      <c r="E31" s="31"/>
      <c r="F31" s="31"/>
      <c r="G31" s="31"/>
    </row>
    <row r="32" spans="1:22" ht="14.25" thickBot="1" x14ac:dyDescent="0.2">
      <c r="A32" s="35"/>
      <c r="B32" s="36"/>
      <c r="C32" s="37"/>
      <c r="D32" s="38"/>
      <c r="E32" s="35"/>
      <c r="F32" s="35"/>
      <c r="G32" s="35"/>
      <c r="H32" s="42"/>
      <c r="I32" s="42"/>
      <c r="J32" s="43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10" ht="14.25" thickTop="1" x14ac:dyDescent="0.15"/>
    <row r="34" spans="1:10" x14ac:dyDescent="0.15">
      <c r="A34" s="40" t="s">
        <v>21</v>
      </c>
    </row>
    <row r="35" spans="1:10" x14ac:dyDescent="0.15">
      <c r="A35" t="s">
        <v>15</v>
      </c>
      <c r="B35" s="8">
        <v>43982</v>
      </c>
      <c r="C35" s="30" t="str">
        <f>TEXT(B35,"aaa")</f>
        <v>일</v>
      </c>
      <c r="D35" s="12">
        <f>J39-J41</f>
        <v>1209233</v>
      </c>
    </row>
    <row r="36" spans="1:10" x14ac:dyDescent="0.15">
      <c r="A36" t="s">
        <v>3</v>
      </c>
      <c r="B36" s="8">
        <v>44046</v>
      </c>
      <c r="C36" s="30" t="str">
        <f>TEXT(B36,"aaa")</f>
        <v>월</v>
      </c>
      <c r="D36" s="1" t="s">
        <v>4</v>
      </c>
    </row>
    <row r="38" spans="1:10" x14ac:dyDescent="0.15">
      <c r="A38" s="9" t="s">
        <v>5</v>
      </c>
      <c r="B38" s="10">
        <f>IF(B35&lt;$I$3,B35,0)</f>
        <v>0</v>
      </c>
    </row>
    <row r="39" spans="1:10" x14ac:dyDescent="0.15">
      <c r="A39" s="9" t="s">
        <v>6</v>
      </c>
      <c r="B39" s="10">
        <f>IF(AND(B35&lt;$I$3,B36&lt;$I$3),B36,IF(AND(B35&gt;$J$3,B36&gt;$J$3),0,$J$3))</f>
        <v>0</v>
      </c>
      <c r="I39" t="s">
        <v>16</v>
      </c>
      <c r="J39" s="7">
        <v>2613633</v>
      </c>
    </row>
    <row r="40" spans="1:10" x14ac:dyDescent="0.15">
      <c r="A40" s="9"/>
      <c r="B40" s="11">
        <f>B39-B38</f>
        <v>0</v>
      </c>
      <c r="D40" s="13">
        <f>TRUNC(D35*$J$4*B40,0)</f>
        <v>0</v>
      </c>
      <c r="E40" s="27">
        <v>2.9999999999999997E-4</v>
      </c>
      <c r="I40" t="s">
        <v>17</v>
      </c>
      <c r="J40" s="7">
        <v>386409</v>
      </c>
    </row>
    <row r="41" spans="1:10" x14ac:dyDescent="0.15">
      <c r="A41" s="3"/>
      <c r="I41" t="s">
        <v>18</v>
      </c>
      <c r="J41" s="7">
        <v>1404400</v>
      </c>
    </row>
    <row r="42" spans="1:10" x14ac:dyDescent="0.15">
      <c r="A42" s="9" t="s">
        <v>5</v>
      </c>
      <c r="B42" s="10">
        <f>IF(B35&gt;$J$3,B35,IF(AND(B35&lt;$I$3,B36&gt;$J$3),$I$3,0))</f>
        <v>43982</v>
      </c>
    </row>
    <row r="43" spans="1:10" x14ac:dyDescent="0.15">
      <c r="A43" s="9" t="s">
        <v>6</v>
      </c>
      <c r="B43" s="10">
        <f>IF(B36&gt;$J$3,B36,0)</f>
        <v>44046</v>
      </c>
      <c r="I43" s="24" t="s">
        <v>19</v>
      </c>
      <c r="J43" s="7">
        <f>J39+J40-J41</f>
        <v>1595642</v>
      </c>
    </row>
    <row r="44" spans="1:10" x14ac:dyDescent="0.15">
      <c r="A44" s="9"/>
      <c r="B44" s="11">
        <f>IF(B35&lt;$I$3,B43-B42+1,B43-B42)</f>
        <v>64</v>
      </c>
      <c r="D44" s="13">
        <f>TRUNC(D35*$I$4*B44,0)</f>
        <v>19347</v>
      </c>
      <c r="E44" s="27">
        <v>2.5000000000000001E-4</v>
      </c>
    </row>
    <row r="46" spans="1:10" x14ac:dyDescent="0.15">
      <c r="B46" s="14">
        <f>SUM(B44,B40)</f>
        <v>64</v>
      </c>
      <c r="E46" s="7"/>
    </row>
    <row r="47" spans="1:10" x14ac:dyDescent="0.15">
      <c r="B47" s="15"/>
    </row>
    <row r="48" spans="1:10" x14ac:dyDescent="0.15">
      <c r="A48" t="s">
        <v>7</v>
      </c>
      <c r="B48" s="15"/>
      <c r="D48" s="25">
        <f>TRUNC(D35*E48,0)</f>
        <v>241846</v>
      </c>
      <c r="E48" s="16">
        <v>0.2</v>
      </c>
    </row>
    <row r="49" spans="1:10" x14ac:dyDescent="0.15">
      <c r="A49" t="s">
        <v>0</v>
      </c>
      <c r="B49" s="14">
        <f>B36-B35</f>
        <v>64</v>
      </c>
      <c r="D49" s="23">
        <f>TRUNC(SUM(D40,D44),0)</f>
        <v>19347</v>
      </c>
      <c r="E49" s="5"/>
    </row>
    <row r="50" spans="1:10" x14ac:dyDescent="0.15">
      <c r="B50" s="6"/>
      <c r="E50" s="5"/>
    </row>
    <row r="51" spans="1:10" x14ac:dyDescent="0.15">
      <c r="A51" t="s">
        <v>14</v>
      </c>
      <c r="B51" s="26">
        <f>B36</f>
        <v>44046</v>
      </c>
      <c r="C51" s="30" t="str">
        <f>TEXT(B51,"aaa")</f>
        <v>월</v>
      </c>
      <c r="D51" s="20">
        <f>TRUNC(SUM(D48:D49,D35),-1)</f>
        <v>1470420</v>
      </c>
      <c r="E51" s="5"/>
    </row>
    <row r="52" spans="1:10" x14ac:dyDescent="0.15">
      <c r="B52" s="6"/>
      <c r="E52" s="5"/>
    </row>
    <row r="53" spans="1:10" x14ac:dyDescent="0.15">
      <c r="B53" s="3" t="s">
        <v>1</v>
      </c>
      <c r="E53" s="5"/>
    </row>
    <row r="54" spans="1:10" x14ac:dyDescent="0.15">
      <c r="A54" t="s">
        <v>8</v>
      </c>
      <c r="B54" s="26">
        <f>EOMONTH(B51,0)</f>
        <v>44074</v>
      </c>
      <c r="C54" s="30" t="str">
        <f>TEXT(B54,"aaa")</f>
        <v>월</v>
      </c>
      <c r="D54" s="20">
        <f>TRUNC(SUM(D48,D49,D35),-1)</f>
        <v>1470420</v>
      </c>
      <c r="E54" t="str">
        <f>IF(D54&gt;=1000000,"100만원이상 납부지연가산세(중가산금대상)","100만원 미만 납부지연가산세(중가산금제외)")</f>
        <v>100만원이상 납부지연가산세(중가산금대상)</v>
      </c>
    </row>
    <row r="55" spans="1:10" x14ac:dyDescent="0.15">
      <c r="B55" s="4"/>
    </row>
    <row r="56" spans="1:10" x14ac:dyDescent="0.15">
      <c r="A56" t="s">
        <v>9</v>
      </c>
      <c r="B56" s="4"/>
    </row>
    <row r="57" spans="1:10" x14ac:dyDescent="0.15">
      <c r="A57" t="s">
        <v>2</v>
      </c>
      <c r="B57" s="26">
        <f>EOMONTH(B54,1)</f>
        <v>44104</v>
      </c>
      <c r="C57" s="30" t="str">
        <f>TEXT(B57,"aaa")</f>
        <v>수</v>
      </c>
      <c r="D57" s="39">
        <f>TRUNC(D54*E57,-1)</f>
        <v>44110</v>
      </c>
      <c r="E57" s="29">
        <v>0.03</v>
      </c>
    </row>
    <row r="58" spans="1:10" x14ac:dyDescent="0.15">
      <c r="B58" s="4" t="s">
        <v>11</v>
      </c>
      <c r="D58" s="20">
        <f>TRUNC(SUM(D57,D54),-1)</f>
        <v>1514530</v>
      </c>
    </row>
    <row r="59" spans="1:10" x14ac:dyDescent="0.15">
      <c r="G59" t="s">
        <v>55</v>
      </c>
    </row>
    <row r="60" spans="1:10" x14ac:dyDescent="0.15">
      <c r="A60" t="s">
        <v>10</v>
      </c>
      <c r="H60" s="67" t="s">
        <v>52</v>
      </c>
      <c r="J60" s="68">
        <v>43831</v>
      </c>
    </row>
    <row r="61" spans="1:10" x14ac:dyDescent="0.15">
      <c r="A61" t="s">
        <v>12</v>
      </c>
      <c r="B61" s="65">
        <f>EOMONTH(B57,1)</f>
        <v>44135</v>
      </c>
      <c r="C61" s="30" t="str">
        <f>TEXT(B61,"aaa")</f>
        <v>토</v>
      </c>
      <c r="D61" s="39">
        <f>IF(AND(D54&gt;=1000000,B35&lt;J60),TRUNC(D54*E61,-1),IF(AND(D54&gt;=1000000,B35&gt;=J60),TRUNC(D54*G61*H61,-1),0))</f>
        <v>22420</v>
      </c>
      <c r="E61" s="28">
        <f>IF(B61&lt;$L$2,$M$4,$L$4)</f>
        <v>7.4999999999999997E-3</v>
      </c>
      <c r="F61" t="s">
        <v>25</v>
      </c>
      <c r="G61" s="27">
        <v>2.5000000000000001E-4</v>
      </c>
      <c r="H61" s="67">
        <f>B61-B54</f>
        <v>61</v>
      </c>
    </row>
    <row r="62" spans="1:10" x14ac:dyDescent="0.15">
      <c r="B62" s="4" t="s">
        <v>13</v>
      </c>
      <c r="D62" s="20">
        <f>SUM(D61,D58)</f>
        <v>1536950</v>
      </c>
    </row>
  </sheetData>
  <phoneticPr fontId="4" type="noConversion"/>
  <conditionalFormatting sqref="B3">
    <cfRule type="cellIs" dxfId="3" priority="2" operator="greaterThan">
      <formula>43830</formula>
    </cfRule>
  </conditionalFormatting>
  <conditionalFormatting sqref="B35">
    <cfRule type="cellIs" dxfId="2" priority="1" operator="greaterThan">
      <formula>43830</formula>
    </cfRule>
  </conditionalFormatting>
  <hyperlinks>
    <hyperlink ref="N1" r:id="rId1" xr:uid="{53B56D40-1296-4DEF-A11C-B80D6B889B60}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E9C5-7F7C-4A6C-A7F1-9789AC283CBC}">
  <dimension ref="A1:V33"/>
  <sheetViews>
    <sheetView workbookViewId="0">
      <selection activeCell="H29" sqref="H29"/>
    </sheetView>
  </sheetViews>
  <sheetFormatPr defaultRowHeight="13.5" x14ac:dyDescent="0.15"/>
  <cols>
    <col min="1" max="1" width="17.125" customWidth="1"/>
    <col min="2" max="2" width="13.25" bestFit="1" customWidth="1"/>
    <col min="4" max="4" width="18.75" bestFit="1" customWidth="1"/>
    <col min="9" max="10" width="12.875" customWidth="1"/>
    <col min="12" max="13" width="12.375" customWidth="1"/>
  </cols>
  <sheetData>
    <row r="1" spans="1:14" x14ac:dyDescent="0.15">
      <c r="B1" s="2"/>
      <c r="C1" s="4"/>
      <c r="D1" s="1"/>
      <c r="I1" s="24" t="s">
        <v>28</v>
      </c>
      <c r="J1" s="7"/>
      <c r="L1" s="24" t="s">
        <v>29</v>
      </c>
      <c r="M1" s="7" t="s">
        <v>23</v>
      </c>
      <c r="N1" s="41" t="s">
        <v>24</v>
      </c>
    </row>
    <row r="2" spans="1:14" x14ac:dyDescent="0.15">
      <c r="C2" s="3"/>
      <c r="D2" s="1"/>
      <c r="I2" s="17">
        <f>J2+1</f>
        <v>43508</v>
      </c>
      <c r="J2" s="17">
        <v>43507</v>
      </c>
      <c r="L2" s="17">
        <f>M2+1</f>
        <v>43466</v>
      </c>
      <c r="M2" s="17">
        <v>43465</v>
      </c>
    </row>
    <row r="3" spans="1:14" x14ac:dyDescent="0.15">
      <c r="A3" t="s">
        <v>49</v>
      </c>
      <c r="B3" s="8">
        <v>43039</v>
      </c>
      <c r="C3" s="4" t="str">
        <f>TEXT(B3,"aaa")</f>
        <v>화</v>
      </c>
      <c r="D3" s="12">
        <v>23535000</v>
      </c>
      <c r="I3" s="18">
        <f>I2</f>
        <v>43508</v>
      </c>
      <c r="J3" s="19">
        <f>J2</f>
        <v>43507</v>
      </c>
      <c r="L3" s="18">
        <f>L2</f>
        <v>43466</v>
      </c>
      <c r="M3" s="19">
        <f>M2</f>
        <v>43465</v>
      </c>
    </row>
    <row r="4" spans="1:14" x14ac:dyDescent="0.15">
      <c r="A4" s="1"/>
      <c r="B4" s="1"/>
      <c r="C4" s="1"/>
      <c r="D4" s="1"/>
      <c r="I4" s="22">
        <f>25/100000</f>
        <v>2.5000000000000001E-4</v>
      </c>
      <c r="J4" s="22">
        <f>3/10000</f>
        <v>2.9999999999999997E-4</v>
      </c>
      <c r="L4" s="22">
        <f>75/10000</f>
        <v>7.4999999999999997E-3</v>
      </c>
      <c r="M4" s="22">
        <f>12/1000</f>
        <v>1.2E-2</v>
      </c>
    </row>
    <row r="5" spans="1:14" x14ac:dyDescent="0.15">
      <c r="B5" s="2"/>
      <c r="C5" s="4"/>
      <c r="D5" s="1"/>
    </row>
    <row r="6" spans="1:14" x14ac:dyDescent="0.15">
      <c r="B6" s="2"/>
      <c r="C6" s="4"/>
      <c r="D6" s="1"/>
      <c r="L6" t="s">
        <v>20</v>
      </c>
    </row>
    <row r="7" spans="1:14" x14ac:dyDescent="0.15">
      <c r="B7" s="2"/>
      <c r="C7" s="4"/>
      <c r="D7" s="1"/>
    </row>
    <row r="8" spans="1:14" x14ac:dyDescent="0.15">
      <c r="B8" s="2"/>
      <c r="C8" s="4"/>
      <c r="D8" s="1"/>
      <c r="I8" s="24" t="s">
        <v>22</v>
      </c>
      <c r="J8" s="7"/>
      <c r="L8" s="24" t="s">
        <v>27</v>
      </c>
      <c r="M8" s="7" t="s">
        <v>26</v>
      </c>
    </row>
    <row r="9" spans="1:14" x14ac:dyDescent="0.15">
      <c r="B9" s="2"/>
      <c r="C9" s="4"/>
      <c r="D9" s="1"/>
      <c r="I9" s="17">
        <f>J9+1</f>
        <v>43466</v>
      </c>
      <c r="J9" s="17">
        <v>43465</v>
      </c>
      <c r="L9" s="17">
        <f>M9+1</f>
        <v>43466</v>
      </c>
      <c r="M9" s="17">
        <v>43465</v>
      </c>
    </row>
    <row r="10" spans="1:14" x14ac:dyDescent="0.15">
      <c r="B10" s="2"/>
      <c r="C10" s="4"/>
      <c r="D10" s="1"/>
      <c r="I10" s="18">
        <f>I9</f>
        <v>43466</v>
      </c>
      <c r="J10" s="19">
        <f>J9</f>
        <v>43465</v>
      </c>
      <c r="L10" s="18">
        <f>L9</f>
        <v>43466</v>
      </c>
      <c r="M10" s="19">
        <f>M9</f>
        <v>43465</v>
      </c>
    </row>
    <row r="11" spans="1:14" x14ac:dyDescent="0.15">
      <c r="B11" s="2"/>
      <c r="C11" s="4"/>
      <c r="D11" s="1"/>
      <c r="I11" s="22">
        <f>25/100000</f>
        <v>2.5000000000000001E-4</v>
      </c>
      <c r="J11" s="22">
        <f>3/10000</f>
        <v>2.9999999999999997E-4</v>
      </c>
      <c r="L11" s="22">
        <f>75/10000</f>
        <v>7.4999999999999997E-3</v>
      </c>
      <c r="M11" s="22">
        <f>12/1000</f>
        <v>1.2E-2</v>
      </c>
    </row>
    <row r="12" spans="1:14" x14ac:dyDescent="0.15">
      <c r="B12" s="2"/>
      <c r="C12" s="4"/>
      <c r="D12" s="1"/>
      <c r="I12" s="7" t="s">
        <v>31</v>
      </c>
      <c r="L12" t="s">
        <v>30</v>
      </c>
    </row>
    <row r="13" spans="1:14" x14ac:dyDescent="0.15">
      <c r="B13" s="2"/>
      <c r="C13" s="4"/>
      <c r="D13" s="1"/>
    </row>
    <row r="14" spans="1:14" x14ac:dyDescent="0.15">
      <c r="B14" s="2"/>
      <c r="C14" s="4"/>
      <c r="D14" s="1"/>
    </row>
    <row r="15" spans="1:14" x14ac:dyDescent="0.15">
      <c r="B15" s="2"/>
      <c r="C15" s="4"/>
      <c r="D15" s="1"/>
    </row>
    <row r="16" spans="1:14" x14ac:dyDescent="0.15">
      <c r="B16" s="2"/>
      <c r="C16" s="4"/>
      <c r="D16" s="1"/>
    </row>
    <row r="17" spans="1:22" x14ac:dyDescent="0.15">
      <c r="B17" s="2"/>
      <c r="C17" s="4"/>
      <c r="D17" s="1"/>
    </row>
    <row r="18" spans="1:22" x14ac:dyDescent="0.15">
      <c r="B18" s="2"/>
      <c r="C18" s="4"/>
      <c r="D18" s="1"/>
    </row>
    <row r="19" spans="1:22" x14ac:dyDescent="0.15">
      <c r="B19" s="2"/>
      <c r="C19" s="4"/>
      <c r="D19" s="1"/>
    </row>
    <row r="20" spans="1:22" x14ac:dyDescent="0.15">
      <c r="B20" s="6"/>
      <c r="C20" s="4"/>
      <c r="D20" s="1"/>
      <c r="E20" s="5"/>
    </row>
    <row r="21" spans="1:22" x14ac:dyDescent="0.15">
      <c r="B21" s="3" t="s">
        <v>1</v>
      </c>
      <c r="C21" s="4"/>
      <c r="D21" s="1"/>
      <c r="E21" s="5"/>
    </row>
    <row r="22" spans="1:22" x14ac:dyDescent="0.15">
      <c r="A22" t="s">
        <v>8</v>
      </c>
      <c r="B22" s="4">
        <f>B3</f>
        <v>43039</v>
      </c>
      <c r="C22" s="4"/>
      <c r="D22" s="20">
        <f>D3</f>
        <v>23535000</v>
      </c>
      <c r="E22" t="str">
        <f>IF(D22&gt;=1000000,"100만원이상 중가산금대상","100만원 미만 중가산금제외")</f>
        <v>100만원이상 중가산금대상</v>
      </c>
    </row>
    <row r="23" spans="1:22" x14ac:dyDescent="0.15">
      <c r="B23" s="4"/>
      <c r="C23" s="4"/>
      <c r="D23" s="1"/>
    </row>
    <row r="24" spans="1:22" x14ac:dyDescent="0.15">
      <c r="A24" t="s">
        <v>9</v>
      </c>
      <c r="B24" s="4"/>
      <c r="C24" s="4"/>
      <c r="D24" s="1"/>
    </row>
    <row r="25" spans="1:22" x14ac:dyDescent="0.15">
      <c r="A25" t="s">
        <v>2</v>
      </c>
      <c r="B25" s="4">
        <f>B22+30</f>
        <v>43069</v>
      </c>
      <c r="C25" s="4"/>
      <c r="D25" s="39">
        <f>TRUNC(D22*E25,-1)</f>
        <v>706050</v>
      </c>
      <c r="E25" s="28">
        <v>0.03</v>
      </c>
    </row>
    <row r="26" spans="1:22" x14ac:dyDescent="0.15">
      <c r="B26" s="4" t="s">
        <v>11</v>
      </c>
      <c r="C26" s="4"/>
      <c r="D26" s="20">
        <f>TRUNC(SUM(D25,D22),-1)</f>
        <v>24241050</v>
      </c>
    </row>
    <row r="27" spans="1:22" x14ac:dyDescent="0.15">
      <c r="B27" s="2"/>
      <c r="C27" s="4"/>
      <c r="D27" s="1"/>
    </row>
    <row r="28" spans="1:22" x14ac:dyDescent="0.15">
      <c r="A28" t="s">
        <v>10</v>
      </c>
      <c r="B28" s="2"/>
      <c r="C28" s="4"/>
      <c r="D28" s="1"/>
      <c r="H28" s="3" t="s">
        <v>50</v>
      </c>
      <c r="I28" s="2">
        <v>43831</v>
      </c>
      <c r="J28" s="7"/>
    </row>
    <row r="29" spans="1:22" x14ac:dyDescent="0.15">
      <c r="A29" t="s">
        <v>12</v>
      </c>
      <c r="B29" s="4">
        <f>B25+31</f>
        <v>43100</v>
      </c>
      <c r="C29" s="4"/>
      <c r="D29" s="39">
        <f>IF(AND(D22&gt;=1000000,B3&lt;I28),TRUNC(D22*E29,-1),IF(AND(D22&gt;=1000000,B3&gt;=I28),TRUNC(D22*G29*H29,-1),0))</f>
        <v>282420</v>
      </c>
      <c r="E29" s="28">
        <f>IF(B29&lt;$L$2,$M$4,$L$4)</f>
        <v>1.2E-2</v>
      </c>
      <c r="F29" t="s">
        <v>25</v>
      </c>
      <c r="G29" s="27">
        <v>2.5000000000000001E-4</v>
      </c>
      <c r="H29" s="66">
        <f>B29-B3</f>
        <v>61</v>
      </c>
      <c r="J29" s="7"/>
    </row>
    <row r="30" spans="1:22" x14ac:dyDescent="0.15">
      <c r="B30" s="4" t="s">
        <v>13</v>
      </c>
      <c r="C30" s="4"/>
      <c r="D30" s="20">
        <f>SUM(D29,D26)</f>
        <v>24523470</v>
      </c>
      <c r="J30" s="7"/>
    </row>
    <row r="31" spans="1:22" x14ac:dyDescent="0.15">
      <c r="A31" s="31"/>
      <c r="B31" s="32"/>
      <c r="C31" s="33"/>
      <c r="D31" s="34"/>
      <c r="E31" s="31"/>
      <c r="F31" s="31"/>
      <c r="G31" s="31"/>
      <c r="J31" s="7"/>
    </row>
    <row r="32" spans="1:22" ht="14.25" thickBot="1" x14ac:dyDescent="0.2">
      <c r="A32" s="35"/>
      <c r="B32" s="36"/>
      <c r="C32" s="37"/>
      <c r="D32" s="38"/>
      <c r="E32" s="35"/>
      <c r="F32" s="35"/>
      <c r="G32" s="35"/>
      <c r="H32" s="42"/>
      <c r="I32" s="42"/>
      <c r="J32" s="43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ht="14.25" thickTop="1" x14ac:dyDescent="0.15"/>
  </sheetData>
  <phoneticPr fontId="4" type="noConversion"/>
  <conditionalFormatting sqref="B3">
    <cfRule type="cellIs" dxfId="1" priority="1" operator="greaterThan">
      <formula>43830</formula>
    </cfRule>
  </conditionalFormatting>
  <hyperlinks>
    <hyperlink ref="N1" r:id="rId1" xr:uid="{24767DD9-FD83-446D-AC51-8DA7C936F28B}"/>
  </hyperlinks>
  <pageMargins left="0.7" right="0.7" top="0.75" bottom="0.75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ED38-68DD-456F-B415-F2BD36C34500}">
  <dimension ref="B1:J33"/>
  <sheetViews>
    <sheetView tabSelected="1" workbookViewId="0">
      <selection activeCell="F13" sqref="F13"/>
    </sheetView>
  </sheetViews>
  <sheetFormatPr defaultRowHeight="13.5" x14ac:dyDescent="0.15"/>
  <cols>
    <col min="1" max="1" width="9" style="44"/>
    <col min="2" max="2" width="12.625" style="44" bestFit="1" customWidth="1"/>
    <col min="3" max="4" width="13.25" style="44" customWidth="1"/>
    <col min="5" max="5" width="9" style="44"/>
    <col min="6" max="6" width="10.375" style="44" customWidth="1"/>
    <col min="7" max="16384" width="9" style="44"/>
  </cols>
  <sheetData>
    <row r="1" spans="2:10" ht="14.25" thickBot="1" x14ac:dyDescent="0.2">
      <c r="J1" s="44" t="s">
        <v>319</v>
      </c>
    </row>
    <row r="2" spans="2:10" ht="17.25" thickBot="1" x14ac:dyDescent="0.2">
      <c r="B2" s="44" t="s">
        <v>32</v>
      </c>
      <c r="C2" s="45">
        <v>43444</v>
      </c>
      <c r="E2" s="44" t="str">
        <f>TEXT(C2,"aaaa")</f>
        <v>월요일</v>
      </c>
    </row>
    <row r="3" spans="2:10" ht="17.25" thickBot="1" x14ac:dyDescent="0.2">
      <c r="B3" s="44" t="s">
        <v>33</v>
      </c>
      <c r="C3" s="46">
        <v>43763</v>
      </c>
      <c r="E3" s="44" t="str">
        <f>TEXT(C3,"aaaa")</f>
        <v>금요일</v>
      </c>
      <c r="F3" s="47">
        <v>0</v>
      </c>
      <c r="G3" s="44" t="s">
        <v>34</v>
      </c>
    </row>
    <row r="4" spans="2:10" x14ac:dyDescent="0.15">
      <c r="B4" s="44" t="s">
        <v>35</v>
      </c>
      <c r="C4" s="58">
        <f>C3-C2</f>
        <v>319</v>
      </c>
    </row>
    <row r="5" spans="2:10" x14ac:dyDescent="0.15">
      <c r="C5" s="48"/>
    </row>
    <row r="6" spans="2:10" ht="16.5" x14ac:dyDescent="0.15">
      <c r="C6" s="49">
        <v>43508</v>
      </c>
      <c r="D6" s="49">
        <v>43466</v>
      </c>
    </row>
    <row r="8" spans="2:10" ht="14.25" thickBot="1" x14ac:dyDescent="0.2">
      <c r="B8" s="44" t="s">
        <v>36</v>
      </c>
      <c r="C8" s="44" t="s">
        <v>37</v>
      </c>
      <c r="D8" s="44" t="s">
        <v>38</v>
      </c>
    </row>
    <row r="9" spans="2:10" ht="17.25" thickBot="1" x14ac:dyDescent="0.2">
      <c r="B9" s="44" t="s">
        <v>39</v>
      </c>
      <c r="C9" s="50">
        <v>140650</v>
      </c>
      <c r="D9" s="50">
        <v>14060</v>
      </c>
    </row>
    <row r="10" spans="2:10" x14ac:dyDescent="0.15">
      <c r="B10" s="56">
        <v>0.03</v>
      </c>
      <c r="C10" s="48">
        <f>TRUNC(C9*B10,0)</f>
        <v>4219</v>
      </c>
      <c r="D10" s="48">
        <f>TRUNC(D9*B10,0)</f>
        <v>421</v>
      </c>
    </row>
    <row r="12" spans="2:10" x14ac:dyDescent="0.15">
      <c r="B12" s="44" t="s">
        <v>40</v>
      </c>
      <c r="C12" s="44">
        <f>IF(C2&lt;C6,C6-C2,0)</f>
        <v>64</v>
      </c>
      <c r="D12" s="44">
        <f>IF(C2&lt;D6,D6-C2,0)</f>
        <v>22</v>
      </c>
    </row>
    <row r="13" spans="2:10" ht="16.5" x14ac:dyDescent="0.15">
      <c r="B13" s="51">
        <f>3/10000</f>
        <v>2.9999999999999997E-4</v>
      </c>
      <c r="C13" s="44">
        <f>C9*C12*$B$13</f>
        <v>2700.4799999999996</v>
      </c>
      <c r="D13" s="44">
        <f>D9*D12*$B$13</f>
        <v>92.795999999999992</v>
      </c>
    </row>
    <row r="16" spans="2:10" x14ac:dyDescent="0.15">
      <c r="B16" s="44" t="s">
        <v>41</v>
      </c>
      <c r="C16" s="44">
        <f>C4-C12</f>
        <v>255</v>
      </c>
      <c r="D16" s="44">
        <f>C4-D12</f>
        <v>297</v>
      </c>
    </row>
    <row r="17" spans="2:6" ht="16.5" x14ac:dyDescent="0.15">
      <c r="B17" s="52">
        <f>25/100000</f>
        <v>2.5000000000000001E-4</v>
      </c>
      <c r="C17" s="44">
        <f>C9*C16*B17</f>
        <v>8966.4375</v>
      </c>
      <c r="D17" s="44">
        <f>D9*D16*B17</f>
        <v>1043.9549999999999</v>
      </c>
    </row>
    <row r="20" spans="2:6" x14ac:dyDescent="0.15">
      <c r="B20" s="44" t="s">
        <v>47</v>
      </c>
      <c r="C20" s="44">
        <f>SUM(C16,C12)</f>
        <v>319</v>
      </c>
      <c r="D20" s="44">
        <f>SUM(D16,D12)</f>
        <v>319</v>
      </c>
    </row>
    <row r="22" spans="2:6" x14ac:dyDescent="0.15">
      <c r="C22" s="44">
        <f>C4-C20</f>
        <v>0</v>
      </c>
      <c r="D22" s="44">
        <f>C4-D20</f>
        <v>0</v>
      </c>
    </row>
    <row r="24" spans="2:6" x14ac:dyDescent="0.15">
      <c r="B24" s="59">
        <v>0.03</v>
      </c>
      <c r="C24" s="60">
        <f>TRUNC(C10,0)</f>
        <v>4219</v>
      </c>
      <c r="D24" s="60">
        <f>TRUNC(D10,0)</f>
        <v>421</v>
      </c>
    </row>
    <row r="25" spans="2:6" ht="14.25" thickBot="1" x14ac:dyDescent="0.2">
      <c r="B25" s="53" t="s">
        <v>42</v>
      </c>
      <c r="C25" s="61">
        <f>TRUNC(SUM(C17,C13),0)</f>
        <v>11666</v>
      </c>
      <c r="D25" s="61">
        <f>TRUNC(SUM(D17,D13),0)</f>
        <v>1136</v>
      </c>
    </row>
    <row r="26" spans="2:6" ht="14.25" thickTop="1" x14ac:dyDescent="0.15">
      <c r="B26" s="44" t="s">
        <v>43</v>
      </c>
      <c r="C26" s="57">
        <f>TRUNC(SUM(C24:C25),-1)</f>
        <v>15880</v>
      </c>
      <c r="D26" s="57">
        <f>TRUNC(SUM(D24:D25),-1)</f>
        <v>1550</v>
      </c>
    </row>
    <row r="27" spans="2:6" x14ac:dyDescent="0.15">
      <c r="B27" s="44" t="s">
        <v>44</v>
      </c>
      <c r="C27" s="54">
        <f>C26/C9</f>
        <v>0.11290437255599005</v>
      </c>
      <c r="D27" s="54">
        <f>D26/D9</f>
        <v>0.11024182076813656</v>
      </c>
    </row>
    <row r="29" spans="2:6" x14ac:dyDescent="0.15">
      <c r="B29" s="44" t="s">
        <v>45</v>
      </c>
      <c r="C29" s="57">
        <f>TRUNC(C9*10%,-1)</f>
        <v>14060</v>
      </c>
      <c r="D29" s="57">
        <f>TRUNC(D9*10%,-1)</f>
        <v>1400</v>
      </c>
    </row>
    <row r="31" spans="2:6" ht="16.5" x14ac:dyDescent="0.15">
      <c r="B31" s="55" t="s">
        <v>46</v>
      </c>
      <c r="C31" s="55">
        <f>MIN(C26,C29)</f>
        <v>14060</v>
      </c>
      <c r="D31" s="55">
        <f>MIN(D26,D29)</f>
        <v>1400</v>
      </c>
      <c r="F31" s="44">
        <f>SUM(C31:E31)</f>
        <v>15460</v>
      </c>
    </row>
    <row r="33" spans="2:6" ht="16.5" x14ac:dyDescent="0.15">
      <c r="B33" s="62" t="s">
        <v>48</v>
      </c>
      <c r="C33" s="63">
        <f>SUM(C31,C9)</f>
        <v>154710</v>
      </c>
      <c r="D33" s="63">
        <f>SUM(D31,D9)</f>
        <v>15460</v>
      </c>
      <c r="F33" s="44">
        <f>SUM(C33:E33)</f>
        <v>170170</v>
      </c>
    </row>
  </sheetData>
  <phoneticPr fontId="4" type="noConversion"/>
  <conditionalFormatting sqref="C27:D27">
    <cfRule type="cellIs" dxfId="0" priority="1" operator="greaterThan">
      <formula>0.1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FDF86-DB02-4DE6-9B45-82EF8EF58A02}">
  <dimension ref="A2:C94"/>
  <sheetViews>
    <sheetView showGridLines="0" workbookViewId="0">
      <selection activeCell="J10" sqref="J10"/>
    </sheetView>
  </sheetViews>
  <sheetFormatPr defaultRowHeight="13.5" x14ac:dyDescent="0.15"/>
  <cols>
    <col min="1" max="1" width="2.625" customWidth="1"/>
    <col min="2" max="2" width="2.375" customWidth="1"/>
    <col min="3" max="3" width="2.5" customWidth="1"/>
  </cols>
  <sheetData>
    <row r="2" spans="1:2" ht="18.75" x14ac:dyDescent="0.15">
      <c r="A2" s="71" t="s">
        <v>56</v>
      </c>
    </row>
    <row r="5" spans="1:2" x14ac:dyDescent="0.15">
      <c r="A5" t="s">
        <v>57</v>
      </c>
    </row>
    <row r="6" spans="1:2" x14ac:dyDescent="0.15">
      <c r="B6" t="s">
        <v>58</v>
      </c>
    </row>
    <row r="7" spans="1:2" x14ac:dyDescent="0.15">
      <c r="B7" t="s">
        <v>59</v>
      </c>
    </row>
    <row r="8" spans="1:2" x14ac:dyDescent="0.15">
      <c r="B8" t="s">
        <v>60</v>
      </c>
    </row>
    <row r="10" spans="1:2" x14ac:dyDescent="0.15">
      <c r="B10" t="s">
        <v>61</v>
      </c>
    </row>
    <row r="11" spans="1:2" x14ac:dyDescent="0.15">
      <c r="B11" t="s">
        <v>62</v>
      </c>
    </row>
    <row r="13" spans="1:2" x14ac:dyDescent="0.15">
      <c r="B13" t="s">
        <v>63</v>
      </c>
    </row>
    <row r="14" spans="1:2" x14ac:dyDescent="0.15">
      <c r="B14" t="s">
        <v>64</v>
      </c>
    </row>
    <row r="15" spans="1:2" x14ac:dyDescent="0.15">
      <c r="B15" t="s">
        <v>65</v>
      </c>
    </row>
    <row r="18" spans="2:3" x14ac:dyDescent="0.15">
      <c r="B18" t="s">
        <v>298</v>
      </c>
    </row>
    <row r="19" spans="2:3" x14ac:dyDescent="0.15">
      <c r="C19" t="s">
        <v>294</v>
      </c>
    </row>
    <row r="22" spans="2:3" x14ac:dyDescent="0.15">
      <c r="B22" t="s">
        <v>66</v>
      </c>
    </row>
    <row r="24" spans="2:3" x14ac:dyDescent="0.15">
      <c r="B24" t="s">
        <v>67</v>
      </c>
    </row>
    <row r="26" spans="2:3" x14ac:dyDescent="0.15">
      <c r="C26" t="s">
        <v>68</v>
      </c>
    </row>
    <row r="28" spans="2:3" x14ac:dyDescent="0.15">
      <c r="C28" t="s">
        <v>69</v>
      </c>
    </row>
    <row r="29" spans="2:3" x14ac:dyDescent="0.15">
      <c r="C29" t="s">
        <v>70</v>
      </c>
    </row>
    <row r="30" spans="2:3" x14ac:dyDescent="0.15">
      <c r="C30" t="s">
        <v>71</v>
      </c>
    </row>
    <row r="31" spans="2:3" x14ac:dyDescent="0.15">
      <c r="C31" t="s">
        <v>72</v>
      </c>
    </row>
    <row r="32" spans="2:3" x14ac:dyDescent="0.15">
      <c r="C32" t="s">
        <v>73</v>
      </c>
    </row>
    <row r="33" spans="2:3" x14ac:dyDescent="0.15">
      <c r="C33" t="s">
        <v>74</v>
      </c>
    </row>
    <row r="35" spans="2:3" x14ac:dyDescent="0.15">
      <c r="C35" t="s">
        <v>75</v>
      </c>
    </row>
    <row r="37" spans="2:3" x14ac:dyDescent="0.15">
      <c r="C37" t="s">
        <v>69</v>
      </c>
    </row>
    <row r="38" spans="2:3" x14ac:dyDescent="0.15">
      <c r="C38" t="s">
        <v>70</v>
      </c>
    </row>
    <row r="39" spans="2:3" x14ac:dyDescent="0.15">
      <c r="C39" t="s">
        <v>76</v>
      </c>
    </row>
    <row r="40" spans="2:3" x14ac:dyDescent="0.15">
      <c r="C40" t="s">
        <v>77</v>
      </c>
    </row>
    <row r="41" spans="2:3" x14ac:dyDescent="0.15">
      <c r="C41" t="s">
        <v>78</v>
      </c>
    </row>
    <row r="46" spans="2:3" x14ac:dyDescent="0.15">
      <c r="B46" t="s">
        <v>299</v>
      </c>
    </row>
    <row r="47" spans="2:3" x14ac:dyDescent="0.15">
      <c r="C47" t="s">
        <v>294</v>
      </c>
    </row>
    <row r="51" spans="1:3" x14ac:dyDescent="0.15">
      <c r="B51" t="s">
        <v>300</v>
      </c>
    </row>
    <row r="52" spans="1:3" x14ac:dyDescent="0.15">
      <c r="C52" t="s">
        <v>301</v>
      </c>
    </row>
    <row r="55" spans="1:3" x14ac:dyDescent="0.15">
      <c r="A55" t="s">
        <v>79</v>
      </c>
    </row>
    <row r="58" spans="1:3" x14ac:dyDescent="0.15">
      <c r="A58" t="s">
        <v>302</v>
      </c>
    </row>
    <row r="60" spans="1:3" x14ac:dyDescent="0.15">
      <c r="B60" t="s">
        <v>80</v>
      </c>
    </row>
    <row r="62" spans="1:3" x14ac:dyDescent="0.15">
      <c r="B62" t="s">
        <v>81</v>
      </c>
    </row>
    <row r="64" spans="1:3" x14ac:dyDescent="0.15">
      <c r="B64" t="s">
        <v>303</v>
      </c>
    </row>
    <row r="66" spans="1:3" x14ac:dyDescent="0.15">
      <c r="B66" t="s">
        <v>82</v>
      </c>
    </row>
    <row r="67" spans="1:3" x14ac:dyDescent="0.15">
      <c r="C67" t="s">
        <v>83</v>
      </c>
    </row>
    <row r="69" spans="1:3" x14ac:dyDescent="0.15">
      <c r="B69" t="s">
        <v>84</v>
      </c>
    </row>
    <row r="71" spans="1:3" x14ac:dyDescent="0.15">
      <c r="C71" t="s">
        <v>85</v>
      </c>
    </row>
    <row r="73" spans="1:3" x14ac:dyDescent="0.15">
      <c r="B73" t="s">
        <v>304</v>
      </c>
    </row>
    <row r="74" spans="1:3" x14ac:dyDescent="0.15">
      <c r="C74" t="s">
        <v>305</v>
      </c>
    </row>
    <row r="77" spans="1:3" x14ac:dyDescent="0.15">
      <c r="A77" t="s">
        <v>86</v>
      </c>
    </row>
    <row r="79" spans="1:3" x14ac:dyDescent="0.15">
      <c r="A79" t="s">
        <v>87</v>
      </c>
    </row>
    <row r="81" spans="1:2" x14ac:dyDescent="0.15">
      <c r="A81" t="s">
        <v>88</v>
      </c>
    </row>
    <row r="82" spans="1:2" x14ac:dyDescent="0.15">
      <c r="B82" t="s">
        <v>89</v>
      </c>
    </row>
    <row r="83" spans="1:2" x14ac:dyDescent="0.15">
      <c r="B83" t="s">
        <v>90</v>
      </c>
    </row>
    <row r="85" spans="1:2" x14ac:dyDescent="0.15">
      <c r="A85" t="s">
        <v>306</v>
      </c>
    </row>
    <row r="87" spans="1:2" x14ac:dyDescent="0.15">
      <c r="A87" t="s">
        <v>307</v>
      </c>
    </row>
    <row r="89" spans="1:2" x14ac:dyDescent="0.15">
      <c r="A89" t="s">
        <v>308</v>
      </c>
    </row>
    <row r="90" spans="1:2" x14ac:dyDescent="0.15">
      <c r="B90" t="s">
        <v>309</v>
      </c>
    </row>
    <row r="92" spans="1:2" x14ac:dyDescent="0.15">
      <c r="B92" t="s">
        <v>310</v>
      </c>
    </row>
    <row r="94" spans="1:2" x14ac:dyDescent="0.15">
      <c r="B94" t="s">
        <v>311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A9AB-025B-4C3E-B172-B0BC142AEAEA}">
  <dimension ref="A2:V53"/>
  <sheetViews>
    <sheetView showGridLines="0" workbookViewId="0">
      <selection activeCell="C8" sqref="C8"/>
    </sheetView>
  </sheetViews>
  <sheetFormatPr defaultRowHeight="13.5" x14ac:dyDescent="0.15"/>
  <cols>
    <col min="1" max="1" width="2.5" customWidth="1"/>
  </cols>
  <sheetData>
    <row r="2" spans="1:19" ht="18.75" x14ac:dyDescent="0.15">
      <c r="A2" s="71" t="s">
        <v>289</v>
      </c>
    </row>
    <row r="4" spans="1:19" x14ac:dyDescent="0.15">
      <c r="A4" t="s">
        <v>290</v>
      </c>
    </row>
    <row r="5" spans="1:19" x14ac:dyDescent="0.15">
      <c r="B5" t="s">
        <v>91</v>
      </c>
    </row>
    <row r="6" spans="1:19" x14ac:dyDescent="0.15">
      <c r="B6" t="s">
        <v>291</v>
      </c>
    </row>
    <row r="7" spans="1:19" x14ac:dyDescent="0.15">
      <c r="B7" t="s">
        <v>292</v>
      </c>
    </row>
    <row r="10" spans="1:19" x14ac:dyDescent="0.15">
      <c r="B10" s="73" t="s">
        <v>94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5"/>
    </row>
    <row r="11" spans="1:19" x14ac:dyDescent="0.15">
      <c r="B11" s="76" t="s">
        <v>67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77"/>
    </row>
    <row r="12" spans="1:19" x14ac:dyDescent="0.15">
      <c r="B12" s="76" t="s">
        <v>93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77"/>
    </row>
    <row r="13" spans="1:19" x14ac:dyDescent="0.15">
      <c r="B13" s="76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77"/>
    </row>
    <row r="14" spans="1:19" x14ac:dyDescent="0.15">
      <c r="B14" s="76" t="s">
        <v>63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77"/>
    </row>
    <row r="15" spans="1:19" x14ac:dyDescent="0.15">
      <c r="B15" s="76" t="s">
        <v>92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77"/>
    </row>
    <row r="16" spans="1:19" x14ac:dyDescent="0.15">
      <c r="B16" s="78" t="s">
        <v>65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80"/>
    </row>
    <row r="19" spans="2:22" x14ac:dyDescent="0.15">
      <c r="B19" t="s">
        <v>95</v>
      </c>
    </row>
    <row r="21" spans="2:22" x14ac:dyDescent="0.15">
      <c r="B21" t="s">
        <v>293</v>
      </c>
    </row>
    <row r="22" spans="2:22" x14ac:dyDescent="0.15">
      <c r="B22" t="s">
        <v>295</v>
      </c>
    </row>
    <row r="25" spans="2:22" ht="18.75" x14ac:dyDescent="0.15">
      <c r="B25" s="81" t="s">
        <v>96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5"/>
    </row>
    <row r="26" spans="2:22" x14ac:dyDescent="0.15">
      <c r="B26" s="76" t="s">
        <v>107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77"/>
    </row>
    <row r="27" spans="2:22" x14ac:dyDescent="0.15">
      <c r="B27" s="76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77"/>
    </row>
    <row r="28" spans="2:22" x14ac:dyDescent="0.15">
      <c r="B28" s="76" t="s">
        <v>97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77"/>
    </row>
    <row r="29" spans="2:22" x14ac:dyDescent="0.15">
      <c r="B29" s="76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77"/>
    </row>
    <row r="30" spans="2:22" x14ac:dyDescent="0.15">
      <c r="B30" s="76" t="s">
        <v>67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77"/>
    </row>
    <row r="31" spans="2:22" x14ac:dyDescent="0.15">
      <c r="B31" s="78" t="s">
        <v>98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0"/>
    </row>
    <row r="33" spans="1:2" x14ac:dyDescent="0.15">
      <c r="A33" t="s">
        <v>99</v>
      </c>
    </row>
    <row r="35" spans="1:2" x14ac:dyDescent="0.15">
      <c r="B35" t="s">
        <v>100</v>
      </c>
    </row>
    <row r="37" spans="1:2" x14ac:dyDescent="0.15">
      <c r="B37" t="s">
        <v>101</v>
      </c>
    </row>
    <row r="39" spans="1:2" x14ac:dyDescent="0.15">
      <c r="B39" t="s">
        <v>102</v>
      </c>
    </row>
    <row r="42" spans="1:2" x14ac:dyDescent="0.15">
      <c r="A42" t="s">
        <v>103</v>
      </c>
    </row>
    <row r="44" spans="1:2" x14ac:dyDescent="0.15">
      <c r="B44" t="s">
        <v>104</v>
      </c>
    </row>
    <row r="46" spans="1:2" x14ac:dyDescent="0.15">
      <c r="B46" t="s">
        <v>105</v>
      </c>
    </row>
    <row r="48" spans="1:2" x14ac:dyDescent="0.15">
      <c r="B48" t="s">
        <v>106</v>
      </c>
    </row>
    <row r="51" spans="1:1" x14ac:dyDescent="0.15">
      <c r="A51" t="s">
        <v>296</v>
      </c>
    </row>
    <row r="53" spans="1:1" x14ac:dyDescent="0.15">
      <c r="A53" t="s">
        <v>297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B6E2-BD5D-44CC-B320-C3F1279A6453}">
  <dimension ref="A1:P204"/>
  <sheetViews>
    <sheetView showGridLines="0" workbookViewId="0"/>
  </sheetViews>
  <sheetFormatPr defaultRowHeight="13.5" x14ac:dyDescent="0.15"/>
  <cols>
    <col min="1" max="1" width="2.625" customWidth="1"/>
    <col min="2" max="2" width="2.375" customWidth="1"/>
    <col min="3" max="3" width="2.75" customWidth="1"/>
    <col min="4" max="4" width="3.25" customWidth="1"/>
    <col min="15" max="15" width="2.75" customWidth="1"/>
  </cols>
  <sheetData>
    <row r="1" spans="1:4" ht="18.75" x14ac:dyDescent="0.15">
      <c r="A1" s="71" t="s">
        <v>151</v>
      </c>
    </row>
    <row r="3" spans="1:4" x14ac:dyDescent="0.15">
      <c r="B3" t="s">
        <v>152</v>
      </c>
    </row>
    <row r="4" spans="1:4" x14ac:dyDescent="0.15">
      <c r="C4" t="s">
        <v>153</v>
      </c>
    </row>
    <row r="5" spans="1:4" x14ac:dyDescent="0.15">
      <c r="C5" t="s">
        <v>154</v>
      </c>
    </row>
    <row r="6" spans="1:4" x14ac:dyDescent="0.15">
      <c r="C6" t="s">
        <v>155</v>
      </c>
    </row>
    <row r="8" spans="1:4" x14ac:dyDescent="0.15">
      <c r="C8" t="s">
        <v>156</v>
      </c>
    </row>
    <row r="10" spans="1:4" x14ac:dyDescent="0.15">
      <c r="C10" t="s">
        <v>157</v>
      </c>
    </row>
    <row r="12" spans="1:4" x14ac:dyDescent="0.15">
      <c r="B12" t="s">
        <v>158</v>
      </c>
    </row>
    <row r="14" spans="1:4" x14ac:dyDescent="0.15">
      <c r="C14" t="s">
        <v>159</v>
      </c>
    </row>
    <row r="15" spans="1:4" x14ac:dyDescent="0.15">
      <c r="D15" t="s">
        <v>160</v>
      </c>
    </row>
    <row r="17" spans="2:5" x14ac:dyDescent="0.15">
      <c r="D17" t="s">
        <v>161</v>
      </c>
    </row>
    <row r="19" spans="2:5" x14ac:dyDescent="0.15">
      <c r="E19" s="72" t="s">
        <v>162</v>
      </c>
    </row>
    <row r="21" spans="2:5" x14ac:dyDescent="0.15">
      <c r="E21" t="s">
        <v>163</v>
      </c>
    </row>
    <row r="23" spans="2:5" x14ac:dyDescent="0.15">
      <c r="D23" t="s">
        <v>164</v>
      </c>
    </row>
    <row r="26" spans="2:5" x14ac:dyDescent="0.15">
      <c r="C26" t="s">
        <v>165</v>
      </c>
    </row>
    <row r="27" spans="2:5" x14ac:dyDescent="0.15">
      <c r="D27" t="s">
        <v>166</v>
      </c>
    </row>
    <row r="30" spans="2:5" x14ac:dyDescent="0.15">
      <c r="B30" t="s">
        <v>167</v>
      </c>
    </row>
    <row r="32" spans="2:5" x14ac:dyDescent="0.15">
      <c r="C32" t="s">
        <v>312</v>
      </c>
    </row>
    <row r="34" spans="1:3" x14ac:dyDescent="0.15">
      <c r="C34" t="s">
        <v>168</v>
      </c>
    </row>
    <row r="36" spans="1:3" x14ac:dyDescent="0.15">
      <c r="B36" t="s">
        <v>169</v>
      </c>
    </row>
    <row r="38" spans="1:3" x14ac:dyDescent="0.15">
      <c r="B38" t="s">
        <v>170</v>
      </c>
    </row>
    <row r="40" spans="1:3" x14ac:dyDescent="0.15">
      <c r="B40" t="s">
        <v>171</v>
      </c>
    </row>
    <row r="42" spans="1:3" x14ac:dyDescent="0.15">
      <c r="B42" t="s">
        <v>172</v>
      </c>
    </row>
    <row r="47" spans="1:3" ht="18.75" x14ac:dyDescent="0.15">
      <c r="A47" s="71" t="s">
        <v>173</v>
      </c>
    </row>
    <row r="50" spans="2:4" x14ac:dyDescent="0.15">
      <c r="B50" t="s">
        <v>152</v>
      </c>
    </row>
    <row r="51" spans="2:4" x14ac:dyDescent="0.15">
      <c r="C51" t="s">
        <v>174</v>
      </c>
    </row>
    <row r="52" spans="2:4" x14ac:dyDescent="0.15">
      <c r="C52" t="s">
        <v>175</v>
      </c>
    </row>
    <row r="53" spans="2:4" x14ac:dyDescent="0.15">
      <c r="C53" t="s">
        <v>176</v>
      </c>
    </row>
    <row r="54" spans="2:4" x14ac:dyDescent="0.15">
      <c r="C54" t="s">
        <v>177</v>
      </c>
    </row>
    <row r="56" spans="2:4" x14ac:dyDescent="0.15">
      <c r="C56" t="s">
        <v>178</v>
      </c>
    </row>
    <row r="58" spans="2:4" x14ac:dyDescent="0.15">
      <c r="D58" t="s">
        <v>179</v>
      </c>
    </row>
    <row r="60" spans="2:4" x14ac:dyDescent="0.15">
      <c r="D60" t="s">
        <v>180</v>
      </c>
    </row>
    <row r="63" spans="2:4" x14ac:dyDescent="0.15">
      <c r="C63" t="s">
        <v>181</v>
      </c>
    </row>
    <row r="66" spans="2:4" x14ac:dyDescent="0.15">
      <c r="B66" t="s">
        <v>182</v>
      </c>
    </row>
    <row r="68" spans="2:4" x14ac:dyDescent="0.15">
      <c r="C68" t="s">
        <v>183</v>
      </c>
    </row>
    <row r="70" spans="2:4" x14ac:dyDescent="0.15">
      <c r="D70" t="s">
        <v>184</v>
      </c>
    </row>
    <row r="72" spans="2:4" x14ac:dyDescent="0.15">
      <c r="D72" t="s">
        <v>185</v>
      </c>
    </row>
    <row r="74" spans="2:4" x14ac:dyDescent="0.15">
      <c r="C74" t="s">
        <v>186</v>
      </c>
    </row>
    <row r="77" spans="2:4" x14ac:dyDescent="0.15">
      <c r="C77" t="s">
        <v>187</v>
      </c>
    </row>
    <row r="78" spans="2:4" x14ac:dyDescent="0.15">
      <c r="D78" t="s">
        <v>188</v>
      </c>
    </row>
    <row r="80" spans="2:4" x14ac:dyDescent="0.15">
      <c r="B80" t="s">
        <v>189</v>
      </c>
    </row>
    <row r="82" spans="2:5" x14ac:dyDescent="0.15">
      <c r="B82" t="s">
        <v>190</v>
      </c>
    </row>
    <row r="84" spans="2:5" x14ac:dyDescent="0.15">
      <c r="C84" t="s">
        <v>191</v>
      </c>
    </row>
    <row r="86" spans="2:5" x14ac:dyDescent="0.15">
      <c r="D86" t="s">
        <v>192</v>
      </c>
    </row>
    <row r="88" spans="2:5" x14ac:dyDescent="0.15">
      <c r="D88" t="s">
        <v>193</v>
      </c>
    </row>
    <row r="90" spans="2:5" x14ac:dyDescent="0.15">
      <c r="D90" t="s">
        <v>194</v>
      </c>
    </row>
    <row r="92" spans="2:5" x14ac:dyDescent="0.15">
      <c r="D92" t="s">
        <v>195</v>
      </c>
    </row>
    <row r="93" spans="2:5" x14ac:dyDescent="0.15">
      <c r="E93" t="s">
        <v>83</v>
      </c>
    </row>
    <row r="95" spans="2:5" x14ac:dyDescent="0.15">
      <c r="C95" t="s">
        <v>196</v>
      </c>
    </row>
    <row r="97" spans="1:3" x14ac:dyDescent="0.15">
      <c r="C97" t="s">
        <v>197</v>
      </c>
    </row>
    <row r="99" spans="1:3" x14ac:dyDescent="0.15">
      <c r="B99" t="s">
        <v>198</v>
      </c>
    </row>
    <row r="101" spans="1:3" x14ac:dyDescent="0.15">
      <c r="B101" t="s">
        <v>313</v>
      </c>
    </row>
    <row r="103" spans="1:3" x14ac:dyDescent="0.15">
      <c r="B103" t="s">
        <v>199</v>
      </c>
    </row>
    <row r="109" spans="1:3" ht="18.75" x14ac:dyDescent="0.15">
      <c r="A109" s="71" t="s">
        <v>108</v>
      </c>
    </row>
    <row r="110" spans="1:3" x14ac:dyDescent="0.15">
      <c r="A110" s="70"/>
    </row>
    <row r="111" spans="1:3" x14ac:dyDescent="0.15">
      <c r="A111" s="72" t="s">
        <v>109</v>
      </c>
    </row>
    <row r="113" spans="2:16" x14ac:dyDescent="0.15">
      <c r="B113" t="s">
        <v>314</v>
      </c>
    </row>
    <row r="115" spans="2:16" x14ac:dyDescent="0.15">
      <c r="B115" t="s">
        <v>110</v>
      </c>
    </row>
    <row r="117" spans="2:16" ht="18.75" x14ac:dyDescent="0.15">
      <c r="B117" t="s">
        <v>111</v>
      </c>
      <c r="O117" s="71" t="s">
        <v>112</v>
      </c>
    </row>
    <row r="119" spans="2:16" x14ac:dyDescent="0.15">
      <c r="O119" t="s">
        <v>113</v>
      </c>
    </row>
    <row r="121" spans="2:16" x14ac:dyDescent="0.15">
      <c r="P121" t="s">
        <v>114</v>
      </c>
    </row>
    <row r="123" spans="2:16" x14ac:dyDescent="0.15">
      <c r="P123" t="s">
        <v>115</v>
      </c>
    </row>
    <row r="125" spans="2:16" x14ac:dyDescent="0.15">
      <c r="P125" t="s">
        <v>315</v>
      </c>
    </row>
    <row r="126" spans="2:16" x14ac:dyDescent="0.15">
      <c r="P126" t="s">
        <v>316</v>
      </c>
    </row>
    <row r="127" spans="2:16" x14ac:dyDescent="0.15">
      <c r="P127" t="s">
        <v>317</v>
      </c>
    </row>
    <row r="131" spans="1:16" x14ac:dyDescent="0.15">
      <c r="O131" t="s">
        <v>116</v>
      </c>
    </row>
    <row r="133" spans="1:16" x14ac:dyDescent="0.15">
      <c r="P133" t="s">
        <v>117</v>
      </c>
    </row>
    <row r="135" spans="1:16" x14ac:dyDescent="0.15">
      <c r="P135" t="s">
        <v>118</v>
      </c>
    </row>
    <row r="137" spans="1:16" x14ac:dyDescent="0.15">
      <c r="O137" t="s">
        <v>119</v>
      </c>
    </row>
    <row r="139" spans="1:16" x14ac:dyDescent="0.15">
      <c r="O139" t="s">
        <v>120</v>
      </c>
    </row>
    <row r="144" spans="1:16" x14ac:dyDescent="0.15">
      <c r="A144" t="s">
        <v>121</v>
      </c>
    </row>
    <row r="146" spans="2:3" x14ac:dyDescent="0.15">
      <c r="B146" t="s">
        <v>123</v>
      </c>
    </row>
    <row r="147" spans="2:3" x14ac:dyDescent="0.15">
      <c r="C147" t="s">
        <v>124</v>
      </c>
    </row>
    <row r="150" spans="2:3" x14ac:dyDescent="0.15">
      <c r="C150" t="s">
        <v>122</v>
      </c>
    </row>
    <row r="152" spans="2:3" x14ac:dyDescent="0.15">
      <c r="C152" t="s">
        <v>125</v>
      </c>
    </row>
    <row r="154" spans="2:3" x14ac:dyDescent="0.15">
      <c r="C154" t="s">
        <v>126</v>
      </c>
    </row>
    <row r="156" spans="2:3" x14ac:dyDescent="0.15">
      <c r="C156" t="s">
        <v>127</v>
      </c>
    </row>
    <row r="158" spans="2:3" x14ac:dyDescent="0.15">
      <c r="C158" t="s">
        <v>128</v>
      </c>
    </row>
    <row r="160" spans="2:3" x14ac:dyDescent="0.15">
      <c r="C160" t="s">
        <v>129</v>
      </c>
    </row>
    <row r="163" spans="2:3" x14ac:dyDescent="0.15">
      <c r="B163" t="s">
        <v>130</v>
      </c>
    </row>
    <row r="164" spans="2:3" x14ac:dyDescent="0.15">
      <c r="C164" t="s">
        <v>131</v>
      </c>
    </row>
    <row r="166" spans="2:3" x14ac:dyDescent="0.15">
      <c r="C166" t="s">
        <v>132</v>
      </c>
    </row>
    <row r="168" spans="2:3" x14ac:dyDescent="0.15">
      <c r="C168" t="s">
        <v>133</v>
      </c>
    </row>
    <row r="170" spans="2:3" x14ac:dyDescent="0.15">
      <c r="C170" t="s">
        <v>134</v>
      </c>
    </row>
    <row r="173" spans="2:3" x14ac:dyDescent="0.15">
      <c r="B173" t="s">
        <v>135</v>
      </c>
    </row>
    <row r="175" spans="2:3" x14ac:dyDescent="0.15">
      <c r="C175" t="s">
        <v>136</v>
      </c>
    </row>
    <row r="177" spans="1:4" x14ac:dyDescent="0.15">
      <c r="C177" t="s">
        <v>137</v>
      </c>
    </row>
    <row r="179" spans="1:4" x14ac:dyDescent="0.15">
      <c r="C179" t="s">
        <v>138</v>
      </c>
    </row>
    <row r="180" spans="1:4" x14ac:dyDescent="0.15">
      <c r="D180" t="s">
        <v>139</v>
      </c>
    </row>
    <row r="182" spans="1:4" x14ac:dyDescent="0.15">
      <c r="C182" t="s">
        <v>140</v>
      </c>
    </row>
    <row r="183" spans="1:4" x14ac:dyDescent="0.15">
      <c r="D183" t="s">
        <v>141</v>
      </c>
    </row>
    <row r="185" spans="1:4" x14ac:dyDescent="0.15">
      <c r="A185" t="s">
        <v>142</v>
      </c>
    </row>
    <row r="188" spans="1:4" ht="18.75" x14ac:dyDescent="0.15">
      <c r="A188" s="71" t="s">
        <v>143</v>
      </c>
    </row>
    <row r="191" spans="1:4" x14ac:dyDescent="0.15">
      <c r="A191" t="s">
        <v>144</v>
      </c>
    </row>
    <row r="192" spans="1:4" x14ac:dyDescent="0.15">
      <c r="B192" t="s">
        <v>145</v>
      </c>
    </row>
    <row r="194" spans="1:2" x14ac:dyDescent="0.15">
      <c r="B194" t="s">
        <v>146</v>
      </c>
    </row>
    <row r="196" spans="1:2" x14ac:dyDescent="0.15">
      <c r="B196" t="s">
        <v>147</v>
      </c>
    </row>
    <row r="198" spans="1:2" x14ac:dyDescent="0.15">
      <c r="B198" t="s">
        <v>148</v>
      </c>
    </row>
    <row r="200" spans="1:2" x14ac:dyDescent="0.15">
      <c r="B200" s="72" t="s">
        <v>318</v>
      </c>
    </row>
    <row r="202" spans="1:2" x14ac:dyDescent="0.15">
      <c r="B202" t="s">
        <v>149</v>
      </c>
    </row>
    <row r="204" spans="1:2" x14ac:dyDescent="0.15">
      <c r="A204" t="s">
        <v>150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2020년 이후 납세성립(2020년귀속이후)</vt:lpstr>
      <vt:lpstr>2020년 1월지급분부터(2월10일납부 - 원천세 가산세</vt:lpstr>
      <vt:lpstr>신고납부2019년까지</vt:lpstr>
      <vt:lpstr>예정(중간예납)고지분</vt:lpstr>
      <vt:lpstr>원천세 가산세</vt:lpstr>
      <vt:lpstr>납부지연가산세</vt:lpstr>
      <vt:lpstr>원천징수납부 등 납부지연가산세</vt:lpstr>
      <vt:lpstr>가산세감면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주황규</dc:creator>
  <cp:lastModifiedBy>Microsoft</cp:lastModifiedBy>
  <dcterms:created xsi:type="dcterms:W3CDTF">2010-10-04T08:50:37Z</dcterms:created>
  <dcterms:modified xsi:type="dcterms:W3CDTF">2021-09-10T10:48:35Z</dcterms:modified>
</cp:coreProperties>
</file>