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C:\Users\Master\Downloads\00 - 임금명세서\"/>
    </mc:Choice>
  </mc:AlternateContent>
  <xr:revisionPtr revIDLastSave="0" documentId="13_ncr:1_{BEE53060-C622-4A3E-93E2-18ADEEF2863C}" xr6:coauthVersionLast="47" xr6:coauthVersionMax="47" xr10:uidLastSave="{00000000-0000-0000-0000-000000000000}"/>
  <bookViews>
    <workbookView xWindow="-60" yWindow="-60" windowWidth="28920" windowHeight="16320" firstSheet="4" activeTab="5" xr2:uid="{DEB28424-E7F4-4479-84F0-247805E8DC64}"/>
  </bookViews>
  <sheets>
    <sheet name="주민번호체크" sheetId="31" r:id="rId1"/>
    <sheet name="휴게시간" sheetId="10" r:id="rId2"/>
    <sheet name="연차미사용수당" sheetId="5" r:id="rId3"/>
    <sheet name="통상임금" sheetId="2" r:id="rId4"/>
    <sheet name="근로시간=근무시간-휴게시간" sheetId="35" r:id="rId5"/>
    <sheet name="주휴수당" sheetId="17" r:id="rId6"/>
    <sheet name="주휴일 일수" sheetId="45" r:id="rId7"/>
    <sheet name="최저임금" sheetId="6" r:id="rId8"/>
    <sheet name="Sheet1" sheetId="51" r:id="rId9"/>
    <sheet name="임금명세서(연차 원칙 연정산 (회계연도기준 1월지급))" sheetId="47" r:id="rId10"/>
    <sheet name="임금명세서(연차 평균 월 정산 인정여부불투명)" sheetId="41" r:id="rId11"/>
    <sheet name="임금명세서(5인미만) 식당 외국인" sheetId="42" r:id="rId12"/>
    <sheet name="일용근로자 유형" sheetId="40" r:id="rId13"/>
    <sheet name="임금명세서(일당직) (주 15시간미만 초단시간)" sheetId="32" r:id="rId14"/>
    <sheet name="임금명세서(일당직) (일급입력)" sheetId="28" r:id="rId15"/>
    <sheet name="일용직대장(요일)" sheetId="50" r:id="rId16"/>
    <sheet name="임금명세서(일용직)" sheetId="49" r:id="rId17"/>
    <sheet name="임금명세서(시급) (시급입력)" sheetId="43" r:id="rId18"/>
    <sheet name="시급" sheetId="48" r:id="rId19"/>
    <sheet name="임금명세서(시급) (①총근로시간수+②시급입력)" sheetId="46" r:id="rId20"/>
    <sheet name="2021간이세액표" sheetId="24" r:id="rId21"/>
    <sheet name="&lt;-구분-&gt;" sheetId="13" r:id="rId22"/>
    <sheet name="표준근로계약서" sheetId="14" r:id="rId23"/>
    <sheet name="근로자명부" sheetId="22" r:id="rId24"/>
    <sheet name="직원별 임금대장(별지 제17호서식)" sheetId="21" r:id="rId25"/>
    <sheet name="표준근로계약서 (18세 미만)" sheetId="18" r:id="rId26"/>
    <sheet name="건설일용근로자" sheetId="19" r:id="rId27"/>
    <sheet name="단시간근로자" sheetId="20" r:id="rId28"/>
    <sheet name="근로시간" sheetId="7" r:id="rId29"/>
    <sheet name="연장 근로의 제한" sheetId="8" r:id="rId30"/>
    <sheet name="5인미만사업장" sheetId="11" r:id="rId31"/>
    <sheet name="연장·야간 및 휴일 근로" sheetId="4" r:id="rId32"/>
    <sheet name="취업규칙(10인이상)" sheetId="23" r:id="rId33"/>
  </sheets>
  <definedNames>
    <definedName name="_xlnm.Print_Area" localSheetId="26">건설일용근로자!$A$1:$AC$51</definedName>
    <definedName name="_xlnm.Print_Area" localSheetId="23">근로자명부!$A$1:$I$35</definedName>
    <definedName name="_xlnm.Print_Area" localSheetId="27">단시간근로자!$A$1:$AO$50</definedName>
    <definedName name="_xlnm.Print_Area" localSheetId="18">시급!$A$1:$J$47</definedName>
    <definedName name="_xlnm.Print_Area" localSheetId="11">'임금명세서(5인미만) 식당 외국인'!$A$1:$L$46</definedName>
    <definedName name="_xlnm.Print_Area" localSheetId="19">'임금명세서(시급) (①총근로시간수+②시급입력)'!$A$1:$J$47</definedName>
    <definedName name="_xlnm.Print_Area" localSheetId="17">'임금명세서(시급) (시급입력)'!$A$1:$J$47</definedName>
    <definedName name="_xlnm.Print_Area" localSheetId="9">'임금명세서(연차 원칙 연정산 (회계연도기준 1월지급))'!$A$1:$L$48</definedName>
    <definedName name="_xlnm.Print_Area" localSheetId="10">'임금명세서(연차 평균 월 정산 인정여부불투명)'!$A$1:$L$48</definedName>
    <definedName name="_xlnm.Print_Area" localSheetId="14">'임금명세서(일당직) (일급입력)'!$A$1:$J$47</definedName>
    <definedName name="_xlnm.Print_Area" localSheetId="13">'임금명세서(일당직) (주 15시간미만 초단시간)'!$A$1:$J$46</definedName>
    <definedName name="_xlnm.Print_Area" localSheetId="16">'임금명세서(일용직)'!$A$1:$J$47</definedName>
    <definedName name="_xlnm.Print_Area" localSheetId="24">'직원별 임금대장(별지 제17호서식)'!$A$1:$T$22</definedName>
    <definedName name="_xlnm.Print_Area" localSheetId="22">표준근로계약서!$A$1:$AC$49</definedName>
    <definedName name="_xlnm.Print_Titles" localSheetId="20">'2021간이세액표'!$3:$4</definedName>
    <definedName name="간이세액표2021">'2021간이세액표'!$A$5:$M$653</definedName>
    <definedName name="근로세율">'2021간이세액표'!$O$654:$T$659</definedName>
    <definedName name="연차">연차미사용수당!$V$44:$W$143</definedName>
    <definedName name="주40시간">'주휴일 일수'!$B$3:$H$459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1" i="32" l="1"/>
  <c r="U22" i="32" s="1"/>
  <c r="U23" i="32" s="1"/>
  <c r="T21" i="32"/>
  <c r="T22" i="32" s="1"/>
  <c r="T23" i="32" s="1"/>
  <c r="V18" i="42"/>
  <c r="V19" i="42" s="1"/>
  <c r="U18" i="42"/>
  <c r="U19" i="42" s="1"/>
  <c r="V18" i="41"/>
  <c r="V19" i="41" s="1"/>
  <c r="U18" i="41"/>
  <c r="U19" i="41" s="1"/>
  <c r="V19" i="47"/>
  <c r="U19" i="47"/>
  <c r="T24" i="32" l="1"/>
  <c r="U24" i="32"/>
  <c r="V22" i="32"/>
  <c r="U20" i="42"/>
  <c r="U21" i="42" s="1"/>
  <c r="W19" i="42"/>
  <c r="V20" i="42"/>
  <c r="V21" i="42" s="1"/>
  <c r="W19" i="41"/>
  <c r="U20" i="41"/>
  <c r="U21" i="41"/>
  <c r="V20" i="41"/>
  <c r="V21" i="41" s="1"/>
  <c r="H17" i="51"/>
  <c r="H16" i="51"/>
  <c r="C34" i="47"/>
  <c r="V24" i="32" l="1"/>
  <c r="V23" i="32"/>
  <c r="W21" i="42"/>
  <c r="W20" i="42"/>
  <c r="W20" i="41"/>
  <c r="W21" i="41"/>
  <c r="E12" i="51"/>
  <c r="C8" i="51"/>
  <c r="C12" i="51"/>
  <c r="C7" i="51"/>
  <c r="J46" i="47"/>
  <c r="M15" i="46"/>
  <c r="M14" i="46"/>
  <c r="M15" i="48"/>
  <c r="M14" i="48"/>
  <c r="M15" i="43"/>
  <c r="M14" i="43"/>
  <c r="N15" i="49"/>
  <c r="N14" i="49"/>
  <c r="N15" i="28"/>
  <c r="N14" i="28"/>
  <c r="M15" i="32"/>
  <c r="M14" i="32"/>
  <c r="O15" i="42"/>
  <c r="O14" i="42"/>
  <c r="S15" i="41"/>
  <c r="S14" i="41"/>
  <c r="S15" i="47"/>
  <c r="S14" i="47"/>
  <c r="O14" i="47" s="1"/>
  <c r="O13" i="47"/>
  <c r="I248" i="45" l="1"/>
  <c r="I236" i="45"/>
  <c r="I224" i="45"/>
  <c r="I212" i="45"/>
  <c r="I200" i="45"/>
  <c r="I188" i="45"/>
  <c r="I176" i="45"/>
  <c r="I164" i="45"/>
  <c r="I152" i="45"/>
  <c r="I140" i="45"/>
  <c r="I128" i="45"/>
  <c r="I116" i="45"/>
  <c r="I104" i="45"/>
  <c r="I92" i="45"/>
  <c r="I80" i="45"/>
  <c r="I68" i="45"/>
  <c r="I56" i="45"/>
  <c r="I44" i="45"/>
  <c r="I32" i="45"/>
  <c r="I20" i="45"/>
  <c r="I8" i="45"/>
  <c r="G44" i="45"/>
  <c r="G32" i="45"/>
  <c r="C36" i="47"/>
  <c r="C35" i="47"/>
  <c r="H35" i="47"/>
  <c r="I24" i="46"/>
  <c r="I24" i="48"/>
  <c r="I24" i="49"/>
  <c r="I24" i="28"/>
  <c r="E14" i="41" l="1"/>
  <c r="M38" i="41" s="1"/>
  <c r="M35" i="42"/>
  <c r="M36" i="42"/>
  <c r="C28" i="42"/>
  <c r="P20" i="41"/>
  <c r="R20" i="47"/>
  <c r="M21" i="42"/>
  <c r="M20" i="42"/>
  <c r="M22" i="42" s="1"/>
  <c r="M22" i="41"/>
  <c r="M21" i="41"/>
  <c r="M20" i="41"/>
  <c r="M20" i="47"/>
  <c r="N18" i="46"/>
  <c r="N19" i="46" s="1"/>
  <c r="N20" i="46" s="1"/>
  <c r="A31" i="46"/>
  <c r="L20" i="46"/>
  <c r="E13" i="46"/>
  <c r="L28" i="48"/>
  <c r="E13" i="48"/>
  <c r="C28" i="49"/>
  <c r="E14" i="49"/>
  <c r="O22" i="49"/>
  <c r="E13" i="49"/>
  <c r="O20" i="49"/>
  <c r="L20" i="49" s="1"/>
  <c r="O19" i="49"/>
  <c r="O18" i="49"/>
  <c r="F28" i="49"/>
  <c r="F29" i="49"/>
  <c r="L22" i="49"/>
  <c r="O19" i="28"/>
  <c r="J28" i="49"/>
  <c r="O17" i="49"/>
  <c r="G29" i="49"/>
  <c r="AF11" i="50"/>
  <c r="AE11" i="50"/>
  <c r="AD11" i="50"/>
  <c r="AC11" i="50"/>
  <c r="K29" i="49"/>
  <c r="K28" i="49"/>
  <c r="AE10" i="50"/>
  <c r="AC10" i="50"/>
  <c r="W10" i="50"/>
  <c r="Z31" i="50"/>
  <c r="Y31" i="50"/>
  <c r="X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Z30" i="50"/>
  <c r="Y30" i="50"/>
  <c r="X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U29" i="50"/>
  <c r="AA28" i="50"/>
  <c r="V28" i="50"/>
  <c r="U28" i="50"/>
  <c r="W28" i="50" s="1"/>
  <c r="AA29" i="50" s="1"/>
  <c r="U27" i="50"/>
  <c r="AA26" i="50"/>
  <c r="W26" i="50"/>
  <c r="AA27" i="50" s="1"/>
  <c r="V26" i="50"/>
  <c r="U26" i="50"/>
  <c r="U25" i="50"/>
  <c r="AA24" i="50"/>
  <c r="V24" i="50"/>
  <c r="U24" i="50"/>
  <c r="W24" i="50" s="1"/>
  <c r="AA25" i="50" s="1"/>
  <c r="U23" i="50"/>
  <c r="AA22" i="50"/>
  <c r="W22" i="50"/>
  <c r="AA23" i="50" s="1"/>
  <c r="V22" i="50"/>
  <c r="U22" i="50"/>
  <c r="U21" i="50"/>
  <c r="AA20" i="50"/>
  <c r="V20" i="50"/>
  <c r="U20" i="50"/>
  <c r="W20" i="50" s="1"/>
  <c r="AA21" i="50" s="1"/>
  <c r="U19" i="50"/>
  <c r="AA18" i="50"/>
  <c r="W18" i="50"/>
  <c r="AA19" i="50" s="1"/>
  <c r="V18" i="50"/>
  <c r="U18" i="50"/>
  <c r="U17" i="50"/>
  <c r="AA16" i="50"/>
  <c r="V16" i="50"/>
  <c r="U16" i="50"/>
  <c r="W16" i="50" s="1"/>
  <c r="AA17" i="50" s="1"/>
  <c r="U15" i="50"/>
  <c r="AA14" i="50"/>
  <c r="W14" i="50"/>
  <c r="AA15" i="50" s="1"/>
  <c r="V14" i="50"/>
  <c r="U14" i="50"/>
  <c r="U13" i="50"/>
  <c r="AA12" i="50"/>
  <c r="V12" i="50"/>
  <c r="U12" i="50"/>
  <c r="W12" i="50" s="1"/>
  <c r="AA13" i="50" s="1"/>
  <c r="U11" i="50"/>
  <c r="U31" i="50" s="1"/>
  <c r="AA10" i="50"/>
  <c r="AA30" i="50" s="1"/>
  <c r="W30" i="50"/>
  <c r="U10" i="50"/>
  <c r="Q9" i="50"/>
  <c r="M9" i="50"/>
  <c r="L9" i="50"/>
  <c r="K9" i="50"/>
  <c r="J9" i="50"/>
  <c r="I9" i="50"/>
  <c r="H9" i="50"/>
  <c r="G9" i="50"/>
  <c r="F9" i="50"/>
  <c r="E9" i="50"/>
  <c r="S8" i="50"/>
  <c r="S9" i="50" s="1"/>
  <c r="R8" i="50"/>
  <c r="R9" i="50" s="1"/>
  <c r="Q8" i="50"/>
  <c r="P8" i="50"/>
  <c r="P9" i="50" s="1"/>
  <c r="O8" i="50"/>
  <c r="O9" i="50" s="1"/>
  <c r="N8" i="50"/>
  <c r="N9" i="50" s="1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C29" i="49" l="1"/>
  <c r="U30" i="50"/>
  <c r="AA11" i="50"/>
  <c r="AA31" i="50" s="1"/>
  <c r="C39" i="49" l="1"/>
  <c r="H38" i="49"/>
  <c r="C38" i="49"/>
  <c r="P37" i="49"/>
  <c r="H37" i="49"/>
  <c r="C37" i="49"/>
  <c r="H36" i="49"/>
  <c r="C36" i="49"/>
  <c r="H35" i="49"/>
  <c r="L34" i="49"/>
  <c r="O30" i="49"/>
  <c r="F37" i="49"/>
  <c r="I25" i="49"/>
  <c r="I40" i="49" s="1"/>
  <c r="P23" i="49"/>
  <c r="Q23" i="49" s="1"/>
  <c r="Q19" i="49"/>
  <c r="Q20" i="49" s="1"/>
  <c r="M16" i="49"/>
  <c r="M13" i="49"/>
  <c r="M8" i="49"/>
  <c r="N1" i="49"/>
  <c r="M7" i="49" s="1"/>
  <c r="M1" i="49"/>
  <c r="I29" i="47"/>
  <c r="L29" i="47" s="1"/>
  <c r="K26" i="32"/>
  <c r="M26" i="42"/>
  <c r="L29" i="42"/>
  <c r="L29" i="41"/>
  <c r="M26" i="41"/>
  <c r="S47" i="47"/>
  <c r="R47" i="47"/>
  <c r="S46" i="47"/>
  <c r="S48" i="47" s="1"/>
  <c r="R46" i="47"/>
  <c r="R48" i="47" s="1"/>
  <c r="N29" i="42"/>
  <c r="M31" i="42"/>
  <c r="M31" i="41"/>
  <c r="L41" i="6"/>
  <c r="K41" i="6"/>
  <c r="J41" i="6"/>
  <c r="I41" i="6"/>
  <c r="H41" i="6"/>
  <c r="G41" i="6"/>
  <c r="F41" i="6"/>
  <c r="L40" i="6"/>
  <c r="K40" i="6"/>
  <c r="J40" i="6"/>
  <c r="I40" i="6"/>
  <c r="H40" i="6"/>
  <c r="G40" i="6"/>
  <c r="F40" i="6"/>
  <c r="F31" i="6"/>
  <c r="F37" i="6" s="1"/>
  <c r="P45" i="6" s="1"/>
  <c r="G31" i="6"/>
  <c r="H31" i="6"/>
  <c r="H37" i="6" s="1"/>
  <c r="P47" i="6" s="1"/>
  <c r="I31" i="6"/>
  <c r="I38" i="6" s="1"/>
  <c r="J31" i="6"/>
  <c r="J38" i="6" s="1"/>
  <c r="J47" i="6" s="1"/>
  <c r="J44" i="6" s="1"/>
  <c r="K31" i="6"/>
  <c r="K38" i="6" s="1"/>
  <c r="L31" i="6"/>
  <c r="L37" i="6" s="1"/>
  <c r="L46" i="6" s="1"/>
  <c r="F32" i="6"/>
  <c r="G32" i="6"/>
  <c r="H32" i="6"/>
  <c r="I32" i="6"/>
  <c r="J32" i="6"/>
  <c r="K32" i="6"/>
  <c r="L32" i="6"/>
  <c r="E32" i="6"/>
  <c r="E31" i="6"/>
  <c r="E38" i="6" s="1"/>
  <c r="Q44" i="6" s="1"/>
  <c r="D73" i="6"/>
  <c r="E72" i="6"/>
  <c r="E71" i="6"/>
  <c r="E70" i="6"/>
  <c r="E62" i="6"/>
  <c r="E61" i="6"/>
  <c r="E60" i="6"/>
  <c r="D63" i="6"/>
  <c r="I29" i="41"/>
  <c r="I29" i="42"/>
  <c r="N29" i="41"/>
  <c r="N32" i="41"/>
  <c r="N33" i="41" s="1"/>
  <c r="N34" i="41" s="1"/>
  <c r="L108" i="17"/>
  <c r="L112" i="17"/>
  <c r="Q112" i="17"/>
  <c r="G113" i="17"/>
  <c r="R112" i="17"/>
  <c r="S112" i="17"/>
  <c r="Q108" i="17"/>
  <c r="D109" i="17"/>
  <c r="R108" i="17"/>
  <c r="S108" i="17"/>
  <c r="Q104" i="17"/>
  <c r="F105" i="17"/>
  <c r="R104" i="17"/>
  <c r="S104" i="17"/>
  <c r="R98" i="17"/>
  <c r="Q98" i="17"/>
  <c r="S98" i="17" s="1"/>
  <c r="Q94" i="17"/>
  <c r="S94" i="17" s="1"/>
  <c r="R94" i="17"/>
  <c r="S90" i="17"/>
  <c r="Q90" i="17"/>
  <c r="R90" i="17"/>
  <c r="G99" i="17"/>
  <c r="G95" i="17"/>
  <c r="F91" i="17"/>
  <c r="F75" i="17"/>
  <c r="P64" i="17"/>
  <c r="L65" i="17"/>
  <c r="L49" i="17"/>
  <c r="L57" i="17"/>
  <c r="F62" i="17"/>
  <c r="F46" i="17"/>
  <c r="F54" i="17"/>
  <c r="R53" i="17"/>
  <c r="L56" i="17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D104" i="45"/>
  <c r="D105" i="45"/>
  <c r="D106" i="45"/>
  <c r="D107" i="45"/>
  <c r="D108" i="45"/>
  <c r="D109" i="45"/>
  <c r="D110" i="45"/>
  <c r="D111" i="45"/>
  <c r="D112" i="45"/>
  <c r="D113" i="45"/>
  <c r="D114" i="45"/>
  <c r="D115" i="45"/>
  <c r="D116" i="45"/>
  <c r="D117" i="45"/>
  <c r="D118" i="45"/>
  <c r="D119" i="45"/>
  <c r="D120" i="45"/>
  <c r="D121" i="45"/>
  <c r="D122" i="45"/>
  <c r="D123" i="45"/>
  <c r="D124" i="45"/>
  <c r="D125" i="45"/>
  <c r="D126" i="45"/>
  <c r="D127" i="45"/>
  <c r="D128" i="45"/>
  <c r="D129" i="45"/>
  <c r="D130" i="45"/>
  <c r="D131" i="45"/>
  <c r="D132" i="45"/>
  <c r="D133" i="45"/>
  <c r="D134" i="45"/>
  <c r="D135" i="45"/>
  <c r="D136" i="45"/>
  <c r="D137" i="45"/>
  <c r="D138" i="45"/>
  <c r="D139" i="45"/>
  <c r="D140" i="45"/>
  <c r="D141" i="45"/>
  <c r="D142" i="45"/>
  <c r="D143" i="45"/>
  <c r="D144" i="45"/>
  <c r="D145" i="45"/>
  <c r="D146" i="45"/>
  <c r="D147" i="45"/>
  <c r="D148" i="45"/>
  <c r="D149" i="45"/>
  <c r="D150" i="45"/>
  <c r="D151" i="45"/>
  <c r="D152" i="45"/>
  <c r="D153" i="45"/>
  <c r="D154" i="45"/>
  <c r="D155" i="45"/>
  <c r="D156" i="45"/>
  <c r="D157" i="45"/>
  <c r="D158" i="45"/>
  <c r="D159" i="45"/>
  <c r="D160" i="45"/>
  <c r="D161" i="45"/>
  <c r="D162" i="45"/>
  <c r="D163" i="45"/>
  <c r="D164" i="45"/>
  <c r="D165" i="45"/>
  <c r="D166" i="45"/>
  <c r="D167" i="45"/>
  <c r="D168" i="45"/>
  <c r="D169" i="45"/>
  <c r="D170" i="45"/>
  <c r="D171" i="45"/>
  <c r="D172" i="45"/>
  <c r="D173" i="45"/>
  <c r="D174" i="45"/>
  <c r="D175" i="45"/>
  <c r="D176" i="45"/>
  <c r="D177" i="45"/>
  <c r="D178" i="45"/>
  <c r="D179" i="45"/>
  <c r="D180" i="45"/>
  <c r="D181" i="45"/>
  <c r="D182" i="45"/>
  <c r="D183" i="45"/>
  <c r="D184" i="45"/>
  <c r="D185" i="45"/>
  <c r="D186" i="45"/>
  <c r="D187" i="45"/>
  <c r="D188" i="45"/>
  <c r="D189" i="45"/>
  <c r="D190" i="45"/>
  <c r="D191" i="45"/>
  <c r="D192" i="45"/>
  <c r="D193" i="45"/>
  <c r="D194" i="45"/>
  <c r="D195" i="45"/>
  <c r="D196" i="45"/>
  <c r="D197" i="45"/>
  <c r="D198" i="45"/>
  <c r="D199" i="45"/>
  <c r="D200" i="45"/>
  <c r="D201" i="45"/>
  <c r="D202" i="45"/>
  <c r="D203" i="45"/>
  <c r="D204" i="45"/>
  <c r="D205" i="45"/>
  <c r="D206" i="45"/>
  <c r="D207" i="45"/>
  <c r="D208" i="45"/>
  <c r="D209" i="45"/>
  <c r="D210" i="45"/>
  <c r="D211" i="45"/>
  <c r="D212" i="45"/>
  <c r="D213" i="45"/>
  <c r="D214" i="45"/>
  <c r="D215" i="45"/>
  <c r="D216" i="45"/>
  <c r="D217" i="45"/>
  <c r="D218" i="45"/>
  <c r="D219" i="45"/>
  <c r="D220" i="45"/>
  <c r="D221" i="45"/>
  <c r="D222" i="45"/>
  <c r="D223" i="45"/>
  <c r="D224" i="45"/>
  <c r="D225" i="45"/>
  <c r="D226" i="45"/>
  <c r="D227" i="45"/>
  <c r="D228" i="45"/>
  <c r="D229" i="45"/>
  <c r="D230" i="45"/>
  <c r="D231" i="45"/>
  <c r="D232" i="45"/>
  <c r="D233" i="45"/>
  <c r="D234" i="45"/>
  <c r="D235" i="45"/>
  <c r="D236" i="45"/>
  <c r="D237" i="45"/>
  <c r="D238" i="45"/>
  <c r="D239" i="45"/>
  <c r="D240" i="45"/>
  <c r="D241" i="45"/>
  <c r="D242" i="45"/>
  <c r="D243" i="45"/>
  <c r="D244" i="45"/>
  <c r="D245" i="45"/>
  <c r="D246" i="45"/>
  <c r="D247" i="45"/>
  <c r="D248" i="45"/>
  <c r="D249" i="45"/>
  <c r="D250" i="45"/>
  <c r="D251" i="45"/>
  <c r="D252" i="45"/>
  <c r="D253" i="45"/>
  <c r="D254" i="45"/>
  <c r="D255" i="45"/>
  <c r="D256" i="45"/>
  <c r="D257" i="45"/>
  <c r="D258" i="45"/>
  <c r="D259" i="45"/>
  <c r="D260" i="45"/>
  <c r="D261" i="45"/>
  <c r="D262" i="45"/>
  <c r="D263" i="45"/>
  <c r="D264" i="45"/>
  <c r="D265" i="45"/>
  <c r="D266" i="45"/>
  <c r="D267" i="45"/>
  <c r="D268" i="45"/>
  <c r="D269" i="45"/>
  <c r="D270" i="45"/>
  <c r="D271" i="45"/>
  <c r="D272" i="45"/>
  <c r="D273" i="45"/>
  <c r="D274" i="45"/>
  <c r="D275" i="45"/>
  <c r="D276" i="45"/>
  <c r="D277" i="45"/>
  <c r="D278" i="45"/>
  <c r="D279" i="45"/>
  <c r="D280" i="45"/>
  <c r="D281" i="45"/>
  <c r="D282" i="45"/>
  <c r="D283" i="45"/>
  <c r="D284" i="45"/>
  <c r="D285" i="45"/>
  <c r="D286" i="45"/>
  <c r="D287" i="45"/>
  <c r="D288" i="45"/>
  <c r="D289" i="45"/>
  <c r="D290" i="45"/>
  <c r="D291" i="45"/>
  <c r="D292" i="45"/>
  <c r="D293" i="45"/>
  <c r="D294" i="45"/>
  <c r="D295" i="45"/>
  <c r="D296" i="45"/>
  <c r="D297" i="45"/>
  <c r="D298" i="45"/>
  <c r="D299" i="45"/>
  <c r="D300" i="45"/>
  <c r="D301" i="45"/>
  <c r="D302" i="45"/>
  <c r="D303" i="45"/>
  <c r="D304" i="45"/>
  <c r="D305" i="45"/>
  <c r="D306" i="45"/>
  <c r="D307" i="45"/>
  <c r="D308" i="45"/>
  <c r="D309" i="45"/>
  <c r="D310" i="45"/>
  <c r="D311" i="45"/>
  <c r="D312" i="45"/>
  <c r="D313" i="45"/>
  <c r="D314" i="45"/>
  <c r="D315" i="45"/>
  <c r="D316" i="45"/>
  <c r="D317" i="45"/>
  <c r="D318" i="45"/>
  <c r="D319" i="45"/>
  <c r="D320" i="45"/>
  <c r="D321" i="45"/>
  <c r="D322" i="45"/>
  <c r="D323" i="45"/>
  <c r="D324" i="45"/>
  <c r="D325" i="45"/>
  <c r="D326" i="45"/>
  <c r="D327" i="45"/>
  <c r="D328" i="45"/>
  <c r="D329" i="45"/>
  <c r="D330" i="45"/>
  <c r="D331" i="45"/>
  <c r="D332" i="45"/>
  <c r="D333" i="45"/>
  <c r="D334" i="45"/>
  <c r="D335" i="45"/>
  <c r="D336" i="45"/>
  <c r="D337" i="45"/>
  <c r="D338" i="45"/>
  <c r="D339" i="45"/>
  <c r="D340" i="45"/>
  <c r="D341" i="45"/>
  <c r="D342" i="45"/>
  <c r="D343" i="45"/>
  <c r="D344" i="45"/>
  <c r="D345" i="45"/>
  <c r="D346" i="45"/>
  <c r="D347" i="45"/>
  <c r="D348" i="45"/>
  <c r="D349" i="45"/>
  <c r="D350" i="45"/>
  <c r="D351" i="45"/>
  <c r="D352" i="45"/>
  <c r="D353" i="45"/>
  <c r="D354" i="45"/>
  <c r="D355" i="45"/>
  <c r="D356" i="45"/>
  <c r="D357" i="45"/>
  <c r="D358" i="45"/>
  <c r="D359" i="45"/>
  <c r="D360" i="45"/>
  <c r="D361" i="45"/>
  <c r="D362" i="45"/>
  <c r="D363" i="45"/>
  <c r="D364" i="45"/>
  <c r="D365" i="45"/>
  <c r="D366" i="45"/>
  <c r="D367" i="45"/>
  <c r="D368" i="45"/>
  <c r="D369" i="45"/>
  <c r="D370" i="45"/>
  <c r="D371" i="45"/>
  <c r="D372" i="45"/>
  <c r="D373" i="45"/>
  <c r="D374" i="45"/>
  <c r="D375" i="45"/>
  <c r="D376" i="45"/>
  <c r="D377" i="45"/>
  <c r="D378" i="45"/>
  <c r="D379" i="45"/>
  <c r="D380" i="45"/>
  <c r="D381" i="45"/>
  <c r="D382" i="45"/>
  <c r="D383" i="45"/>
  <c r="D384" i="45"/>
  <c r="D385" i="45"/>
  <c r="D386" i="45"/>
  <c r="D387" i="45"/>
  <c r="D388" i="45"/>
  <c r="D389" i="45"/>
  <c r="D390" i="45"/>
  <c r="D391" i="45"/>
  <c r="D392" i="45"/>
  <c r="D393" i="45"/>
  <c r="D394" i="45"/>
  <c r="D395" i="45"/>
  <c r="D396" i="45"/>
  <c r="D397" i="45"/>
  <c r="D398" i="45"/>
  <c r="D399" i="45"/>
  <c r="D400" i="45"/>
  <c r="D401" i="45"/>
  <c r="D402" i="45"/>
  <c r="D403" i="45"/>
  <c r="D404" i="45"/>
  <c r="D405" i="45"/>
  <c r="D406" i="45"/>
  <c r="D407" i="45"/>
  <c r="D408" i="45"/>
  <c r="D409" i="45"/>
  <c r="D410" i="45"/>
  <c r="D411" i="45"/>
  <c r="D412" i="45"/>
  <c r="D413" i="45"/>
  <c r="D414" i="45"/>
  <c r="D415" i="45"/>
  <c r="D416" i="45"/>
  <c r="D417" i="45"/>
  <c r="D418" i="45"/>
  <c r="D419" i="45"/>
  <c r="D420" i="45"/>
  <c r="D421" i="45"/>
  <c r="D422" i="45"/>
  <c r="D423" i="45"/>
  <c r="D424" i="45"/>
  <c r="D425" i="45"/>
  <c r="D426" i="45"/>
  <c r="D427" i="45"/>
  <c r="D428" i="45"/>
  <c r="D429" i="45"/>
  <c r="D430" i="45"/>
  <c r="D431" i="45"/>
  <c r="D432" i="45"/>
  <c r="D433" i="45"/>
  <c r="D434" i="45"/>
  <c r="D435" i="45"/>
  <c r="D436" i="45"/>
  <c r="D437" i="45"/>
  <c r="D438" i="45"/>
  <c r="D439" i="45"/>
  <c r="D440" i="45"/>
  <c r="D441" i="45"/>
  <c r="D442" i="45"/>
  <c r="D443" i="45"/>
  <c r="D444" i="45"/>
  <c r="D445" i="45"/>
  <c r="D446" i="45"/>
  <c r="D447" i="45"/>
  <c r="D448" i="45"/>
  <c r="D449" i="45"/>
  <c r="D450" i="45"/>
  <c r="D451" i="45"/>
  <c r="D452" i="45"/>
  <c r="D453" i="45"/>
  <c r="D454" i="45"/>
  <c r="D455" i="45"/>
  <c r="D456" i="45"/>
  <c r="D457" i="45"/>
  <c r="D458" i="45"/>
  <c r="D459" i="45"/>
  <c r="D5" i="45"/>
  <c r="D4" i="45"/>
  <c r="H27" i="45"/>
  <c r="N29" i="47"/>
  <c r="Q26" i="35"/>
  <c r="P26" i="35"/>
  <c r="O26" i="35"/>
  <c r="N26" i="35"/>
  <c r="Q25" i="35"/>
  <c r="P25" i="35"/>
  <c r="O25" i="35"/>
  <c r="N25" i="35"/>
  <c r="Q24" i="35"/>
  <c r="P24" i="35"/>
  <c r="O24" i="35"/>
  <c r="N24" i="35"/>
  <c r="Q23" i="35"/>
  <c r="Q28" i="35" s="1"/>
  <c r="P23" i="35"/>
  <c r="P28" i="35" s="1"/>
  <c r="O23" i="35"/>
  <c r="O28" i="35" s="1"/>
  <c r="N23" i="35"/>
  <c r="O32" i="35"/>
  <c r="M32" i="35"/>
  <c r="R30" i="35"/>
  <c r="M29" i="35"/>
  <c r="M28" i="35"/>
  <c r="T16" i="32"/>
  <c r="M21" i="47" l="1"/>
  <c r="M22" i="47" s="1"/>
  <c r="I37" i="49"/>
  <c r="N5" i="49"/>
  <c r="P34" i="49"/>
  <c r="P35" i="49" s="1"/>
  <c r="S35" i="49" s="1"/>
  <c r="P36" i="49"/>
  <c r="P38" i="49" s="1"/>
  <c r="F38" i="49"/>
  <c r="I38" i="49" s="1"/>
  <c r="F36" i="49"/>
  <c r="I36" i="49" s="1"/>
  <c r="E22" i="49" s="1"/>
  <c r="F35" i="49"/>
  <c r="F46" i="6"/>
  <c r="F43" i="6" s="1"/>
  <c r="K47" i="6"/>
  <c r="K44" i="6" s="1"/>
  <c r="H38" i="6"/>
  <c r="Q47" i="6" s="1"/>
  <c r="H46" i="6"/>
  <c r="H43" i="6" s="1"/>
  <c r="E47" i="6"/>
  <c r="E44" i="6" s="1"/>
  <c r="Q32" i="35"/>
  <c r="P32" i="35"/>
  <c r="M31" i="47"/>
  <c r="L43" i="6"/>
  <c r="J37" i="6"/>
  <c r="J46" i="6" s="1"/>
  <c r="J43" i="6" s="1"/>
  <c r="K37" i="6"/>
  <c r="K46" i="6" s="1"/>
  <c r="K43" i="6" s="1"/>
  <c r="L38" i="6"/>
  <c r="L47" i="6" s="1"/>
  <c r="L44" i="6" s="1"/>
  <c r="G38" i="6"/>
  <c r="G37" i="6"/>
  <c r="P46" i="6" s="1"/>
  <c r="F38" i="6"/>
  <c r="I37" i="6"/>
  <c r="E37" i="6"/>
  <c r="E73" i="6"/>
  <c r="E75" i="6" s="1"/>
  <c r="E63" i="6"/>
  <c r="E65" i="6" s="1"/>
  <c r="N32" i="47"/>
  <c r="N33" i="47" s="1"/>
  <c r="N34" i="47" s="1"/>
  <c r="P29" i="35"/>
  <c r="M30" i="35"/>
  <c r="Q29" i="35"/>
  <c r="Q30" i="35" s="1"/>
  <c r="O29" i="35"/>
  <c r="O30" i="35" s="1"/>
  <c r="N29" i="35"/>
  <c r="P30" i="35"/>
  <c r="N32" i="35"/>
  <c r="N28" i="35"/>
  <c r="Q36" i="49" l="1"/>
  <c r="N36" i="49" s="1"/>
  <c r="Q34" i="49"/>
  <c r="E23" i="49"/>
  <c r="N7" i="49"/>
  <c r="U20" i="49" s="1"/>
  <c r="E20" i="49" s="1"/>
  <c r="O21" i="49" s="1"/>
  <c r="N8" i="49"/>
  <c r="L35" i="49"/>
  <c r="L36" i="49" s="1"/>
  <c r="M36" i="49" s="1"/>
  <c r="P44" i="6"/>
  <c r="E46" i="6"/>
  <c r="E43" i="6" s="1"/>
  <c r="Q45" i="6"/>
  <c r="F47" i="6"/>
  <c r="F44" i="6" s="1"/>
  <c r="Q46" i="6"/>
  <c r="G47" i="6"/>
  <c r="G44" i="6" s="1"/>
  <c r="H47" i="6"/>
  <c r="H44" i="6" s="1"/>
  <c r="V18" i="47"/>
  <c r="V20" i="47" s="1"/>
  <c r="V21" i="47" s="1"/>
  <c r="G46" i="6"/>
  <c r="G43" i="6" s="1"/>
  <c r="N30" i="35"/>
  <c r="U30" i="35" s="1"/>
  <c r="S42" i="32"/>
  <c r="S43" i="32"/>
  <c r="S41" i="32"/>
  <c r="R42" i="32"/>
  <c r="R41" i="32"/>
  <c r="P30" i="42"/>
  <c r="O30" i="42"/>
  <c r="P42" i="32"/>
  <c r="Q42" i="32"/>
  <c r="Q41" i="32"/>
  <c r="Q43" i="32" s="1"/>
  <c r="P41" i="32"/>
  <c r="P18" i="47"/>
  <c r="N13" i="47"/>
  <c r="E13" i="42"/>
  <c r="S53" i="42"/>
  <c r="S48" i="42"/>
  <c r="E7" i="10"/>
  <c r="G6" i="10"/>
  <c r="P31" i="42"/>
  <c r="O31" i="42"/>
  <c r="P29" i="42"/>
  <c r="O29" i="42"/>
  <c r="P39" i="49" l="1"/>
  <c r="F31" i="49"/>
  <c r="C35" i="49" s="1"/>
  <c r="I35" i="49" s="1"/>
  <c r="E21" i="49" s="1"/>
  <c r="U18" i="47"/>
  <c r="U20" i="47" s="1"/>
  <c r="W20" i="47" s="1"/>
  <c r="R43" i="32"/>
  <c r="P43" i="32"/>
  <c r="F7" i="10"/>
  <c r="G7" i="10" s="1"/>
  <c r="L34" i="28"/>
  <c r="C43" i="48"/>
  <c r="C42" i="48"/>
  <c r="C41" i="48"/>
  <c r="C39" i="48"/>
  <c r="H38" i="48"/>
  <c r="O37" i="48"/>
  <c r="H37" i="48"/>
  <c r="C37" i="48"/>
  <c r="H36" i="48"/>
  <c r="C36" i="48"/>
  <c r="H35" i="48"/>
  <c r="F31" i="48"/>
  <c r="C35" i="48" s="1"/>
  <c r="N30" i="48"/>
  <c r="G29" i="48"/>
  <c r="K28" i="48"/>
  <c r="J28" i="48" s="1"/>
  <c r="C28" i="48"/>
  <c r="N17" i="48" s="1"/>
  <c r="P20" i="48"/>
  <c r="P19" i="48"/>
  <c r="N19" i="48"/>
  <c r="N20" i="48" s="1"/>
  <c r="N18" i="48"/>
  <c r="L16" i="48"/>
  <c r="L13" i="48"/>
  <c r="L8" i="48"/>
  <c r="M1" i="48"/>
  <c r="L1" i="48"/>
  <c r="J28" i="46"/>
  <c r="K28" i="46"/>
  <c r="M1" i="46"/>
  <c r="O36" i="46" s="1"/>
  <c r="L1" i="46"/>
  <c r="M1" i="43"/>
  <c r="M5" i="43" s="1"/>
  <c r="L1" i="43"/>
  <c r="N1" i="28"/>
  <c r="N5" i="28" s="1"/>
  <c r="N8" i="28" s="1"/>
  <c r="M1" i="28"/>
  <c r="L1" i="32"/>
  <c r="M1" i="32"/>
  <c r="M5" i="32" s="1"/>
  <c r="O1" i="42"/>
  <c r="N1" i="42"/>
  <c r="N9" i="42"/>
  <c r="O1" i="41"/>
  <c r="N1" i="41"/>
  <c r="O1" i="47"/>
  <c r="N7" i="47" s="1"/>
  <c r="N1" i="47"/>
  <c r="L8" i="46"/>
  <c r="L8" i="43"/>
  <c r="M8" i="28"/>
  <c r="L8" i="32"/>
  <c r="N8" i="42"/>
  <c r="N9" i="41"/>
  <c r="N8" i="41"/>
  <c r="N9" i="47"/>
  <c r="P18" i="42"/>
  <c r="P18" i="41"/>
  <c r="N8" i="47"/>
  <c r="Q38" i="47"/>
  <c r="O38" i="47"/>
  <c r="C38" i="47"/>
  <c r="H37" i="47"/>
  <c r="H36" i="47"/>
  <c r="H34" i="47"/>
  <c r="P32" i="47"/>
  <c r="N16" i="47"/>
  <c r="O15" i="47"/>
  <c r="O17" i="47" s="1"/>
  <c r="Z7" i="47"/>
  <c r="AA7" i="47" s="1"/>
  <c r="AB7" i="47" s="1"/>
  <c r="AC7" i="47" s="1"/>
  <c r="AD7" i="47" s="1"/>
  <c r="AE7" i="47" s="1"/>
  <c r="AF7" i="47" s="1"/>
  <c r="AG7" i="47" s="1"/>
  <c r="AG5" i="47"/>
  <c r="AE5" i="47"/>
  <c r="AC5" i="47"/>
  <c r="AA5" i="47"/>
  <c r="O37" i="46"/>
  <c r="O37" i="43"/>
  <c r="P37" i="28"/>
  <c r="Q41" i="42"/>
  <c r="P32" i="41"/>
  <c r="H5" i="45"/>
  <c r="H6" i="45"/>
  <c r="H7" i="45"/>
  <c r="H8" i="45"/>
  <c r="H9" i="45"/>
  <c r="H10" i="45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8" i="45"/>
  <c r="H29" i="45"/>
  <c r="H30" i="45"/>
  <c r="H31" i="45"/>
  <c r="H32" i="45"/>
  <c r="H33" i="45"/>
  <c r="H34" i="45"/>
  <c r="H35" i="45"/>
  <c r="H36" i="45"/>
  <c r="H37" i="45"/>
  <c r="H38" i="45"/>
  <c r="H39" i="45"/>
  <c r="H40" i="45"/>
  <c r="H41" i="45"/>
  <c r="H42" i="45"/>
  <c r="H43" i="45"/>
  <c r="H44" i="45"/>
  <c r="H45" i="45"/>
  <c r="H46" i="45"/>
  <c r="H47" i="45"/>
  <c r="H48" i="45"/>
  <c r="H49" i="45"/>
  <c r="H50" i="45"/>
  <c r="H51" i="45"/>
  <c r="H52" i="45"/>
  <c r="H53" i="45"/>
  <c r="H54" i="45"/>
  <c r="H55" i="45"/>
  <c r="H56" i="45"/>
  <c r="H57" i="45"/>
  <c r="H58" i="45"/>
  <c r="H59" i="45"/>
  <c r="H60" i="45"/>
  <c r="H61" i="45"/>
  <c r="H62" i="45"/>
  <c r="H63" i="45"/>
  <c r="H64" i="45"/>
  <c r="H65" i="45"/>
  <c r="H66" i="45"/>
  <c r="H67" i="45"/>
  <c r="H68" i="45"/>
  <c r="H69" i="45"/>
  <c r="H70" i="45"/>
  <c r="H71" i="45"/>
  <c r="H72" i="45"/>
  <c r="H73" i="45"/>
  <c r="H74" i="45"/>
  <c r="H75" i="45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6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2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4" i="45"/>
  <c r="H195" i="45"/>
  <c r="H196" i="45"/>
  <c r="H197" i="45"/>
  <c r="H198" i="45"/>
  <c r="H199" i="45"/>
  <c r="H200" i="45"/>
  <c r="H201" i="45"/>
  <c r="H202" i="45"/>
  <c r="H203" i="45"/>
  <c r="H204" i="45"/>
  <c r="H205" i="45"/>
  <c r="H206" i="45"/>
  <c r="H207" i="45"/>
  <c r="H208" i="45"/>
  <c r="H209" i="45"/>
  <c r="H210" i="45"/>
  <c r="H211" i="45"/>
  <c r="H212" i="45"/>
  <c r="H213" i="45"/>
  <c r="H214" i="45"/>
  <c r="H215" i="45"/>
  <c r="H216" i="45"/>
  <c r="H217" i="45"/>
  <c r="H218" i="45"/>
  <c r="H219" i="45"/>
  <c r="H220" i="45"/>
  <c r="H221" i="45"/>
  <c r="H222" i="45"/>
  <c r="H223" i="45"/>
  <c r="H224" i="45"/>
  <c r="H225" i="45"/>
  <c r="H226" i="45"/>
  <c r="H227" i="45"/>
  <c r="H228" i="45"/>
  <c r="H229" i="45"/>
  <c r="H230" i="45"/>
  <c r="H231" i="45"/>
  <c r="H232" i="45"/>
  <c r="H233" i="45"/>
  <c r="H234" i="45"/>
  <c r="H235" i="45"/>
  <c r="H236" i="45"/>
  <c r="H237" i="45"/>
  <c r="H238" i="45"/>
  <c r="H239" i="45"/>
  <c r="H240" i="45"/>
  <c r="H241" i="45"/>
  <c r="H242" i="45"/>
  <c r="H243" i="45"/>
  <c r="H244" i="45"/>
  <c r="H245" i="45"/>
  <c r="H246" i="45"/>
  <c r="H247" i="45"/>
  <c r="H248" i="45"/>
  <c r="H249" i="45"/>
  <c r="H250" i="45"/>
  <c r="H251" i="45"/>
  <c r="H252" i="45"/>
  <c r="H253" i="45"/>
  <c r="H254" i="45"/>
  <c r="H255" i="45"/>
  <c r="H256" i="45"/>
  <c r="H257" i="45"/>
  <c r="H258" i="45"/>
  <c r="H259" i="45"/>
  <c r="H260" i="45"/>
  <c r="H261" i="45"/>
  <c r="H262" i="45"/>
  <c r="H263" i="45"/>
  <c r="H264" i="45"/>
  <c r="H265" i="45"/>
  <c r="H266" i="45"/>
  <c r="H267" i="45"/>
  <c r="H268" i="45"/>
  <c r="H269" i="45"/>
  <c r="H270" i="45"/>
  <c r="H271" i="45"/>
  <c r="H272" i="45"/>
  <c r="H273" i="45"/>
  <c r="H274" i="45"/>
  <c r="H275" i="45"/>
  <c r="H276" i="45"/>
  <c r="H277" i="45"/>
  <c r="H278" i="45"/>
  <c r="H279" i="45"/>
  <c r="H280" i="45"/>
  <c r="H281" i="45"/>
  <c r="H282" i="45"/>
  <c r="H283" i="45"/>
  <c r="H284" i="45"/>
  <c r="H285" i="45"/>
  <c r="H286" i="45"/>
  <c r="H287" i="45"/>
  <c r="H288" i="45"/>
  <c r="H289" i="45"/>
  <c r="H290" i="45"/>
  <c r="H291" i="45"/>
  <c r="H292" i="45"/>
  <c r="H293" i="45"/>
  <c r="H294" i="45"/>
  <c r="H295" i="45"/>
  <c r="H296" i="45"/>
  <c r="H297" i="45"/>
  <c r="H298" i="45"/>
  <c r="H299" i="45"/>
  <c r="H300" i="45"/>
  <c r="H301" i="45"/>
  <c r="H302" i="45"/>
  <c r="H303" i="45"/>
  <c r="H304" i="45"/>
  <c r="H305" i="45"/>
  <c r="H306" i="45"/>
  <c r="H307" i="45"/>
  <c r="H308" i="45"/>
  <c r="H309" i="45"/>
  <c r="H310" i="45"/>
  <c r="H311" i="45"/>
  <c r="H312" i="45"/>
  <c r="H313" i="45"/>
  <c r="H314" i="45"/>
  <c r="H315" i="45"/>
  <c r="H316" i="45"/>
  <c r="H317" i="45"/>
  <c r="H318" i="45"/>
  <c r="H319" i="45"/>
  <c r="H320" i="45"/>
  <c r="H321" i="45"/>
  <c r="H322" i="45"/>
  <c r="H323" i="45"/>
  <c r="H324" i="45"/>
  <c r="H325" i="45"/>
  <c r="H326" i="45"/>
  <c r="H327" i="45"/>
  <c r="H328" i="45"/>
  <c r="H329" i="45"/>
  <c r="H330" i="45"/>
  <c r="H331" i="45"/>
  <c r="H332" i="45"/>
  <c r="H333" i="45"/>
  <c r="H334" i="45"/>
  <c r="H335" i="45"/>
  <c r="H336" i="45"/>
  <c r="H337" i="45"/>
  <c r="H338" i="45"/>
  <c r="H339" i="45"/>
  <c r="H340" i="45"/>
  <c r="H341" i="45"/>
  <c r="H342" i="45"/>
  <c r="H343" i="45"/>
  <c r="H344" i="45"/>
  <c r="H345" i="45"/>
  <c r="H346" i="45"/>
  <c r="H347" i="45"/>
  <c r="H348" i="45"/>
  <c r="H349" i="45"/>
  <c r="H350" i="45"/>
  <c r="H351" i="45"/>
  <c r="H352" i="45"/>
  <c r="H353" i="45"/>
  <c r="H354" i="45"/>
  <c r="H355" i="45"/>
  <c r="H356" i="45"/>
  <c r="H357" i="45"/>
  <c r="H358" i="45"/>
  <c r="H359" i="45"/>
  <c r="H360" i="45"/>
  <c r="H361" i="45"/>
  <c r="H362" i="45"/>
  <c r="H363" i="45"/>
  <c r="H364" i="45"/>
  <c r="H365" i="45"/>
  <c r="H366" i="45"/>
  <c r="H367" i="45"/>
  <c r="H368" i="45"/>
  <c r="H369" i="45"/>
  <c r="H370" i="45"/>
  <c r="H371" i="45"/>
  <c r="H372" i="45"/>
  <c r="H373" i="45"/>
  <c r="H374" i="45"/>
  <c r="H375" i="45"/>
  <c r="H376" i="45"/>
  <c r="H377" i="45"/>
  <c r="H378" i="45"/>
  <c r="H379" i="45"/>
  <c r="H380" i="45"/>
  <c r="H381" i="45"/>
  <c r="H382" i="45"/>
  <c r="H383" i="45"/>
  <c r="H384" i="45"/>
  <c r="H385" i="45"/>
  <c r="H386" i="45"/>
  <c r="H387" i="45"/>
  <c r="H388" i="45"/>
  <c r="H389" i="45"/>
  <c r="H390" i="45"/>
  <c r="H391" i="45"/>
  <c r="H392" i="45"/>
  <c r="H393" i="45"/>
  <c r="H394" i="45"/>
  <c r="H395" i="45"/>
  <c r="H396" i="45"/>
  <c r="H397" i="45"/>
  <c r="H398" i="45"/>
  <c r="H399" i="45"/>
  <c r="H400" i="45"/>
  <c r="H401" i="45"/>
  <c r="H402" i="45"/>
  <c r="H403" i="45"/>
  <c r="H404" i="45"/>
  <c r="H405" i="45"/>
  <c r="H406" i="45"/>
  <c r="H407" i="45"/>
  <c r="H408" i="45"/>
  <c r="H409" i="45"/>
  <c r="H410" i="45"/>
  <c r="H411" i="45"/>
  <c r="H412" i="45"/>
  <c r="H413" i="45"/>
  <c r="H414" i="45"/>
  <c r="H415" i="45"/>
  <c r="H416" i="45"/>
  <c r="H417" i="45"/>
  <c r="H418" i="45"/>
  <c r="H419" i="45"/>
  <c r="H420" i="45"/>
  <c r="H421" i="45"/>
  <c r="H422" i="45"/>
  <c r="H423" i="45"/>
  <c r="H424" i="45"/>
  <c r="H425" i="45"/>
  <c r="H426" i="45"/>
  <c r="H427" i="45"/>
  <c r="H428" i="45"/>
  <c r="H429" i="45"/>
  <c r="H430" i="45"/>
  <c r="H431" i="45"/>
  <c r="H432" i="45"/>
  <c r="H433" i="45"/>
  <c r="H434" i="45"/>
  <c r="H435" i="45"/>
  <c r="H436" i="45"/>
  <c r="H437" i="45"/>
  <c r="H438" i="45"/>
  <c r="H439" i="45"/>
  <c r="H440" i="45"/>
  <c r="H441" i="45"/>
  <c r="H442" i="45"/>
  <c r="H443" i="45"/>
  <c r="H444" i="45"/>
  <c r="H445" i="45"/>
  <c r="H446" i="45"/>
  <c r="H447" i="45"/>
  <c r="H448" i="45"/>
  <c r="H449" i="45"/>
  <c r="H450" i="45"/>
  <c r="H451" i="45"/>
  <c r="H452" i="45"/>
  <c r="H453" i="45"/>
  <c r="H454" i="45"/>
  <c r="H455" i="45"/>
  <c r="H456" i="45"/>
  <c r="H457" i="45"/>
  <c r="H458" i="45"/>
  <c r="H459" i="45"/>
  <c r="H4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C168" i="45"/>
  <c r="C169" i="45"/>
  <c r="C170" i="45"/>
  <c r="C171" i="45"/>
  <c r="C172" i="45"/>
  <c r="C173" i="45"/>
  <c r="C174" i="45"/>
  <c r="C175" i="45"/>
  <c r="C176" i="45"/>
  <c r="C177" i="45"/>
  <c r="C178" i="45"/>
  <c r="C179" i="45"/>
  <c r="C180" i="45"/>
  <c r="C181" i="45"/>
  <c r="C182" i="45"/>
  <c r="C183" i="45"/>
  <c r="C184" i="45"/>
  <c r="C185" i="45"/>
  <c r="C186" i="45"/>
  <c r="C187" i="45"/>
  <c r="C188" i="45"/>
  <c r="C189" i="45"/>
  <c r="C190" i="45"/>
  <c r="C191" i="45"/>
  <c r="C192" i="45"/>
  <c r="C193" i="45"/>
  <c r="C194" i="45"/>
  <c r="C195" i="45"/>
  <c r="C196" i="45"/>
  <c r="C197" i="45"/>
  <c r="C198" i="45"/>
  <c r="C199" i="45"/>
  <c r="C200" i="45"/>
  <c r="C201" i="45"/>
  <c r="C202" i="45"/>
  <c r="C203" i="45"/>
  <c r="C204" i="45"/>
  <c r="C205" i="45"/>
  <c r="C206" i="45"/>
  <c r="C207" i="45"/>
  <c r="C208" i="45"/>
  <c r="C209" i="45"/>
  <c r="C210" i="45"/>
  <c r="C211" i="45"/>
  <c r="C212" i="45"/>
  <c r="C213" i="45"/>
  <c r="C214" i="45"/>
  <c r="C215" i="45"/>
  <c r="C216" i="45"/>
  <c r="C217" i="45"/>
  <c r="C218" i="45"/>
  <c r="C219" i="45"/>
  <c r="C220" i="45"/>
  <c r="C221" i="45"/>
  <c r="C222" i="45"/>
  <c r="C223" i="45"/>
  <c r="C224" i="45"/>
  <c r="C225" i="45"/>
  <c r="C226" i="45"/>
  <c r="C227" i="45"/>
  <c r="C228" i="45"/>
  <c r="C229" i="45"/>
  <c r="C230" i="45"/>
  <c r="C231" i="45"/>
  <c r="C232" i="45"/>
  <c r="C233" i="45"/>
  <c r="C234" i="45"/>
  <c r="C235" i="45"/>
  <c r="C236" i="45"/>
  <c r="C237" i="45"/>
  <c r="C238" i="45"/>
  <c r="C239" i="45"/>
  <c r="C240" i="45"/>
  <c r="C241" i="45"/>
  <c r="C242" i="45"/>
  <c r="C243" i="45"/>
  <c r="C244" i="45"/>
  <c r="C245" i="45"/>
  <c r="C246" i="45"/>
  <c r="C247" i="45"/>
  <c r="C248" i="45"/>
  <c r="C249" i="45"/>
  <c r="C250" i="45"/>
  <c r="C251" i="45"/>
  <c r="C252" i="45"/>
  <c r="C253" i="45"/>
  <c r="C254" i="45"/>
  <c r="C255" i="45"/>
  <c r="C256" i="45"/>
  <c r="C257" i="45"/>
  <c r="C258" i="45"/>
  <c r="C259" i="45"/>
  <c r="C260" i="45"/>
  <c r="C261" i="45"/>
  <c r="C262" i="45"/>
  <c r="C263" i="45"/>
  <c r="C264" i="45"/>
  <c r="C265" i="45"/>
  <c r="C266" i="45"/>
  <c r="C267" i="45"/>
  <c r="C268" i="45"/>
  <c r="C269" i="45"/>
  <c r="C270" i="45"/>
  <c r="C271" i="45"/>
  <c r="C272" i="45"/>
  <c r="C273" i="45"/>
  <c r="C274" i="45"/>
  <c r="C275" i="45"/>
  <c r="C276" i="45"/>
  <c r="C277" i="45"/>
  <c r="C278" i="45"/>
  <c r="C279" i="45"/>
  <c r="C280" i="45"/>
  <c r="C281" i="45"/>
  <c r="C282" i="45"/>
  <c r="C283" i="45"/>
  <c r="C284" i="45"/>
  <c r="C285" i="45"/>
  <c r="C286" i="45"/>
  <c r="C287" i="45"/>
  <c r="C288" i="45"/>
  <c r="C289" i="45"/>
  <c r="C290" i="45"/>
  <c r="C291" i="45"/>
  <c r="C292" i="45"/>
  <c r="C293" i="45"/>
  <c r="C294" i="45"/>
  <c r="C295" i="45"/>
  <c r="C296" i="45"/>
  <c r="C297" i="45"/>
  <c r="C298" i="45"/>
  <c r="C299" i="45"/>
  <c r="C300" i="45"/>
  <c r="C301" i="45"/>
  <c r="C302" i="45"/>
  <c r="C303" i="45"/>
  <c r="C304" i="45"/>
  <c r="C305" i="45"/>
  <c r="C306" i="45"/>
  <c r="C307" i="45"/>
  <c r="C308" i="45"/>
  <c r="C309" i="45"/>
  <c r="C310" i="45"/>
  <c r="C311" i="45"/>
  <c r="C312" i="45"/>
  <c r="C313" i="45"/>
  <c r="C314" i="45"/>
  <c r="C315" i="45"/>
  <c r="C316" i="45"/>
  <c r="C317" i="45"/>
  <c r="C318" i="45"/>
  <c r="C319" i="45"/>
  <c r="C320" i="45"/>
  <c r="C321" i="45"/>
  <c r="C322" i="45"/>
  <c r="C323" i="45"/>
  <c r="C324" i="45"/>
  <c r="C325" i="45"/>
  <c r="C326" i="45"/>
  <c r="C327" i="45"/>
  <c r="C328" i="45"/>
  <c r="C329" i="45"/>
  <c r="C330" i="45"/>
  <c r="C331" i="45"/>
  <c r="C332" i="45"/>
  <c r="C333" i="45"/>
  <c r="C334" i="45"/>
  <c r="C335" i="45"/>
  <c r="C336" i="45"/>
  <c r="C337" i="45"/>
  <c r="C338" i="45"/>
  <c r="C339" i="45"/>
  <c r="C340" i="45"/>
  <c r="C341" i="45"/>
  <c r="C342" i="45"/>
  <c r="C343" i="45"/>
  <c r="C344" i="45"/>
  <c r="C345" i="45"/>
  <c r="C346" i="45"/>
  <c r="C347" i="45"/>
  <c r="C348" i="45"/>
  <c r="C349" i="45"/>
  <c r="C350" i="45"/>
  <c r="C351" i="45"/>
  <c r="C352" i="45"/>
  <c r="C353" i="45"/>
  <c r="C354" i="45"/>
  <c r="C355" i="45"/>
  <c r="C356" i="45"/>
  <c r="C357" i="45"/>
  <c r="C358" i="45"/>
  <c r="C359" i="45"/>
  <c r="C360" i="45"/>
  <c r="C361" i="45"/>
  <c r="C362" i="45"/>
  <c r="C363" i="45"/>
  <c r="C364" i="45"/>
  <c r="C365" i="45"/>
  <c r="C366" i="45"/>
  <c r="C367" i="45"/>
  <c r="C368" i="45"/>
  <c r="C369" i="45"/>
  <c r="C370" i="45"/>
  <c r="C371" i="45"/>
  <c r="C372" i="45"/>
  <c r="C373" i="45"/>
  <c r="C374" i="45"/>
  <c r="C375" i="45"/>
  <c r="C376" i="45"/>
  <c r="C377" i="45"/>
  <c r="C378" i="45"/>
  <c r="C379" i="45"/>
  <c r="C380" i="45"/>
  <c r="C381" i="45"/>
  <c r="C382" i="45"/>
  <c r="C383" i="45"/>
  <c r="C384" i="45"/>
  <c r="C385" i="45"/>
  <c r="C386" i="45"/>
  <c r="C387" i="45"/>
  <c r="C388" i="45"/>
  <c r="C389" i="45"/>
  <c r="C390" i="45"/>
  <c r="C391" i="45"/>
  <c r="C392" i="45"/>
  <c r="C393" i="45"/>
  <c r="C394" i="45"/>
  <c r="C395" i="45"/>
  <c r="C396" i="45"/>
  <c r="C397" i="45"/>
  <c r="C398" i="45"/>
  <c r="C399" i="45"/>
  <c r="C400" i="45"/>
  <c r="C401" i="45"/>
  <c r="C402" i="45"/>
  <c r="C403" i="45"/>
  <c r="C404" i="45"/>
  <c r="C405" i="45"/>
  <c r="C406" i="45"/>
  <c r="C407" i="45"/>
  <c r="C408" i="45"/>
  <c r="C409" i="45"/>
  <c r="C410" i="45"/>
  <c r="C411" i="45"/>
  <c r="C412" i="45"/>
  <c r="C413" i="45"/>
  <c r="C414" i="45"/>
  <c r="C415" i="45"/>
  <c r="C416" i="45"/>
  <c r="C417" i="45"/>
  <c r="C418" i="45"/>
  <c r="C419" i="45"/>
  <c r="C420" i="45"/>
  <c r="C421" i="45"/>
  <c r="C422" i="45"/>
  <c r="C423" i="45"/>
  <c r="C424" i="45"/>
  <c r="C425" i="45"/>
  <c r="C426" i="45"/>
  <c r="C427" i="45"/>
  <c r="C428" i="45"/>
  <c r="C429" i="45"/>
  <c r="C430" i="45"/>
  <c r="C431" i="45"/>
  <c r="C432" i="45"/>
  <c r="C433" i="45"/>
  <c r="C434" i="45"/>
  <c r="C435" i="45"/>
  <c r="C436" i="45"/>
  <c r="C437" i="45"/>
  <c r="C438" i="45"/>
  <c r="C439" i="45"/>
  <c r="C440" i="45"/>
  <c r="C441" i="45"/>
  <c r="C442" i="45"/>
  <c r="C443" i="45"/>
  <c r="C444" i="45"/>
  <c r="C445" i="45"/>
  <c r="C446" i="45"/>
  <c r="C447" i="45"/>
  <c r="C448" i="45"/>
  <c r="C449" i="45"/>
  <c r="C450" i="45"/>
  <c r="C451" i="45"/>
  <c r="C452" i="45"/>
  <c r="C453" i="45"/>
  <c r="C454" i="45"/>
  <c r="C455" i="45"/>
  <c r="C456" i="45"/>
  <c r="C457" i="45"/>
  <c r="C458" i="45"/>
  <c r="C459" i="45"/>
  <c r="F281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163" i="45"/>
  <c r="E164" i="45"/>
  <c r="E165" i="45"/>
  <c r="E166" i="45"/>
  <c r="E167" i="45"/>
  <c r="E168" i="45"/>
  <c r="F168" i="45" s="1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83" i="45"/>
  <c r="E184" i="45"/>
  <c r="E185" i="45"/>
  <c r="E186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203" i="45"/>
  <c r="E204" i="45"/>
  <c r="E205" i="45"/>
  <c r="E20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223" i="45"/>
  <c r="E224" i="45"/>
  <c r="E225" i="45"/>
  <c r="F225" i="45" s="1"/>
  <c r="E226" i="45"/>
  <c r="E227" i="45"/>
  <c r="E228" i="45"/>
  <c r="E229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244" i="45"/>
  <c r="E245" i="45"/>
  <c r="E246" i="45"/>
  <c r="E247" i="45"/>
  <c r="E248" i="45"/>
  <c r="E249" i="45"/>
  <c r="E250" i="45"/>
  <c r="E251" i="45"/>
  <c r="E252" i="45"/>
  <c r="E253" i="45"/>
  <c r="F253" i="45" s="1"/>
  <c r="E254" i="45"/>
  <c r="E255" i="45"/>
  <c r="E256" i="45"/>
  <c r="E257" i="45"/>
  <c r="E258" i="45"/>
  <c r="E259" i="45"/>
  <c r="E260" i="45"/>
  <c r="E261" i="45"/>
  <c r="E262" i="45"/>
  <c r="E263" i="45"/>
  <c r="E264" i="45"/>
  <c r="E265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280" i="45"/>
  <c r="E281" i="45"/>
  <c r="E282" i="45"/>
  <c r="E283" i="45"/>
  <c r="E284" i="45"/>
  <c r="E285" i="45"/>
  <c r="E286" i="45"/>
  <c r="E287" i="45"/>
  <c r="E288" i="45"/>
  <c r="E289" i="45"/>
  <c r="E290" i="45"/>
  <c r="E291" i="45"/>
  <c r="E292" i="45"/>
  <c r="E293" i="45"/>
  <c r="E294" i="45"/>
  <c r="E295" i="45"/>
  <c r="E296" i="45"/>
  <c r="E297" i="45"/>
  <c r="E298" i="45"/>
  <c r="E299" i="45"/>
  <c r="E300" i="45"/>
  <c r="E301" i="45"/>
  <c r="E302" i="45"/>
  <c r="E303" i="45"/>
  <c r="E304" i="45"/>
  <c r="E305" i="45"/>
  <c r="E306" i="45"/>
  <c r="E307" i="45"/>
  <c r="E308" i="45"/>
  <c r="E309" i="45"/>
  <c r="F309" i="45" s="1"/>
  <c r="E310" i="45"/>
  <c r="E311" i="45"/>
  <c r="E312" i="45"/>
  <c r="E313" i="45"/>
  <c r="E314" i="45"/>
  <c r="E315" i="45"/>
  <c r="E316" i="45"/>
  <c r="E317" i="45"/>
  <c r="E318" i="45"/>
  <c r="E319" i="45"/>
  <c r="E320" i="45"/>
  <c r="E321" i="45"/>
  <c r="E322" i="45"/>
  <c r="E323" i="45"/>
  <c r="E324" i="45"/>
  <c r="E325" i="45"/>
  <c r="E326" i="45"/>
  <c r="E327" i="45"/>
  <c r="E328" i="45"/>
  <c r="E329" i="45"/>
  <c r="E330" i="45"/>
  <c r="E331" i="45"/>
  <c r="E332" i="45"/>
  <c r="E333" i="45"/>
  <c r="E334" i="45"/>
  <c r="E335" i="45"/>
  <c r="E336" i="45"/>
  <c r="E337" i="45"/>
  <c r="E338" i="45"/>
  <c r="E339" i="45"/>
  <c r="E340" i="45"/>
  <c r="E341" i="45"/>
  <c r="E342" i="45"/>
  <c r="E343" i="45"/>
  <c r="E344" i="45"/>
  <c r="E345" i="45"/>
  <c r="E346" i="45"/>
  <c r="E347" i="45"/>
  <c r="E348" i="45"/>
  <c r="E349" i="45"/>
  <c r="E350" i="45"/>
  <c r="E351" i="45"/>
  <c r="E352" i="45"/>
  <c r="E353" i="45"/>
  <c r="E354" i="45"/>
  <c r="E355" i="45"/>
  <c r="E356" i="45"/>
  <c r="E357" i="45"/>
  <c r="E358" i="45"/>
  <c r="E359" i="45"/>
  <c r="E360" i="45"/>
  <c r="E361" i="45"/>
  <c r="E362" i="45"/>
  <c r="E363" i="45"/>
  <c r="E364" i="45"/>
  <c r="E365" i="45"/>
  <c r="E366" i="45"/>
  <c r="E367" i="45"/>
  <c r="E368" i="45"/>
  <c r="E369" i="45"/>
  <c r="E370" i="45"/>
  <c r="E371" i="45"/>
  <c r="E372" i="45"/>
  <c r="E373" i="45"/>
  <c r="E374" i="45"/>
  <c r="E375" i="45"/>
  <c r="E376" i="45"/>
  <c r="E377" i="45"/>
  <c r="E378" i="45"/>
  <c r="E379" i="45"/>
  <c r="E380" i="45"/>
  <c r="E381" i="45"/>
  <c r="E382" i="45"/>
  <c r="E383" i="45"/>
  <c r="E384" i="45"/>
  <c r="E385" i="45"/>
  <c r="E386" i="45"/>
  <c r="E387" i="45"/>
  <c r="E388" i="45"/>
  <c r="E389" i="45"/>
  <c r="E390" i="45"/>
  <c r="E391" i="45"/>
  <c r="E392" i="45"/>
  <c r="E393" i="45"/>
  <c r="E394" i="45"/>
  <c r="E395" i="45"/>
  <c r="E396" i="45"/>
  <c r="F396" i="45" s="1"/>
  <c r="E397" i="45"/>
  <c r="E398" i="45"/>
  <c r="E399" i="45"/>
  <c r="E400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417" i="45"/>
  <c r="E418" i="45"/>
  <c r="E419" i="45"/>
  <c r="E420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37" i="45"/>
  <c r="E438" i="45"/>
  <c r="E439" i="45"/>
  <c r="E440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57" i="45"/>
  <c r="E458" i="45"/>
  <c r="E459" i="45"/>
  <c r="E4" i="45"/>
  <c r="G29" i="43"/>
  <c r="G29" i="46"/>
  <c r="C36" i="46"/>
  <c r="C36" i="43"/>
  <c r="C35" i="41"/>
  <c r="H37" i="41"/>
  <c r="H36" i="41"/>
  <c r="H35" i="41"/>
  <c r="H34" i="41"/>
  <c r="F31" i="46"/>
  <c r="C35" i="46" s="1"/>
  <c r="C42" i="46"/>
  <c r="C41" i="46"/>
  <c r="C39" i="46"/>
  <c r="H38" i="46"/>
  <c r="H37" i="46"/>
  <c r="C37" i="46"/>
  <c r="H36" i="46"/>
  <c r="H35" i="46"/>
  <c r="N30" i="46"/>
  <c r="N24" i="46"/>
  <c r="P19" i="46"/>
  <c r="P20" i="46" s="1"/>
  <c r="L16" i="46"/>
  <c r="C43" i="46"/>
  <c r="L13" i="46"/>
  <c r="C37" i="43"/>
  <c r="H38" i="43"/>
  <c r="H37" i="43"/>
  <c r="H36" i="43"/>
  <c r="H35" i="43"/>
  <c r="F38" i="43"/>
  <c r="O30" i="28"/>
  <c r="H38" i="28"/>
  <c r="H37" i="28"/>
  <c r="H36" i="28"/>
  <c r="H35" i="28"/>
  <c r="C38" i="28"/>
  <c r="C37" i="28" s="1"/>
  <c r="F28" i="43"/>
  <c r="C4" i="45"/>
  <c r="C5" i="45"/>
  <c r="F5" i="45" s="1"/>
  <c r="C6" i="45"/>
  <c r="F6" i="45" s="1"/>
  <c r="C7" i="45"/>
  <c r="F7" i="45" s="1"/>
  <c r="C8" i="45"/>
  <c r="C9" i="45"/>
  <c r="F9" i="45" s="1"/>
  <c r="C10" i="45"/>
  <c r="F10" i="45" s="1"/>
  <c r="C11" i="45"/>
  <c r="F11" i="45" s="1"/>
  <c r="C12" i="45"/>
  <c r="C13" i="45"/>
  <c r="F13" i="45" s="1"/>
  <c r="C14" i="45"/>
  <c r="F14" i="45" s="1"/>
  <c r="C15" i="45"/>
  <c r="F15" i="45" s="1"/>
  <c r="C16" i="45"/>
  <c r="C17" i="45"/>
  <c r="F17" i="45" s="1"/>
  <c r="C18" i="45"/>
  <c r="F18" i="45" s="1"/>
  <c r="C19" i="45"/>
  <c r="F19" i="45" s="1"/>
  <c r="C20" i="45"/>
  <c r="C21" i="45"/>
  <c r="F21" i="45" s="1"/>
  <c r="C22" i="45"/>
  <c r="F22" i="45" s="1"/>
  <c r="C23" i="45"/>
  <c r="F23" i="45" s="1"/>
  <c r="C24" i="45"/>
  <c r="C25" i="45"/>
  <c r="F25" i="45" s="1"/>
  <c r="C26" i="45"/>
  <c r="F26" i="45" s="1"/>
  <c r="C27" i="45"/>
  <c r="F27" i="45" s="1"/>
  <c r="C28" i="45"/>
  <c r="C29" i="45"/>
  <c r="F29" i="45" s="1"/>
  <c r="C30" i="45"/>
  <c r="F30" i="45" s="1"/>
  <c r="C31" i="45"/>
  <c r="F31" i="45" s="1"/>
  <c r="C32" i="45"/>
  <c r="C33" i="45"/>
  <c r="F33" i="45" s="1"/>
  <c r="C34" i="45"/>
  <c r="F34" i="45" s="1"/>
  <c r="C35" i="45"/>
  <c r="F35" i="45" s="1"/>
  <c r="C36" i="45"/>
  <c r="C37" i="45"/>
  <c r="F37" i="45" s="1"/>
  <c r="C38" i="45"/>
  <c r="F38" i="45" s="1"/>
  <c r="C39" i="45"/>
  <c r="F39" i="45" s="1"/>
  <c r="C40" i="45"/>
  <c r="C41" i="45"/>
  <c r="F41" i="45" s="1"/>
  <c r="C42" i="45"/>
  <c r="F42" i="45" s="1"/>
  <c r="C43" i="45"/>
  <c r="F43" i="45" s="1"/>
  <c r="C44" i="45"/>
  <c r="C45" i="45"/>
  <c r="F45" i="45" s="1"/>
  <c r="C46" i="45"/>
  <c r="F46" i="45" s="1"/>
  <c r="C47" i="45"/>
  <c r="F47" i="45" s="1"/>
  <c r="C48" i="45"/>
  <c r="C49" i="45"/>
  <c r="F49" i="45" s="1"/>
  <c r="C50" i="45"/>
  <c r="F50" i="45" s="1"/>
  <c r="C51" i="45"/>
  <c r="F51" i="45" s="1"/>
  <c r="C52" i="45"/>
  <c r="C53" i="45"/>
  <c r="F53" i="45" s="1"/>
  <c r="C54" i="45"/>
  <c r="F54" i="45" s="1"/>
  <c r="C55" i="45"/>
  <c r="F55" i="45" s="1"/>
  <c r="C56" i="45"/>
  <c r="C57" i="45"/>
  <c r="F57" i="45" s="1"/>
  <c r="C58" i="45"/>
  <c r="F58" i="45" s="1"/>
  <c r="C59" i="45"/>
  <c r="F59" i="45" s="1"/>
  <c r="C60" i="45"/>
  <c r="C61" i="45"/>
  <c r="F61" i="45" s="1"/>
  <c r="C62" i="45"/>
  <c r="F62" i="45" s="1"/>
  <c r="C63" i="45"/>
  <c r="F63" i="45" s="1"/>
  <c r="C64" i="45"/>
  <c r="C65" i="45"/>
  <c r="F65" i="45" s="1"/>
  <c r="C66" i="45"/>
  <c r="F66" i="45" s="1"/>
  <c r="C67" i="45"/>
  <c r="F67" i="45" s="1"/>
  <c r="C68" i="45"/>
  <c r="C69" i="45"/>
  <c r="F69" i="45" s="1"/>
  <c r="C70" i="45"/>
  <c r="F70" i="45" s="1"/>
  <c r="C71" i="45"/>
  <c r="F71" i="45" s="1"/>
  <c r="C72" i="45"/>
  <c r="C73" i="45"/>
  <c r="F73" i="45" s="1"/>
  <c r="C74" i="45"/>
  <c r="F74" i="45" s="1"/>
  <c r="C75" i="45"/>
  <c r="F75" i="45" s="1"/>
  <c r="C76" i="45"/>
  <c r="C77" i="45"/>
  <c r="F77" i="45" s="1"/>
  <c r="C78" i="45"/>
  <c r="F78" i="45" s="1"/>
  <c r="C79" i="45"/>
  <c r="F79" i="45" s="1"/>
  <c r="C80" i="45"/>
  <c r="C81" i="45"/>
  <c r="F81" i="45" s="1"/>
  <c r="C82" i="45"/>
  <c r="F82" i="45" s="1"/>
  <c r="C83" i="45"/>
  <c r="F83" i="45" s="1"/>
  <c r="C84" i="45"/>
  <c r="C85" i="45"/>
  <c r="F85" i="45" s="1"/>
  <c r="C86" i="45"/>
  <c r="F86" i="45" s="1"/>
  <c r="C87" i="45"/>
  <c r="F87" i="45" s="1"/>
  <c r="P31" i="41" l="1"/>
  <c r="P33" i="41" s="1"/>
  <c r="J38" i="47"/>
  <c r="M38" i="47" s="1"/>
  <c r="C31" i="49"/>
  <c r="F84" i="45"/>
  <c r="F72" i="45"/>
  <c r="F64" i="45"/>
  <c r="F60" i="45"/>
  <c r="F56" i="45"/>
  <c r="F52" i="45"/>
  <c r="F12" i="45"/>
  <c r="F459" i="45"/>
  <c r="F455" i="45"/>
  <c r="F451" i="45"/>
  <c r="F447" i="45"/>
  <c r="F443" i="45"/>
  <c r="F439" i="45"/>
  <c r="F435" i="45"/>
  <c r="F431" i="45"/>
  <c r="F80" i="45"/>
  <c r="F68" i="45"/>
  <c r="F76" i="45"/>
  <c r="F427" i="45"/>
  <c r="F423" i="45"/>
  <c r="F419" i="45"/>
  <c r="F415" i="45"/>
  <c r="F411" i="45"/>
  <c r="F407" i="45"/>
  <c r="F403" i="45"/>
  <c r="F399" i="45"/>
  <c r="F395" i="45"/>
  <c r="F391" i="45"/>
  <c r="F387" i="45"/>
  <c r="F383" i="45"/>
  <c r="F379" i="45"/>
  <c r="F375" i="45"/>
  <c r="F371" i="45"/>
  <c r="F367" i="45"/>
  <c r="F363" i="45"/>
  <c r="F359" i="45"/>
  <c r="F355" i="45"/>
  <c r="F351" i="45"/>
  <c r="F347" i="45"/>
  <c r="F343" i="45"/>
  <c r="F339" i="45"/>
  <c r="F335" i="45"/>
  <c r="F331" i="45"/>
  <c r="F327" i="45"/>
  <c r="F323" i="45"/>
  <c r="F319" i="45"/>
  <c r="F315" i="45"/>
  <c r="F311" i="45"/>
  <c r="F307" i="45"/>
  <c r="F303" i="45"/>
  <c r="F299" i="45"/>
  <c r="F295" i="45"/>
  <c r="F291" i="45"/>
  <c r="F287" i="45"/>
  <c r="F283" i="45"/>
  <c r="F279" i="45"/>
  <c r="F275" i="45"/>
  <c r="F271" i="45"/>
  <c r="F267" i="45"/>
  <c r="F263" i="45"/>
  <c r="F259" i="45"/>
  <c r="F255" i="45"/>
  <c r="F251" i="45"/>
  <c r="F247" i="45"/>
  <c r="F243" i="45"/>
  <c r="F239" i="45"/>
  <c r="F235" i="45"/>
  <c r="F231" i="45"/>
  <c r="F227" i="45"/>
  <c r="F223" i="45"/>
  <c r="F219" i="45"/>
  <c r="F215" i="45"/>
  <c r="F211" i="45"/>
  <c r="F207" i="45"/>
  <c r="F203" i="45"/>
  <c r="F199" i="45"/>
  <c r="F195" i="45"/>
  <c r="F191" i="45"/>
  <c r="F187" i="45"/>
  <c r="F183" i="45"/>
  <c r="F179" i="45"/>
  <c r="F175" i="45"/>
  <c r="F171" i="45"/>
  <c r="F167" i="45"/>
  <c r="F163" i="45"/>
  <c r="F159" i="45"/>
  <c r="F155" i="45"/>
  <c r="F151" i="45"/>
  <c r="F147" i="45"/>
  <c r="F143" i="45"/>
  <c r="F139" i="45"/>
  <c r="F135" i="45"/>
  <c r="F131" i="45"/>
  <c r="F127" i="45"/>
  <c r="F123" i="45"/>
  <c r="F119" i="45"/>
  <c r="F115" i="45"/>
  <c r="F111" i="45"/>
  <c r="F107" i="45"/>
  <c r="F103" i="45"/>
  <c r="F99" i="45"/>
  <c r="F95" i="45"/>
  <c r="F91" i="45"/>
  <c r="O34" i="46"/>
  <c r="Q40" i="42"/>
  <c r="Q42" i="42" s="1"/>
  <c r="I28" i="42" s="1"/>
  <c r="L28" i="42" s="1"/>
  <c r="L7" i="46"/>
  <c r="M5" i="46"/>
  <c r="O35" i="48"/>
  <c r="O36" i="48"/>
  <c r="O38" i="48" s="1"/>
  <c r="P36" i="28"/>
  <c r="P38" i="28" s="1"/>
  <c r="K28" i="28" s="1"/>
  <c r="K29" i="28" s="1"/>
  <c r="T15" i="32"/>
  <c r="T17" i="32" s="1"/>
  <c r="O5" i="42"/>
  <c r="N7" i="42"/>
  <c r="N7" i="41"/>
  <c r="O5" i="41"/>
  <c r="O36" i="43"/>
  <c r="O38" i="43" s="1"/>
  <c r="L7" i="43"/>
  <c r="P31" i="47"/>
  <c r="P33" i="47" s="1"/>
  <c r="I28" i="47" s="1"/>
  <c r="L7" i="32"/>
  <c r="M7" i="28"/>
  <c r="F29" i="48"/>
  <c r="E14" i="48"/>
  <c r="N22" i="48"/>
  <c r="L7" i="48"/>
  <c r="M5" i="48"/>
  <c r="O34" i="48"/>
  <c r="O5" i="47"/>
  <c r="O8" i="47" s="1"/>
  <c r="O35" i="46"/>
  <c r="P36" i="46" s="1"/>
  <c r="M36" i="46" s="1"/>
  <c r="O38" i="46"/>
  <c r="P34" i="46"/>
  <c r="O34" i="43"/>
  <c r="O35" i="43"/>
  <c r="P34" i="28"/>
  <c r="P35" i="28"/>
  <c r="S35" i="28" s="1"/>
  <c r="G29" i="28" s="1"/>
  <c r="T13" i="32"/>
  <c r="T14" i="32" s="1"/>
  <c r="Q38" i="42"/>
  <c r="Q39" i="42" s="1"/>
  <c r="P29" i="41"/>
  <c r="P30" i="41" s="1"/>
  <c r="P29" i="47"/>
  <c r="Q29" i="47" s="1"/>
  <c r="F456" i="45"/>
  <c r="F448" i="45"/>
  <c r="F440" i="45"/>
  <c r="F196" i="45"/>
  <c r="F452" i="45"/>
  <c r="F444" i="45"/>
  <c r="F436" i="45"/>
  <c r="F424" i="45"/>
  <c r="F368" i="45"/>
  <c r="F140" i="45"/>
  <c r="F112" i="45"/>
  <c r="F48" i="45"/>
  <c r="F40" i="45"/>
  <c r="F32" i="45"/>
  <c r="F24" i="45"/>
  <c r="F16" i="45"/>
  <c r="F8" i="45"/>
  <c r="F44" i="45"/>
  <c r="F36" i="45"/>
  <c r="F28" i="45"/>
  <c r="F20" i="45"/>
  <c r="F4" i="45"/>
  <c r="F457" i="45"/>
  <c r="F453" i="45"/>
  <c r="F449" i="45"/>
  <c r="F445" i="45"/>
  <c r="F417" i="45"/>
  <c r="F409" i="45"/>
  <c r="F381" i="45"/>
  <c r="F373" i="45"/>
  <c r="F353" i="45"/>
  <c r="F345" i="45"/>
  <c r="F317" i="45"/>
  <c r="F289" i="45"/>
  <c r="F245" i="45"/>
  <c r="F217" i="45"/>
  <c r="F189" i="45"/>
  <c r="F181" i="45"/>
  <c r="F161" i="45"/>
  <c r="F153" i="45"/>
  <c r="F125" i="45"/>
  <c r="F117" i="45"/>
  <c r="F97" i="45"/>
  <c r="F89" i="45"/>
  <c r="F432" i="45"/>
  <c r="F428" i="45"/>
  <c r="F420" i="45"/>
  <c r="F416" i="45"/>
  <c r="F412" i="45"/>
  <c r="F408" i="45"/>
  <c r="F404" i="45"/>
  <c r="F400" i="45"/>
  <c r="F392" i="45"/>
  <c r="F388" i="45"/>
  <c r="F384" i="45"/>
  <c r="F380" i="45"/>
  <c r="F376" i="45"/>
  <c r="F372" i="45"/>
  <c r="F364" i="45"/>
  <c r="F360" i="45"/>
  <c r="F356" i="45"/>
  <c r="F352" i="45"/>
  <c r="F348" i="45"/>
  <c r="F344" i="45"/>
  <c r="F340" i="45"/>
  <c r="F336" i="45"/>
  <c r="F332" i="45"/>
  <c r="F328" i="45"/>
  <c r="F324" i="45"/>
  <c r="F320" i="45"/>
  <c r="F316" i="45"/>
  <c r="F312" i="45"/>
  <c r="F308" i="45"/>
  <c r="F304" i="45"/>
  <c r="F300" i="45"/>
  <c r="F296" i="45"/>
  <c r="F292" i="45"/>
  <c r="F288" i="45"/>
  <c r="F284" i="45"/>
  <c r="F280" i="45"/>
  <c r="F276" i="45"/>
  <c r="F272" i="45"/>
  <c r="F268" i="45"/>
  <c r="F264" i="45"/>
  <c r="F260" i="45"/>
  <c r="F256" i="45"/>
  <c r="F252" i="45"/>
  <c r="F248" i="45"/>
  <c r="F244" i="45"/>
  <c r="F240" i="45"/>
  <c r="F236" i="45"/>
  <c r="F232" i="45"/>
  <c r="F228" i="45"/>
  <c r="F224" i="45"/>
  <c r="F220" i="45"/>
  <c r="F216" i="45"/>
  <c r="F212" i="45"/>
  <c r="F208" i="45"/>
  <c r="F204" i="45"/>
  <c r="F200" i="45"/>
  <c r="F192" i="45"/>
  <c r="F188" i="45"/>
  <c r="F184" i="45"/>
  <c r="F180" i="45"/>
  <c r="F176" i="45"/>
  <c r="F172" i="45"/>
  <c r="F164" i="45"/>
  <c r="F160" i="45"/>
  <c r="F156" i="45"/>
  <c r="F152" i="45"/>
  <c r="F148" i="45"/>
  <c r="F144" i="45"/>
  <c r="F136" i="45"/>
  <c r="F132" i="45"/>
  <c r="F128" i="45"/>
  <c r="F124" i="45"/>
  <c r="F120" i="45"/>
  <c r="F116" i="45"/>
  <c r="F108" i="45"/>
  <c r="F104" i="45"/>
  <c r="F100" i="45"/>
  <c r="F96" i="45"/>
  <c r="F92" i="45"/>
  <c r="F88" i="45"/>
  <c r="F441" i="45"/>
  <c r="F437" i="45"/>
  <c r="F433" i="45"/>
  <c r="F429" i="45"/>
  <c r="F425" i="45"/>
  <c r="F421" i="45"/>
  <c r="F413" i="45"/>
  <c r="F405" i="45"/>
  <c r="F401" i="45"/>
  <c r="F397" i="45"/>
  <c r="F393" i="45"/>
  <c r="F389" i="45"/>
  <c r="F385" i="45"/>
  <c r="F377" i="45"/>
  <c r="F369" i="45"/>
  <c r="F365" i="45"/>
  <c r="F361" i="45"/>
  <c r="F357" i="45"/>
  <c r="F349" i="45"/>
  <c r="F341" i="45"/>
  <c r="F337" i="45"/>
  <c r="F333" i="45"/>
  <c r="F329" i="45"/>
  <c r="F325" i="45"/>
  <c r="F321" i="45"/>
  <c r="F313" i="45"/>
  <c r="F305" i="45"/>
  <c r="F301" i="45"/>
  <c r="F297" i="45"/>
  <c r="F293" i="45"/>
  <c r="F285" i="45"/>
  <c r="F277" i="45"/>
  <c r="F273" i="45"/>
  <c r="F269" i="45"/>
  <c r="F265" i="45"/>
  <c r="F261" i="45"/>
  <c r="F257" i="45"/>
  <c r="F249" i="45"/>
  <c r="F241" i="45"/>
  <c r="F237" i="45"/>
  <c r="F233" i="45"/>
  <c r="F229" i="45"/>
  <c r="F221" i="45"/>
  <c r="F213" i="45"/>
  <c r="F209" i="45"/>
  <c r="F205" i="45"/>
  <c r="F201" i="45"/>
  <c r="F197" i="45"/>
  <c r="F193" i="45"/>
  <c r="F185" i="45"/>
  <c r="F177" i="45"/>
  <c r="F173" i="45"/>
  <c r="F169" i="45"/>
  <c r="F165" i="45"/>
  <c r="F157" i="45"/>
  <c r="F149" i="45"/>
  <c r="F145" i="45"/>
  <c r="F141" i="45"/>
  <c r="F137" i="45"/>
  <c r="F133" i="45"/>
  <c r="F129" i="45"/>
  <c r="F121" i="45"/>
  <c r="F113" i="45"/>
  <c r="F109" i="45"/>
  <c r="F105" i="45"/>
  <c r="F101" i="45"/>
  <c r="F93" i="45"/>
  <c r="F458" i="45"/>
  <c r="F454" i="45"/>
  <c r="F450" i="45"/>
  <c r="F446" i="45"/>
  <c r="F442" i="45"/>
  <c r="F438" i="45"/>
  <c r="F434" i="45"/>
  <c r="F430" i="45"/>
  <c r="F426" i="45"/>
  <c r="F422" i="45"/>
  <c r="F418" i="45"/>
  <c r="F414" i="45"/>
  <c r="F410" i="45"/>
  <c r="F406" i="45"/>
  <c r="F402" i="45"/>
  <c r="F398" i="45"/>
  <c r="F394" i="45"/>
  <c r="F390" i="45"/>
  <c r="F386" i="45"/>
  <c r="F382" i="45"/>
  <c r="F378" i="45"/>
  <c r="F374" i="45"/>
  <c r="F370" i="45"/>
  <c r="F366" i="45"/>
  <c r="F362" i="45"/>
  <c r="F358" i="45"/>
  <c r="F354" i="45"/>
  <c r="F350" i="45"/>
  <c r="F346" i="45"/>
  <c r="F342" i="45"/>
  <c r="F338" i="45"/>
  <c r="F334" i="45"/>
  <c r="F330" i="45"/>
  <c r="F326" i="45"/>
  <c r="F322" i="45"/>
  <c r="F318" i="45"/>
  <c r="F314" i="45"/>
  <c r="F310" i="45"/>
  <c r="F306" i="45"/>
  <c r="F302" i="45"/>
  <c r="F298" i="45"/>
  <c r="F294" i="45"/>
  <c r="F290" i="45"/>
  <c r="F286" i="45"/>
  <c r="F282" i="45"/>
  <c r="F278" i="45"/>
  <c r="F274" i="45"/>
  <c r="F270" i="45"/>
  <c r="F266" i="45"/>
  <c r="F262" i="45"/>
  <c r="F258" i="45"/>
  <c r="F254" i="45"/>
  <c r="F250" i="45"/>
  <c r="F246" i="45"/>
  <c r="F242" i="45"/>
  <c r="F238" i="45"/>
  <c r="F234" i="45"/>
  <c r="F230" i="45"/>
  <c r="F226" i="45"/>
  <c r="F222" i="45"/>
  <c r="F218" i="45"/>
  <c r="F214" i="45"/>
  <c r="F210" i="45"/>
  <c r="F206" i="45"/>
  <c r="F202" i="45"/>
  <c r="F198" i="45"/>
  <c r="F194" i="45"/>
  <c r="F190" i="45"/>
  <c r="F186" i="45"/>
  <c r="F182" i="45"/>
  <c r="F178" i="45"/>
  <c r="F174" i="45"/>
  <c r="F170" i="45"/>
  <c r="F166" i="45"/>
  <c r="F162" i="45"/>
  <c r="F158" i="45"/>
  <c r="F154" i="45"/>
  <c r="F150" i="45"/>
  <c r="F146" i="45"/>
  <c r="F142" i="45"/>
  <c r="F138" i="45"/>
  <c r="F134" i="45"/>
  <c r="F130" i="45"/>
  <c r="F126" i="45"/>
  <c r="F122" i="45"/>
  <c r="F118" i="45"/>
  <c r="F114" i="45"/>
  <c r="F110" i="45"/>
  <c r="F106" i="45"/>
  <c r="F102" i="45"/>
  <c r="F98" i="45"/>
  <c r="F94" i="45"/>
  <c r="F90" i="45"/>
  <c r="I38" i="43"/>
  <c r="E23" i="43" s="1"/>
  <c r="C42" i="43"/>
  <c r="C41" i="43"/>
  <c r="C39" i="43"/>
  <c r="N30" i="43"/>
  <c r="F37" i="43"/>
  <c r="N24" i="43"/>
  <c r="P19" i="43"/>
  <c r="P20" i="43" s="1"/>
  <c r="L16" i="43"/>
  <c r="C43" i="43"/>
  <c r="L13" i="43"/>
  <c r="M7" i="46" l="1"/>
  <c r="T28" i="46" s="1"/>
  <c r="M8" i="46"/>
  <c r="P36" i="41"/>
  <c r="P45" i="41" s="1"/>
  <c r="P46" i="41"/>
  <c r="I28" i="41" s="1"/>
  <c r="L28" i="41" s="1"/>
  <c r="P46" i="47"/>
  <c r="P36" i="47"/>
  <c r="O7" i="47"/>
  <c r="U41" i="47" s="1"/>
  <c r="C27" i="32"/>
  <c r="A31" i="32" s="1"/>
  <c r="F31" i="28"/>
  <c r="C31" i="28" s="1"/>
  <c r="L35" i="28"/>
  <c r="L36" i="28" s="1"/>
  <c r="M36" i="28" s="1"/>
  <c r="P36" i="48"/>
  <c r="P34" i="48"/>
  <c r="A31" i="48"/>
  <c r="N26" i="48" s="1"/>
  <c r="O26" i="48" s="1"/>
  <c r="M7" i="48"/>
  <c r="T28" i="48" s="1"/>
  <c r="M8" i="48"/>
  <c r="A31" i="43"/>
  <c r="F36" i="48"/>
  <c r="I36" i="48" s="1"/>
  <c r="E22" i="48" s="1"/>
  <c r="F28" i="48"/>
  <c r="F38" i="48"/>
  <c r="I38" i="48" s="1"/>
  <c r="E23" i="48" s="1"/>
  <c r="F37" i="48"/>
  <c r="I37" i="48" s="1"/>
  <c r="F35" i="48"/>
  <c r="I35" i="48" s="1"/>
  <c r="E21" i="48" s="1"/>
  <c r="O39" i="46"/>
  <c r="P34" i="43"/>
  <c r="P36" i="43"/>
  <c r="Q36" i="28"/>
  <c r="N36" i="28" s="1"/>
  <c r="Q34" i="28"/>
  <c r="C28" i="28" s="1"/>
  <c r="C29" i="28" s="1"/>
  <c r="U15" i="32"/>
  <c r="U13" i="32"/>
  <c r="Q29" i="41"/>
  <c r="C28" i="41" s="1"/>
  <c r="R38" i="42"/>
  <c r="R40" i="42"/>
  <c r="Q31" i="41"/>
  <c r="N31" i="41" s="1"/>
  <c r="P30" i="47"/>
  <c r="Q31" i="47" s="1"/>
  <c r="M8" i="43"/>
  <c r="M7" i="43"/>
  <c r="T28" i="43" s="1"/>
  <c r="I37" i="43"/>
  <c r="F36" i="43"/>
  <c r="I36" i="43" s="1"/>
  <c r="E22" i="43" s="1"/>
  <c r="F35" i="43"/>
  <c r="S20" i="32" l="1"/>
  <c r="M32" i="41"/>
  <c r="T17" i="41"/>
  <c r="O23" i="48"/>
  <c r="P23" i="48" s="1"/>
  <c r="C28" i="43"/>
  <c r="A31" i="41"/>
  <c r="P45" i="47"/>
  <c r="B31" i="32"/>
  <c r="C31" i="32" s="1"/>
  <c r="C28" i="32"/>
  <c r="P34" i="47"/>
  <c r="C26" i="43"/>
  <c r="C31" i="43"/>
  <c r="E20" i="48"/>
  <c r="O39" i="48"/>
  <c r="M36" i="48"/>
  <c r="M36" i="43"/>
  <c r="O39" i="43"/>
  <c r="P39" i="28"/>
  <c r="R15" i="32"/>
  <c r="T18" i="32"/>
  <c r="O40" i="42"/>
  <c r="Q43" i="42"/>
  <c r="A31" i="42" s="1"/>
  <c r="B31" i="42" s="1"/>
  <c r="C31" i="42" s="1"/>
  <c r="F31" i="42" s="1"/>
  <c r="P34" i="41"/>
  <c r="P47" i="41" s="1"/>
  <c r="N31" i="47"/>
  <c r="A31" i="47" l="1"/>
  <c r="C27" i="47" s="1"/>
  <c r="C29" i="32"/>
  <c r="C29" i="43"/>
  <c r="I24" i="43"/>
  <c r="P47" i="47"/>
  <c r="L28" i="47"/>
  <c r="B31" i="47"/>
  <c r="N21" i="48"/>
  <c r="E25" i="48"/>
  <c r="O22" i="48"/>
  <c r="C35" i="43"/>
  <c r="I35" i="43" s="1"/>
  <c r="E21" i="43" s="1"/>
  <c r="C33" i="47" l="1"/>
  <c r="I16" i="48"/>
  <c r="I13" i="48"/>
  <c r="I14" i="48"/>
  <c r="N31" i="48"/>
  <c r="N29" i="48" s="1"/>
  <c r="C31" i="47" l="1"/>
  <c r="E33" i="47" s="1"/>
  <c r="I39" i="48"/>
  <c r="I25" i="48"/>
  <c r="I40" i="48" s="1"/>
  <c r="I42" i="48"/>
  <c r="K16" i="48"/>
  <c r="I41" i="48"/>
  <c r="K13" i="48"/>
  <c r="I43" i="48"/>
  <c r="C44" i="48" s="1"/>
  <c r="I15" i="48"/>
  <c r="K14" i="48"/>
  <c r="I44" i="48" l="1"/>
  <c r="K15" i="48"/>
  <c r="K17" i="48" s="1"/>
  <c r="L15" i="48"/>
  <c r="I26" i="48"/>
  <c r="I27" i="48" s="1"/>
  <c r="N24" i="48" s="1"/>
  <c r="P15" i="48" l="1"/>
  <c r="M7" i="32"/>
  <c r="O7" i="42"/>
  <c r="M47" i="5"/>
  <c r="T45" i="5"/>
  <c r="R45" i="5"/>
  <c r="P45" i="5"/>
  <c r="N45" i="5"/>
  <c r="Z7" i="41"/>
  <c r="AA7" i="41" s="1"/>
  <c r="AB7" i="41" s="1"/>
  <c r="AC7" i="41" s="1"/>
  <c r="AD7" i="41" s="1"/>
  <c r="AE7" i="41" s="1"/>
  <c r="AF7" i="41" s="1"/>
  <c r="AG7" i="41" s="1"/>
  <c r="AG5" i="41"/>
  <c r="AE5" i="41"/>
  <c r="AC5" i="41"/>
  <c r="AA5" i="41"/>
  <c r="E27" i="32"/>
  <c r="F27" i="32" s="1"/>
  <c r="P29" i="32"/>
  <c r="K6" i="10"/>
  <c r="Q36" i="42"/>
  <c r="J36" i="42" s="1"/>
  <c r="E17" i="42" s="1"/>
  <c r="O36" i="42"/>
  <c r="C36" i="42"/>
  <c r="C35" i="42"/>
  <c r="N16" i="42"/>
  <c r="O17" i="42"/>
  <c r="N13" i="42"/>
  <c r="Q38" i="41"/>
  <c r="O38" i="41"/>
  <c r="J38" i="41" s="1"/>
  <c r="C38" i="41"/>
  <c r="C36" i="41"/>
  <c r="C34" i="41"/>
  <c r="N16" i="41"/>
  <c r="O15" i="41"/>
  <c r="O14" i="41"/>
  <c r="O17" i="41" s="1"/>
  <c r="O13" i="41"/>
  <c r="N13" i="41"/>
  <c r="O7" i="41" l="1"/>
  <c r="U41" i="41" s="1"/>
  <c r="O8" i="41"/>
  <c r="N47" i="5"/>
  <c r="O47" i="5" s="1"/>
  <c r="P47" i="5" s="1"/>
  <c r="Q47" i="5" s="1"/>
  <c r="R47" i="5" s="1"/>
  <c r="S47" i="5" s="1"/>
  <c r="T47" i="5" s="1"/>
  <c r="N7" i="28"/>
  <c r="U20" i="28" s="1"/>
  <c r="E20" i="28" s="1"/>
  <c r="C28" i="35"/>
  <c r="C27" i="35"/>
  <c r="C26" i="35"/>
  <c r="C25" i="35"/>
  <c r="C24" i="35"/>
  <c r="C23" i="35"/>
  <c r="C22" i="35"/>
  <c r="M14" i="10"/>
  <c r="M13" i="10"/>
  <c r="M12" i="10"/>
  <c r="K10" i="10"/>
  <c r="F5" i="10"/>
  <c r="G5" i="10" s="1"/>
  <c r="F4" i="10"/>
  <c r="G4" i="10" s="1"/>
  <c r="F3" i="10"/>
  <c r="G3" i="10"/>
  <c r="E6" i="10"/>
  <c r="F6" i="10" s="1"/>
  <c r="E5" i="10"/>
  <c r="E4" i="10"/>
  <c r="E3" i="10"/>
  <c r="D45" i="35"/>
  <c r="E45" i="35"/>
  <c r="F45" i="35"/>
  <c r="G45" i="35"/>
  <c r="C45" i="35"/>
  <c r="H43" i="35"/>
  <c r="D41" i="35"/>
  <c r="E41" i="35"/>
  <c r="E43" i="35" s="1"/>
  <c r="F41" i="35"/>
  <c r="G41" i="35"/>
  <c r="D42" i="35"/>
  <c r="D43" i="35" s="1"/>
  <c r="E42" i="35"/>
  <c r="F42" i="35"/>
  <c r="G42" i="35"/>
  <c r="C42" i="35"/>
  <c r="C41" i="35"/>
  <c r="M16" i="28"/>
  <c r="M13" i="28"/>
  <c r="L13" i="32"/>
  <c r="L16" i="32"/>
  <c r="F29" i="32"/>
  <c r="F37" i="32"/>
  <c r="F35" i="32"/>
  <c r="F36" i="32"/>
  <c r="C43" i="35" l="1"/>
  <c r="F43" i="35"/>
  <c r="C34" i="42"/>
  <c r="G43" i="35"/>
  <c r="K43" i="35" s="1"/>
  <c r="N31" i="32" l="1"/>
  <c r="G42" i="32"/>
  <c r="G43" i="32"/>
  <c r="G40" i="32"/>
  <c r="C42" i="32"/>
  <c r="C41" i="32"/>
  <c r="C40" i="32"/>
  <c r="C37" i="32"/>
  <c r="C36" i="32"/>
  <c r="P19" i="32"/>
  <c r="P20" i="32" s="1"/>
  <c r="G41" i="32"/>
  <c r="Q652" i="24"/>
  <c r="R652" i="24" s="1"/>
  <c r="S652" i="24" s="1"/>
  <c r="T652" i="24" s="1"/>
  <c r="P652" i="24"/>
  <c r="I37" i="32" l="1"/>
  <c r="I36" i="32"/>
  <c r="E42" i="31"/>
  <c r="E41" i="31"/>
  <c r="E40" i="31"/>
  <c r="E39" i="31"/>
  <c r="F39" i="31" s="1"/>
  <c r="E38" i="31"/>
  <c r="E37" i="31"/>
  <c r="E36" i="31"/>
  <c r="E35" i="31"/>
  <c r="E34" i="31"/>
  <c r="D33" i="31"/>
  <c r="M42" i="31"/>
  <c r="I42" i="31"/>
  <c r="N42" i="31" s="1"/>
  <c r="H42" i="31"/>
  <c r="G42" i="31"/>
  <c r="F42" i="31"/>
  <c r="D42" i="31"/>
  <c r="B42" i="31"/>
  <c r="C42" i="31" s="1"/>
  <c r="M41" i="31"/>
  <c r="I41" i="31"/>
  <c r="J41" i="31" s="1"/>
  <c r="H41" i="31"/>
  <c r="G41" i="31"/>
  <c r="F41" i="31"/>
  <c r="D41" i="31"/>
  <c r="B41" i="31"/>
  <c r="C41" i="31" s="1"/>
  <c r="M40" i="31"/>
  <c r="I40" i="31"/>
  <c r="N40" i="31" s="1"/>
  <c r="H40" i="31"/>
  <c r="G40" i="31"/>
  <c r="F40" i="31"/>
  <c r="D40" i="31"/>
  <c r="B40" i="31"/>
  <c r="C40" i="31" s="1"/>
  <c r="M39" i="31"/>
  <c r="H39" i="31"/>
  <c r="I39" i="31" s="1"/>
  <c r="J39" i="31" s="1"/>
  <c r="G39" i="31"/>
  <c r="D39" i="31"/>
  <c r="B39" i="31"/>
  <c r="C39" i="31" s="1"/>
  <c r="M38" i="31"/>
  <c r="I38" i="31"/>
  <c r="N38" i="31" s="1"/>
  <c r="H38" i="31"/>
  <c r="G38" i="31"/>
  <c r="F38" i="31"/>
  <c r="D38" i="31"/>
  <c r="B38" i="31"/>
  <c r="C38" i="31" s="1"/>
  <c r="M37" i="31"/>
  <c r="I37" i="31"/>
  <c r="J37" i="31" s="1"/>
  <c r="H37" i="31"/>
  <c r="G37" i="31"/>
  <c r="F37" i="31"/>
  <c r="D37" i="31"/>
  <c r="B37" i="31"/>
  <c r="C37" i="31" s="1"/>
  <c r="M36" i="31"/>
  <c r="I36" i="31"/>
  <c r="N36" i="31" s="1"/>
  <c r="H36" i="31"/>
  <c r="G36" i="31"/>
  <c r="F36" i="31"/>
  <c r="D36" i="31"/>
  <c r="B36" i="31"/>
  <c r="C36" i="31" s="1"/>
  <c r="M35" i="31"/>
  <c r="K35" i="31"/>
  <c r="L35" i="31" s="1"/>
  <c r="I35" i="31"/>
  <c r="N35" i="31" s="1"/>
  <c r="H35" i="31"/>
  <c r="G35" i="31"/>
  <c r="F35" i="31"/>
  <c r="D35" i="31"/>
  <c r="B35" i="31"/>
  <c r="C35" i="31" s="1"/>
  <c r="M34" i="31"/>
  <c r="K34" i="31"/>
  <c r="L34" i="31" s="1"/>
  <c r="I34" i="31"/>
  <c r="N34" i="31" s="1"/>
  <c r="H34" i="31"/>
  <c r="G34" i="31"/>
  <c r="F34" i="31"/>
  <c r="D34" i="31"/>
  <c r="B34" i="31"/>
  <c r="C34" i="31" s="1"/>
  <c r="M33" i="31"/>
  <c r="K33" i="31"/>
  <c r="L33" i="31" s="1"/>
  <c r="I33" i="31"/>
  <c r="N33" i="31" s="1"/>
  <c r="H33" i="31"/>
  <c r="G33" i="31"/>
  <c r="F33" i="31"/>
  <c r="B33" i="31"/>
  <c r="C33" i="31" s="1"/>
  <c r="P31" i="31"/>
  <c r="M29" i="31"/>
  <c r="M28" i="31"/>
  <c r="D28" i="31"/>
  <c r="C27" i="31"/>
  <c r="J26" i="31"/>
  <c r="J25" i="31"/>
  <c r="J24" i="31"/>
  <c r="J23" i="31"/>
  <c r="M23" i="31" s="1"/>
  <c r="N25" i="32" l="1"/>
  <c r="O25" i="32" s="1"/>
  <c r="J33" i="31"/>
  <c r="J34" i="31"/>
  <c r="J35" i="31"/>
  <c r="J36" i="31"/>
  <c r="N37" i="31"/>
  <c r="J38" i="31"/>
  <c r="N39" i="31"/>
  <c r="J40" i="31"/>
  <c r="N41" i="31"/>
  <c r="J42" i="31"/>
  <c r="C39" i="28" l="1"/>
  <c r="C36" i="28"/>
  <c r="Q19" i="28"/>
  <c r="Q20" i="28" s="1"/>
  <c r="O659" i="24" l="1"/>
  <c r="R659" i="24" s="1"/>
  <c r="O658" i="24"/>
  <c r="R658" i="24" s="1"/>
  <c r="O657" i="24"/>
  <c r="R657" i="24" s="1"/>
  <c r="O656" i="24"/>
  <c r="R656" i="24" s="1"/>
  <c r="O655" i="24"/>
  <c r="R655" i="24" s="1"/>
  <c r="R654" i="24"/>
  <c r="F123" i="17" l="1"/>
  <c r="D127" i="17"/>
  <c r="G131" i="17"/>
  <c r="G135" i="17"/>
  <c r="F131" i="17"/>
  <c r="F135" i="17"/>
  <c r="L134" i="17"/>
  <c r="J134" i="17"/>
  <c r="L126" i="17"/>
  <c r="L122" i="17"/>
  <c r="J130" i="17"/>
  <c r="J126" i="17"/>
  <c r="J122" i="17"/>
  <c r="J112" i="17"/>
  <c r="D108" i="17"/>
  <c r="F98" i="17"/>
  <c r="E98" i="17"/>
  <c r="D98" i="17"/>
  <c r="C98" i="17"/>
  <c r="F94" i="17"/>
  <c r="E94" i="17"/>
  <c r="D94" i="17"/>
  <c r="C94" i="17"/>
  <c r="F90" i="17"/>
  <c r="E90" i="17"/>
  <c r="D90" i="17"/>
  <c r="C90" i="17"/>
  <c r="L46" i="7"/>
  <c r="D53" i="7"/>
  <c r="E53" i="7" s="1"/>
  <c r="F53" i="7" s="1"/>
  <c r="G53" i="7" s="1"/>
  <c r="H53" i="7" s="1"/>
  <c r="I53" i="7" s="1"/>
  <c r="J51" i="7"/>
  <c r="J50" i="7"/>
  <c r="J52" i="7" s="1"/>
  <c r="L52" i="7" s="1"/>
  <c r="C46" i="7"/>
  <c r="C33" i="7"/>
  <c r="I21" i="7"/>
  <c r="J119" i="7"/>
  <c r="K119" i="7"/>
  <c r="K120" i="7" s="1"/>
  <c r="K122" i="7" s="1"/>
  <c r="L119" i="7"/>
  <c r="L120" i="7" s="1"/>
  <c r="L122" i="7" s="1"/>
  <c r="M119" i="7"/>
  <c r="M120" i="7" s="1"/>
  <c r="M122" i="7" s="1"/>
  <c r="N119" i="7"/>
  <c r="N120" i="7" s="1"/>
  <c r="N122" i="7" s="1"/>
  <c r="O119" i="7"/>
  <c r="O120" i="7" s="1"/>
  <c r="O122" i="7" s="1"/>
  <c r="J120" i="7"/>
  <c r="J122" i="7" s="1"/>
  <c r="J118" i="7"/>
  <c r="O118" i="7"/>
  <c r="K118" i="7"/>
  <c r="L118" i="7"/>
  <c r="M118" i="7"/>
  <c r="N118" i="7"/>
  <c r="P107" i="7"/>
  <c r="O107" i="7"/>
  <c r="J107" i="7"/>
  <c r="R105" i="7"/>
  <c r="K103" i="7"/>
  <c r="L103" i="7" s="1"/>
  <c r="L107" i="7" s="1"/>
  <c r="K101" i="7"/>
  <c r="L101" i="7" s="1"/>
  <c r="M101" i="7" s="1"/>
  <c r="N101" i="7" s="1"/>
  <c r="O101" i="7" s="1"/>
  <c r="P101" i="7" s="1"/>
  <c r="P96" i="7"/>
  <c r="O96" i="7"/>
  <c r="J96" i="7"/>
  <c r="R94" i="7"/>
  <c r="K92" i="7"/>
  <c r="K90" i="7"/>
  <c r="L90" i="7" s="1"/>
  <c r="M90" i="7" s="1"/>
  <c r="N90" i="7" s="1"/>
  <c r="O90" i="7" s="1"/>
  <c r="P90" i="7" s="1"/>
  <c r="P74" i="7"/>
  <c r="J74" i="7"/>
  <c r="P84" i="7"/>
  <c r="O84" i="7"/>
  <c r="N84" i="7"/>
  <c r="M84" i="7"/>
  <c r="J84" i="7"/>
  <c r="R82" i="7"/>
  <c r="K80" i="7"/>
  <c r="K84" i="7" s="1"/>
  <c r="K78" i="7"/>
  <c r="L78" i="7" s="1"/>
  <c r="M78" i="7" s="1"/>
  <c r="N78" i="7" s="1"/>
  <c r="O78" i="7" s="1"/>
  <c r="P78" i="7" s="1"/>
  <c r="R72" i="7"/>
  <c r="K70" i="7"/>
  <c r="K74" i="7" s="1"/>
  <c r="K68" i="7"/>
  <c r="L68" i="7" s="1"/>
  <c r="M68" i="7" s="1"/>
  <c r="N68" i="7" s="1"/>
  <c r="O68" i="7" s="1"/>
  <c r="P68" i="7" s="1"/>
  <c r="D40" i="7"/>
  <c r="E40" i="7" s="1"/>
  <c r="F40" i="7" s="1"/>
  <c r="G40" i="7" s="1"/>
  <c r="H40" i="7" s="1"/>
  <c r="I40" i="7" s="1"/>
  <c r="E21" i="7"/>
  <c r="N25" i="7"/>
  <c r="N24" i="7"/>
  <c r="J38" i="7"/>
  <c r="J37" i="7"/>
  <c r="G211" i="2"/>
  <c r="A213" i="2" s="1"/>
  <c r="D213" i="2" s="1"/>
  <c r="E204" i="2"/>
  <c r="G204" i="2" s="1"/>
  <c r="H248" i="2"/>
  <c r="O247" i="2"/>
  <c r="O249" i="2" s="1"/>
  <c r="A217" i="2"/>
  <c r="B213" i="2"/>
  <c r="G203" i="2"/>
  <c r="M194" i="2"/>
  <c r="A195" i="2" s="1"/>
  <c r="G195" i="2" s="1"/>
  <c r="C11" i="17"/>
  <c r="C10" i="17"/>
  <c r="F6" i="17"/>
  <c r="F7" i="17" s="1"/>
  <c r="G5" i="17"/>
  <c r="K7" i="21"/>
  <c r="F74" i="17"/>
  <c r="E74" i="17"/>
  <c r="D74" i="17"/>
  <c r="C74" i="17"/>
  <c r="F61" i="17"/>
  <c r="E61" i="17"/>
  <c r="D61" i="17"/>
  <c r="C61" i="17"/>
  <c r="F53" i="17"/>
  <c r="E53" i="17"/>
  <c r="D53" i="17"/>
  <c r="C53" i="17"/>
  <c r="F45" i="17"/>
  <c r="E45" i="17"/>
  <c r="D45" i="17"/>
  <c r="C45" i="17"/>
  <c r="O43" i="20"/>
  <c r="I51" i="19"/>
  <c r="I46" i="19"/>
  <c r="I45" i="19"/>
  <c r="L43" i="19"/>
  <c r="I54" i="18"/>
  <c r="I49" i="18"/>
  <c r="I48" i="18"/>
  <c r="L46" i="18"/>
  <c r="I49" i="14"/>
  <c r="I44" i="14"/>
  <c r="I43" i="14"/>
  <c r="L41" i="14"/>
  <c r="C213" i="2" l="1"/>
  <c r="J90" i="17"/>
  <c r="L90" i="17" s="1"/>
  <c r="N90" i="17" s="1"/>
  <c r="G94" i="17"/>
  <c r="J94" i="17" s="1"/>
  <c r="L94" i="17" s="1"/>
  <c r="J104" i="17"/>
  <c r="L104" i="17" s="1"/>
  <c r="J108" i="17"/>
  <c r="J98" i="17"/>
  <c r="L98" i="17" s="1"/>
  <c r="G6" i="17"/>
  <c r="J74" i="17"/>
  <c r="S74" i="17" s="1"/>
  <c r="C13" i="17"/>
  <c r="R122" i="7"/>
  <c r="M103" i="7"/>
  <c r="K107" i="7"/>
  <c r="L92" i="7"/>
  <c r="K96" i="7"/>
  <c r="L80" i="7"/>
  <c r="L84" i="7" s="1"/>
  <c r="L70" i="7"/>
  <c r="L74" i="7" s="1"/>
  <c r="N26" i="7"/>
  <c r="P26" i="7" s="1"/>
  <c r="C27" i="7" s="1"/>
  <c r="J39" i="7"/>
  <c r="L39" i="7" s="1"/>
  <c r="C42" i="7" s="1"/>
  <c r="A215" i="2"/>
  <c r="B217" i="2"/>
  <c r="F217" i="2" s="1"/>
  <c r="D195" i="2"/>
  <c r="F8" i="17"/>
  <c r="G7" i="17"/>
  <c r="L77" i="17"/>
  <c r="T77" i="17" s="1"/>
  <c r="T78" i="17" s="1"/>
  <c r="P74" i="17" s="1"/>
  <c r="R74" i="17" s="1"/>
  <c r="J61" i="17"/>
  <c r="S61" i="17" s="1"/>
  <c r="J45" i="17"/>
  <c r="L48" i="17" s="1"/>
  <c r="J53" i="17"/>
  <c r="D219" i="2" l="1"/>
  <c r="F219" i="2" s="1"/>
  <c r="S53" i="17"/>
  <c r="K55" i="7"/>
  <c r="C47" i="7"/>
  <c r="C19" i="7"/>
  <c r="M107" i="7"/>
  <c r="N103" i="7"/>
  <c r="N107" i="7" s="1"/>
  <c r="L96" i="7"/>
  <c r="M92" i="7"/>
  <c r="D42" i="7"/>
  <c r="M70" i="7"/>
  <c r="M74" i="7" s="1"/>
  <c r="E42" i="7"/>
  <c r="D27" i="7"/>
  <c r="E27" i="7" s="1"/>
  <c r="F27" i="7" s="1"/>
  <c r="G27" i="7" s="1"/>
  <c r="G8" i="17"/>
  <c r="F9" i="17"/>
  <c r="L64" i="17"/>
  <c r="R61" i="17"/>
  <c r="S45" i="17"/>
  <c r="R45" i="17"/>
  <c r="E51" i="7" l="1"/>
  <c r="C49" i="7"/>
  <c r="E50" i="7"/>
  <c r="C51" i="7"/>
  <c r="O52" i="7" s="1"/>
  <c r="C34" i="7"/>
  <c r="R107" i="7"/>
  <c r="R103" i="7"/>
  <c r="V103" i="7" s="1"/>
  <c r="N92" i="7"/>
  <c r="M96" i="7"/>
  <c r="K42" i="7"/>
  <c r="N70" i="7"/>
  <c r="N74" i="7" s="1"/>
  <c r="K27" i="7"/>
  <c r="C20" i="7" s="1"/>
  <c r="G9" i="17"/>
  <c r="F10" i="17"/>
  <c r="C22" i="7" l="1"/>
  <c r="D23" i="7"/>
  <c r="D24" i="7" s="1"/>
  <c r="C38" i="7"/>
  <c r="E37" i="7"/>
  <c r="C36" i="7"/>
  <c r="G102" i="7"/>
  <c r="G105" i="7" s="1"/>
  <c r="N96" i="7"/>
  <c r="R96" i="7" s="1"/>
  <c r="R92" i="7"/>
  <c r="O70" i="7"/>
  <c r="O74" i="7" s="1"/>
  <c r="F11" i="17"/>
  <c r="G10" i="17"/>
  <c r="G103" i="7" l="1"/>
  <c r="G104" i="7" s="1"/>
  <c r="G106" i="7" s="1"/>
  <c r="V92" i="7"/>
  <c r="G91" i="7" s="1"/>
  <c r="G94" i="7" s="1"/>
  <c r="R84" i="7"/>
  <c r="R80" i="7"/>
  <c r="V80" i="7" s="1"/>
  <c r="R74" i="7"/>
  <c r="R70" i="7"/>
  <c r="G11" i="17"/>
  <c r="F12" i="17"/>
  <c r="G92" i="7" l="1"/>
  <c r="G93" i="7" s="1"/>
  <c r="G95" i="7" s="1"/>
  <c r="G79" i="7"/>
  <c r="G82" i="7" s="1"/>
  <c r="V70" i="7"/>
  <c r="G69" i="7" s="1"/>
  <c r="G72" i="7" s="1"/>
  <c r="G12" i="17"/>
  <c r="F13" i="17"/>
  <c r="G80" i="7" l="1"/>
  <c r="G70" i="7"/>
  <c r="G71" i="7" s="1"/>
  <c r="G73" i="7" s="1"/>
  <c r="F14" i="17"/>
  <c r="G13" i="17"/>
  <c r="G81" i="7" l="1"/>
  <c r="G83" i="7" s="1"/>
  <c r="G14" i="17"/>
  <c r="F15" i="17"/>
  <c r="F16" i="17" l="1"/>
  <c r="G16" i="17" s="1"/>
  <c r="G15" i="17"/>
  <c r="E14" i="32" l="1"/>
  <c r="C35" i="32"/>
  <c r="I35" i="32" s="1"/>
  <c r="E17" i="32" s="1"/>
  <c r="E26" i="32" l="1"/>
  <c r="N32" i="32" s="1"/>
  <c r="N30" i="32" s="1"/>
  <c r="I24" i="32" s="1"/>
  <c r="I25" i="32" s="1"/>
  <c r="I13" i="32" l="1"/>
  <c r="K13" i="32" s="1"/>
  <c r="I16" i="32"/>
  <c r="I43" i="32" s="1"/>
  <c r="N34" i="32"/>
  <c r="I14" i="32"/>
  <c r="K14" i="32" s="1"/>
  <c r="N18" i="32"/>
  <c r="N19" i="32" s="1"/>
  <c r="N17" i="32"/>
  <c r="K16" i="32" l="1"/>
  <c r="I15" i="32"/>
  <c r="K15" i="32" s="1"/>
  <c r="N43" i="32"/>
  <c r="I38" i="32"/>
  <c r="I39" i="32"/>
  <c r="I41" i="32"/>
  <c r="F41" i="32"/>
  <c r="H41" i="32" s="1"/>
  <c r="F43" i="32"/>
  <c r="H43" i="32" s="1"/>
  <c r="M43" i="32" s="1"/>
  <c r="F40" i="32"/>
  <c r="H40" i="32" s="1"/>
  <c r="I42" i="32"/>
  <c r="M41" i="32" l="1"/>
  <c r="N41" i="32"/>
  <c r="N42" i="32"/>
  <c r="L15" i="32"/>
  <c r="F42" i="32"/>
  <c r="H42" i="32" s="1"/>
  <c r="M42" i="32" s="1"/>
  <c r="P15" i="32"/>
  <c r="K17" i="32"/>
  <c r="I26" i="32"/>
  <c r="I40" i="32"/>
  <c r="N40" i="32" s="1"/>
  <c r="I27" i="32" l="1"/>
  <c r="N23" i="32" s="1"/>
  <c r="M40" i="32"/>
  <c r="F29" i="28" l="1"/>
  <c r="F37" i="28" l="1"/>
  <c r="I37" i="28" s="1"/>
  <c r="F38" i="28"/>
  <c r="I38" i="28" s="1"/>
  <c r="F36" i="28"/>
  <c r="I36" i="28" s="1"/>
  <c r="E22" i="28" s="1"/>
  <c r="F35" i="28"/>
  <c r="C35" i="28"/>
  <c r="I35" i="28" l="1"/>
  <c r="E21" i="28" s="1"/>
  <c r="E23" i="28"/>
  <c r="C27" i="41"/>
  <c r="B31" i="41"/>
  <c r="C31" i="41" s="1"/>
  <c r="E13" i="28" l="1"/>
  <c r="M28" i="28" s="1"/>
  <c r="M29" i="28" s="1"/>
  <c r="O21" i="28"/>
  <c r="P23" i="28"/>
  <c r="Q23" i="28" s="1"/>
  <c r="L31" i="28" l="1"/>
  <c r="L28" i="28"/>
  <c r="O18" i="28"/>
  <c r="O20" i="28" s="1"/>
  <c r="O17" i="28"/>
  <c r="E14" i="28" l="1"/>
  <c r="E25" i="28" s="1"/>
  <c r="M20" i="28"/>
  <c r="O26" i="28"/>
  <c r="P26" i="28" s="1"/>
  <c r="I13" i="28" l="1"/>
  <c r="I41" i="28" s="1"/>
  <c r="I16" i="28"/>
  <c r="L16" i="28" s="1"/>
  <c r="O22" i="28"/>
  <c r="O24" i="28" s="1"/>
  <c r="P22" i="28"/>
  <c r="O31" i="28"/>
  <c r="O29" i="28" s="1"/>
  <c r="C43" i="28" s="1"/>
  <c r="I14" i="28"/>
  <c r="I15" i="28" s="1"/>
  <c r="I42" i="28" l="1"/>
  <c r="L13" i="28"/>
  <c r="C41" i="28"/>
  <c r="I43" i="28"/>
  <c r="C44" i="28" s="1"/>
  <c r="C42" i="28"/>
  <c r="L14" i="28"/>
  <c r="I44" i="28"/>
  <c r="L15" i="28"/>
  <c r="M15" i="28"/>
  <c r="I25" i="28"/>
  <c r="I40" i="28" s="1"/>
  <c r="I39" i="28"/>
  <c r="L17" i="28" l="1"/>
  <c r="Q15" i="28"/>
  <c r="I26" i="28"/>
  <c r="I27" i="28" s="1"/>
  <c r="N18" i="43"/>
  <c r="N19" i="43" s="1"/>
  <c r="N20" i="43" s="1"/>
  <c r="O23" i="43"/>
  <c r="P23" i="43" s="1"/>
  <c r="E20" i="43"/>
  <c r="N21" i="43" s="1"/>
  <c r="E14" i="43" l="1"/>
  <c r="E13" i="43"/>
  <c r="L28" i="43" s="1"/>
  <c r="L29" i="43" s="1"/>
  <c r="N17" i="43"/>
  <c r="O22" i="43" l="1"/>
  <c r="N26" i="43"/>
  <c r="O26" i="43" s="1"/>
  <c r="E25" i="43"/>
  <c r="N22" i="43"/>
  <c r="I16" i="43" l="1"/>
  <c r="I13" i="43"/>
  <c r="I14" i="43"/>
  <c r="N31" i="43"/>
  <c r="N29" i="43" s="1"/>
  <c r="I25" i="43" l="1"/>
  <c r="I40" i="43" s="1"/>
  <c r="I39" i="43"/>
  <c r="I41" i="43"/>
  <c r="K13" i="43"/>
  <c r="I42" i="43"/>
  <c r="K16" i="43"/>
  <c r="I43" i="43"/>
  <c r="C44" i="43" s="1"/>
  <c r="I15" i="43"/>
  <c r="K14" i="43"/>
  <c r="I26" i="43" l="1"/>
  <c r="I27" i="43" s="1"/>
  <c r="L15" i="43"/>
  <c r="K15" i="43"/>
  <c r="K17" i="43" s="1"/>
  <c r="I44" i="43"/>
  <c r="P15" i="43" l="1"/>
  <c r="I39" i="49"/>
  <c r="L28" i="49"/>
  <c r="M20" i="49" l="1"/>
  <c r="E25" i="49"/>
  <c r="I13" i="49"/>
  <c r="I41" i="49" s="1"/>
  <c r="L31" i="49"/>
  <c r="O26" i="49"/>
  <c r="P26" i="49" s="1"/>
  <c r="P22" i="49"/>
  <c r="I16" i="49" l="1"/>
  <c r="O24" i="49"/>
  <c r="I42" i="49"/>
  <c r="L16" i="49"/>
  <c r="I14" i="49"/>
  <c r="O31" i="49"/>
  <c r="O29" i="49" s="1"/>
  <c r="L13" i="49"/>
  <c r="C43" i="49" l="1"/>
  <c r="C41" i="49"/>
  <c r="C42" i="49"/>
  <c r="L14" i="49"/>
  <c r="I15" i="49"/>
  <c r="I43" i="49"/>
  <c r="C44" i="49" s="1"/>
  <c r="I44" i="49" l="1"/>
  <c r="M15" i="49"/>
  <c r="L15" i="49"/>
  <c r="Q15" i="49" s="1"/>
  <c r="I26" i="49"/>
  <c r="I27" i="49" s="1"/>
  <c r="L17" i="49" l="1"/>
  <c r="N17" i="46"/>
  <c r="L24" i="46"/>
  <c r="N26" i="46" l="1"/>
  <c r="O26" i="46" s="1"/>
  <c r="L29" i="46"/>
  <c r="N22" i="46"/>
  <c r="E14" i="46"/>
  <c r="F29" i="46" s="1"/>
  <c r="L28" i="46"/>
  <c r="L31" i="46" l="1"/>
  <c r="L33" i="46" s="1"/>
  <c r="L23" i="46"/>
  <c r="L25" i="46"/>
  <c r="O23" i="46"/>
  <c r="P23" i="46" s="1"/>
  <c r="E20" i="46"/>
  <c r="N21" i="46" s="1"/>
  <c r="L26" i="46" l="1"/>
  <c r="F36" i="46"/>
  <c r="I36" i="46" s="1"/>
  <c r="E22" i="46" s="1"/>
  <c r="F35" i="46"/>
  <c r="I35" i="46" s="1"/>
  <c r="E21" i="46" s="1"/>
  <c r="F37" i="46"/>
  <c r="I37" i="46" s="1"/>
  <c r="F38" i="46"/>
  <c r="I38" i="46" s="1"/>
  <c r="E23" i="46" s="1"/>
  <c r="E25" i="46" l="1"/>
  <c r="I14" i="46" s="1"/>
  <c r="O22" i="46"/>
  <c r="N31" i="46" l="1"/>
  <c r="N29" i="46" s="1"/>
  <c r="I39" i="46" s="1"/>
  <c r="I13" i="46"/>
  <c r="K13" i="46" s="1"/>
  <c r="I15" i="46"/>
  <c r="K14" i="46"/>
  <c r="I43" i="46"/>
  <c r="C44" i="46" s="1"/>
  <c r="I16" i="46"/>
  <c r="K16" i="46" s="1"/>
  <c r="L15" i="46"/>
  <c r="K15" i="46"/>
  <c r="I44" i="46"/>
  <c r="I41" i="46" l="1"/>
  <c r="I25" i="46"/>
  <c r="I40" i="46" s="1"/>
  <c r="K17" i="46"/>
  <c r="I42" i="46"/>
  <c r="P15" i="46"/>
  <c r="I26" i="46" l="1"/>
  <c r="I27" i="46" s="1"/>
  <c r="R19" i="47"/>
  <c r="R21" i="47"/>
  <c r="P20" i="47"/>
  <c r="C28" i="47"/>
  <c r="T17" i="47" s="1"/>
  <c r="C29" i="47" l="1"/>
  <c r="F35" i="47" s="1"/>
  <c r="J35" i="47" s="1"/>
  <c r="E19" i="47" s="1"/>
  <c r="M35" i="47" s="1"/>
  <c r="M32" i="47"/>
  <c r="F34" i="47" l="1"/>
  <c r="J34" i="47" s="1"/>
  <c r="E18" i="47" s="1"/>
  <c r="F36" i="47"/>
  <c r="J36" i="47" s="1"/>
  <c r="F37" i="47"/>
  <c r="J37" i="47" s="1"/>
  <c r="E20" i="47" l="1"/>
  <c r="M36" i="47" s="1"/>
  <c r="M34" i="47"/>
  <c r="E26" i="47" l="1"/>
  <c r="P21" i="47" s="1"/>
  <c r="P19" i="47" s="1"/>
  <c r="J24" i="47" s="1"/>
  <c r="U21" i="47"/>
  <c r="W21" i="47" s="1"/>
  <c r="W19" i="47" l="1"/>
  <c r="C41" i="47"/>
  <c r="J13" i="47"/>
  <c r="M13" i="47" s="1"/>
  <c r="J16" i="47"/>
  <c r="M16" i="47" s="1"/>
  <c r="C44" i="47"/>
  <c r="C42" i="47"/>
  <c r="J14" i="47"/>
  <c r="J15" i="47" s="1"/>
  <c r="P23" i="47"/>
  <c r="J39" i="47"/>
  <c r="C40" i="47" s="1"/>
  <c r="J25" i="47"/>
  <c r="J44" i="47" l="1"/>
  <c r="M44" i="47" s="1"/>
  <c r="J42" i="47"/>
  <c r="M42" i="47" s="1"/>
  <c r="J41" i="47"/>
  <c r="M41" i="47" s="1"/>
  <c r="M14" i="47"/>
  <c r="J43" i="47"/>
  <c r="C43" i="47" s="1"/>
  <c r="M15" i="47"/>
  <c r="N15" i="47"/>
  <c r="J40" i="47"/>
  <c r="M40" i="47" s="1"/>
  <c r="J26" i="47"/>
  <c r="J27" i="47" s="1"/>
  <c r="M39" i="47"/>
  <c r="M17" i="47" l="1"/>
  <c r="R15" i="47"/>
  <c r="M43" i="47"/>
  <c r="C29" i="41"/>
  <c r="F35" i="41" s="1"/>
  <c r="J35" i="41" s="1"/>
  <c r="F34" i="41" l="1"/>
  <c r="J34" i="41" s="1"/>
  <c r="E18" i="41" s="1"/>
  <c r="M34" i="41" s="1"/>
  <c r="F36" i="41"/>
  <c r="J36" i="41" s="1"/>
  <c r="E19" i="41"/>
  <c r="E21" i="41"/>
  <c r="F37" i="41"/>
  <c r="J37" i="41" s="1"/>
  <c r="E20" i="41" l="1"/>
  <c r="M36" i="41" s="1"/>
  <c r="M35" i="41"/>
  <c r="E26" i="41" l="1"/>
  <c r="P21" i="41" s="1"/>
  <c r="P19" i="41" s="1"/>
  <c r="J24" i="41" s="1"/>
  <c r="C42" i="41" l="1"/>
  <c r="J16" i="41"/>
  <c r="C41" i="41"/>
  <c r="J13" i="41"/>
  <c r="J14" i="41"/>
  <c r="C44" i="41"/>
  <c r="P23" i="41"/>
  <c r="J44" i="41" l="1"/>
  <c r="M44" i="41" s="1"/>
  <c r="M16" i="41"/>
  <c r="J25" i="41"/>
  <c r="J39" i="41"/>
  <c r="C40" i="41" s="1"/>
  <c r="J41" i="41"/>
  <c r="M41" i="41" s="1"/>
  <c r="M13" i="41"/>
  <c r="J42" i="41"/>
  <c r="M42" i="41" s="1"/>
  <c r="J15" i="41"/>
  <c r="M14" i="41"/>
  <c r="M15" i="41" l="1"/>
  <c r="M17" i="41" s="1"/>
  <c r="J43" i="41"/>
  <c r="C43" i="41" s="1"/>
  <c r="N15" i="41"/>
  <c r="J40" i="41"/>
  <c r="M40" i="41" s="1"/>
  <c r="J26" i="41"/>
  <c r="J27" i="41" s="1"/>
  <c r="M39" i="41"/>
  <c r="R15" i="41" l="1"/>
  <c r="M43" i="41"/>
  <c r="P20" i="42"/>
  <c r="C29" i="42"/>
  <c r="F34" i="42" s="1"/>
  <c r="F35" i="42" l="1"/>
  <c r="J35" i="42" s="1"/>
  <c r="J34" i="42"/>
  <c r="E18" i="42" s="1"/>
  <c r="M34" i="42" s="1"/>
  <c r="T17" i="42"/>
  <c r="E26" i="42" l="1"/>
  <c r="P21" i="42" l="1"/>
  <c r="P19" i="42" s="1"/>
  <c r="J24" i="42" s="1"/>
  <c r="C39" i="42" l="1"/>
  <c r="C42" i="42"/>
  <c r="J13" i="42"/>
  <c r="J14" i="42"/>
  <c r="C40" i="42"/>
  <c r="P23" i="42"/>
  <c r="J16" i="42"/>
  <c r="J40" i="42" l="1"/>
  <c r="M40" i="42" s="1"/>
  <c r="J15" i="42"/>
  <c r="M14" i="42"/>
  <c r="J39" i="42"/>
  <c r="M39" i="42" s="1"/>
  <c r="M13" i="42"/>
  <c r="J37" i="42"/>
  <c r="J25" i="42"/>
  <c r="M16" i="42"/>
  <c r="J42" i="42"/>
  <c r="M42" i="42" s="1"/>
  <c r="J26" i="42" l="1"/>
  <c r="J27" i="42" s="1"/>
  <c r="C38" i="42"/>
  <c r="M37" i="42"/>
  <c r="J38" i="42"/>
  <c r="M38" i="42" s="1"/>
  <c r="J41" i="42"/>
  <c r="C41" i="42" s="1"/>
  <c r="M15" i="42"/>
  <c r="R15" i="42" s="1"/>
  <c r="N15" i="42"/>
  <c r="M17" i="42" l="1"/>
  <c r="M41" i="4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내 문서</author>
  </authors>
  <commentList>
    <comment ref="A2" authorId="0" shapeId="0" xr:uid="{6CC25318-FE07-41AF-B470-B0336617E3C3}">
      <text>
        <r>
          <rPr>
            <b/>
            <sz val="9"/>
            <color indexed="81"/>
            <rFont val="Tahoma"/>
            <family val="2"/>
          </rPr>
          <t>1968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북한의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특수부대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청와대를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습격하여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박정희를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살해하려던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일어났다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1968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11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21</t>
        </r>
        <r>
          <rPr>
            <b/>
            <sz val="9"/>
            <color indexed="81"/>
            <rFont val="돋움"/>
            <family val="3"/>
            <charset val="129"/>
          </rPr>
          <t>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식별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주민등록증을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발급하면서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전국민에게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식별번호를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시작했다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처음에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주민등록번호는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자리였고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생년월일은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적혀있지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박정희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대통령은</t>
        </r>
        <r>
          <rPr>
            <b/>
            <sz val="9"/>
            <color indexed="81"/>
            <rFont val="Tahoma"/>
            <family val="2"/>
          </rPr>
          <t xml:space="preserve"> 110101-100001</t>
        </r>
        <r>
          <rPr>
            <b/>
            <sz val="9"/>
            <color indexed="81"/>
            <rFont val="돋움"/>
            <family val="3"/>
            <charset val="129"/>
          </rPr>
          <t>번을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영부인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육영수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여사는</t>
        </r>
        <r>
          <rPr>
            <b/>
            <sz val="9"/>
            <color indexed="81"/>
            <rFont val="Tahoma"/>
            <family val="2"/>
          </rPr>
          <t xml:space="preserve"> 110101-200002</t>
        </r>
        <r>
          <rPr>
            <b/>
            <sz val="9"/>
            <color indexed="81"/>
            <rFont val="돋움"/>
            <family val="3"/>
            <charset val="129"/>
          </rPr>
          <t>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부여받았다</t>
        </r>
        <r>
          <rPr>
            <b/>
            <sz val="9"/>
            <color indexed="81"/>
            <rFont val="Tahoma"/>
            <family val="2"/>
          </rPr>
          <t>.[1] 1975</t>
        </r>
        <r>
          <rPr>
            <b/>
            <sz val="9"/>
            <color indexed="81"/>
            <rFont val="돋움"/>
            <family val="3"/>
            <charset val="129"/>
          </rPr>
          <t>년부터</t>
        </r>
        <r>
          <rPr>
            <b/>
            <sz val="9"/>
            <color indexed="81"/>
            <rFont val="Tahoma"/>
            <family val="2"/>
          </rPr>
          <t xml:space="preserve"> 13</t>
        </r>
        <r>
          <rPr>
            <b/>
            <sz val="9"/>
            <color indexed="81"/>
            <rFont val="돋움"/>
            <family val="3"/>
            <charset val="129"/>
          </rPr>
          <t>자리로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바뀌고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앞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자리는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생년월일이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남북통일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자리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번호로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전망이다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B8" authorId="0" shapeId="0" xr:uid="{ECBBE4AC-6AE3-442B-ACF3-6C14D8D57C62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ㄱㄴㄷㄹㅁㅂ</t>
        </r>
        <r>
          <rPr>
            <b/>
            <sz val="9"/>
            <color indexed="81"/>
            <rFont val="Tahoma"/>
            <family val="2"/>
          </rPr>
          <t xml:space="preserve">’ </t>
        </r>
        <r>
          <rPr>
            <b/>
            <sz val="9"/>
            <color indexed="81"/>
            <rFont val="돋움"/>
            <family val="3"/>
            <charset val="129"/>
          </rPr>
          <t>여섯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숫자는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생년월일이다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</t>
        </r>
        <r>
          <rPr>
            <b/>
            <sz val="9"/>
            <color indexed="81"/>
            <rFont val="Tahoma"/>
            <family val="2"/>
          </rPr>
          <t xml:space="preserve"> 1995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사람에게는</t>
        </r>
        <r>
          <rPr>
            <b/>
            <sz val="9"/>
            <color indexed="81"/>
            <rFont val="Tahoma"/>
            <family val="2"/>
          </rPr>
          <t xml:space="preserve"> 950630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8" authorId="0" shapeId="0" xr:uid="{A245CE36-ED28-4085-A4A8-B80CF18F35E6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ㅅ</t>
        </r>
        <r>
          <rPr>
            <b/>
            <sz val="9"/>
            <color indexed="81"/>
            <rFont val="Tahoma"/>
            <family val="2"/>
          </rPr>
          <t>’</t>
        </r>
        <r>
          <rPr>
            <b/>
            <sz val="9"/>
            <color indexed="81"/>
            <rFont val="돋움"/>
            <family val="3"/>
            <charset val="129"/>
          </rPr>
          <t>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나타낸다</t>
        </r>
        <r>
          <rPr>
            <b/>
            <sz val="9"/>
            <color indexed="81"/>
            <rFont val="Tahoma"/>
            <family val="2"/>
          </rPr>
          <t>. 
9: 1800 ~ 1899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남성</t>
        </r>
        <r>
          <rPr>
            <b/>
            <sz val="9"/>
            <color indexed="81"/>
            <rFont val="Tahoma"/>
            <family val="2"/>
          </rPr>
          <t xml:space="preserve"> 
0: 1800 ~ 1899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
1: 1900 ~ 1999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남성</t>
        </r>
        <r>
          <rPr>
            <b/>
            <sz val="9"/>
            <color indexed="81"/>
            <rFont val="Tahoma"/>
            <family val="2"/>
          </rPr>
          <t xml:space="preserve"> 
2: 1900 ~ 1999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
3: 2000 ~ 2099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남성</t>
        </r>
        <r>
          <rPr>
            <b/>
            <sz val="9"/>
            <color indexed="81"/>
            <rFont val="Tahoma"/>
            <family val="2"/>
          </rPr>
          <t xml:space="preserve"> 
4: 2000 ~ 2099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
5: 1900 ~ 1999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남성</t>
        </r>
        <r>
          <rPr>
            <b/>
            <sz val="9"/>
            <color indexed="81"/>
            <rFont val="Tahoma"/>
            <family val="2"/>
          </rPr>
          <t xml:space="preserve"> 
6: 1900 ~ 1999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
7: 2000 ~ 2099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남성</t>
        </r>
        <r>
          <rPr>
            <b/>
            <sz val="9"/>
            <color indexed="81"/>
            <rFont val="Tahoma"/>
            <family val="2"/>
          </rPr>
          <t xml:space="preserve"> 
8: 2000 ~ 2099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뒷자리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번호가</t>
        </r>
        <r>
          <rPr>
            <b/>
            <sz val="9"/>
            <color indexed="81"/>
            <rFont val="Tahoma"/>
            <family val="2"/>
          </rPr>
          <t xml:space="preserve"> 5,6,7,8</t>
        </r>
        <r>
          <rPr>
            <b/>
            <sz val="9"/>
            <color indexed="81"/>
            <rFont val="돋움"/>
            <family val="3"/>
            <charset val="129"/>
          </rPr>
          <t>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시작하면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주민등록번호가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등록번호이다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D8" authorId="0" shapeId="0" xr:uid="{C41EBC8D-51F9-4AE6-A684-B600BA74360D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ㅇㅈㅊㅋ</t>
        </r>
        <r>
          <rPr>
            <b/>
            <sz val="9"/>
            <color indexed="81"/>
            <rFont val="Tahoma"/>
            <family val="2"/>
          </rPr>
          <t>’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출생등록지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출생신고한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사무소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고유번호로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읍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면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동마다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행정안전부에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주민등록번호에서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표기될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출생등록지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숫자와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
주민등록번호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자체만으로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예를들어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출생지이지만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사무소에서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출생등록을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하였다면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주민등록번호상에서는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숫자가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나온다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출생지는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기본증명서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</text>
    </comment>
    <comment ref="E8" authorId="0" shapeId="0" xr:uid="{5C022DFE-ABE9-41C6-A7CD-959402605680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ㅇㅈ</t>
        </r>
        <r>
          <rPr>
            <b/>
            <sz val="9"/>
            <color indexed="81"/>
            <rFont val="Tahoma"/>
            <family val="2"/>
          </rPr>
          <t>’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출생등록지에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고유번호이다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 : 00~08, </t>
        </r>
        <r>
          <rPr>
            <b/>
            <sz val="9"/>
            <color indexed="81"/>
            <rFont val="돋움"/>
            <family val="3"/>
            <charset val="129"/>
          </rPr>
          <t>부산</t>
        </r>
        <r>
          <rPr>
            <b/>
            <sz val="9"/>
            <color indexed="81"/>
            <rFont val="Tahoma"/>
            <family val="2"/>
          </rPr>
          <t xml:space="preserve"> : 09~12,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 : 13~15 
</t>
        </r>
        <r>
          <rPr>
            <b/>
            <sz val="9"/>
            <color indexed="81"/>
            <rFont val="돋움"/>
            <family val="3"/>
            <charset val="129"/>
          </rPr>
          <t>경기도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주요도시</t>
        </r>
        <r>
          <rPr>
            <b/>
            <sz val="9"/>
            <color indexed="81"/>
            <rFont val="Tahoma"/>
            <family val="2"/>
          </rPr>
          <t xml:space="preserve"> : 16~18, </t>
        </r>
        <r>
          <rPr>
            <b/>
            <sz val="9"/>
            <color indexed="81"/>
            <rFont val="돋움"/>
            <family val="3"/>
            <charset val="129"/>
          </rPr>
          <t>그외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지역</t>
        </r>
        <r>
          <rPr>
            <b/>
            <sz val="9"/>
            <color indexed="81"/>
            <rFont val="Tahoma"/>
            <family val="2"/>
          </rPr>
          <t xml:space="preserve"> : 19~25 
</t>
        </r>
        <r>
          <rPr>
            <b/>
            <sz val="9"/>
            <color indexed="81"/>
            <rFont val="돋움"/>
            <family val="3"/>
            <charset val="129"/>
          </rPr>
          <t>강원도</t>
        </r>
        <r>
          <rPr>
            <b/>
            <sz val="9"/>
            <color indexed="81"/>
            <rFont val="Tahoma"/>
            <family val="2"/>
          </rPr>
          <t xml:space="preserve"> : 26~34, </t>
        </r>
        <r>
          <rPr>
            <b/>
            <sz val="9"/>
            <color indexed="81"/>
            <rFont val="돋움"/>
            <family val="3"/>
            <charset val="129"/>
          </rPr>
          <t>충청북도</t>
        </r>
        <r>
          <rPr>
            <b/>
            <sz val="9"/>
            <color indexed="81"/>
            <rFont val="Tahoma"/>
            <family val="2"/>
          </rPr>
          <t xml:space="preserve"> : 35~39, </t>
        </r>
        <r>
          <rPr>
            <b/>
            <sz val="9"/>
            <color indexed="81"/>
            <rFont val="돋움"/>
            <family val="3"/>
            <charset val="129"/>
          </rPr>
          <t>충청남도</t>
        </r>
        <r>
          <rPr>
            <b/>
            <sz val="9"/>
            <color indexed="81"/>
            <rFont val="Tahoma"/>
            <family val="2"/>
          </rPr>
          <t xml:space="preserve"> : 40~47 
</t>
        </r>
        <r>
          <rPr>
            <b/>
            <sz val="9"/>
            <color indexed="81"/>
            <rFont val="돋움"/>
            <family val="3"/>
            <charset val="129"/>
          </rPr>
          <t>전라북도</t>
        </r>
        <r>
          <rPr>
            <b/>
            <sz val="9"/>
            <color indexed="81"/>
            <rFont val="Tahoma"/>
            <family val="2"/>
          </rPr>
          <t xml:space="preserve"> : 48~54, </t>
        </r>
        <r>
          <rPr>
            <b/>
            <sz val="9"/>
            <color indexed="81"/>
            <rFont val="돋움"/>
            <family val="3"/>
            <charset val="129"/>
          </rPr>
          <t>전라남도</t>
        </r>
        <r>
          <rPr>
            <b/>
            <sz val="9"/>
            <color indexed="81"/>
            <rFont val="Tahoma"/>
            <family val="2"/>
          </rPr>
          <t xml:space="preserve"> 55~66, </t>
        </r>
        <r>
          <rPr>
            <b/>
            <sz val="9"/>
            <color indexed="81"/>
            <rFont val="돋움"/>
            <family val="3"/>
            <charset val="129"/>
          </rPr>
          <t>경상남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북도</t>
        </r>
        <r>
          <rPr>
            <b/>
            <sz val="9"/>
            <color indexed="81"/>
            <rFont val="Tahoma"/>
            <family val="2"/>
          </rPr>
          <t xml:space="preserve"> : 67~90 
</t>
        </r>
      </text>
    </comment>
    <comment ref="F8" authorId="0" shapeId="0" xr:uid="{0124C193-5D85-4DEA-9EBB-D04B7A4AB9FC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ㅊㅋ</t>
        </r>
        <r>
          <rPr>
            <b/>
            <sz val="9"/>
            <color indexed="81"/>
            <rFont val="Tahoma"/>
            <family val="2"/>
          </rPr>
          <t>’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출생등록을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읍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면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동사무소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고유번호이다</t>
        </r>
        <r>
          <rPr>
            <b/>
            <sz val="9"/>
            <color indexed="81"/>
            <rFont val="Tahoma"/>
            <family val="2"/>
          </rPr>
          <t xml:space="preserve">. 
</t>
        </r>
      </text>
    </comment>
    <comment ref="G8" authorId="0" shapeId="0" xr:uid="{046E2F42-E40C-4D88-B0E9-03ADB7FFA7F4}">
      <text>
        <r>
          <rPr>
            <b/>
            <sz val="9"/>
            <color indexed="81"/>
            <rFont val="Tahoma"/>
            <family val="2"/>
          </rPr>
          <t>‘</t>
        </r>
        <r>
          <rPr>
            <b/>
            <sz val="9"/>
            <color indexed="81"/>
            <rFont val="돋움"/>
            <family val="3"/>
            <charset val="129"/>
          </rPr>
          <t>ㅌ</t>
        </r>
        <r>
          <rPr>
            <b/>
            <sz val="9"/>
            <color indexed="81"/>
            <rFont val="Tahoma"/>
            <family val="2"/>
          </rPr>
          <t>’</t>
        </r>
        <r>
          <rPr>
            <b/>
            <sz val="9"/>
            <color indexed="81"/>
            <rFont val="돋움"/>
            <family val="3"/>
            <charset val="129"/>
          </rPr>
          <t>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일련번호로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사무소에서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출생신고를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순서이다</t>
        </r>
        <r>
          <rPr>
            <b/>
            <sz val="9"/>
            <color indexed="81"/>
            <rFont val="Tahoma"/>
            <family val="2"/>
          </rPr>
          <t>. (</t>
        </r>
        <r>
          <rPr>
            <b/>
            <sz val="9"/>
            <color indexed="81"/>
            <rFont val="돋움"/>
            <family val="3"/>
            <charset val="129"/>
          </rPr>
          <t>출생지역의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출생신고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순번</t>
        </r>
        <r>
          <rPr>
            <b/>
            <sz val="9"/>
            <color indexed="81"/>
            <rFont val="Tahoma"/>
            <family val="2"/>
          </rPr>
          <t xml:space="preserve">
(9) </t>
        </r>
        <r>
          <rPr>
            <b/>
            <sz val="9"/>
            <color indexed="81"/>
            <rFont val="돋움"/>
            <family val="3"/>
            <charset val="129"/>
          </rPr>
          <t>순수외국인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외국인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(8) </t>
        </r>
        <r>
          <rPr>
            <b/>
            <sz val="9"/>
            <color indexed="81"/>
            <rFont val="돋움"/>
            <family val="3"/>
            <charset val="129"/>
          </rPr>
          <t>재외국민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재외국민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(7) </t>
        </r>
        <r>
          <rPr>
            <b/>
            <sz val="9"/>
            <color indexed="81"/>
            <rFont val="돋움"/>
            <family val="3"/>
            <charset val="129"/>
          </rPr>
          <t>외국국적동포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해외국적동포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H8" authorId="0" shapeId="0" xr:uid="{5D11C0EB-328C-4340-92E3-2811F15780D6}">
      <text>
        <r>
          <rPr>
            <sz val="9"/>
            <color indexed="81"/>
            <rFont val="돋움"/>
            <family val="3"/>
            <charset val="129"/>
          </rPr>
          <t>검증숫자</t>
        </r>
        <r>
          <rPr>
            <sz val="9"/>
            <color indexed="81"/>
            <rFont val="Tahoma"/>
            <family val="2"/>
          </rPr>
          <t xml:space="preserve">
‘</t>
        </r>
        <r>
          <rPr>
            <sz val="9"/>
            <color indexed="81"/>
            <rFont val="돋움"/>
            <family val="3"/>
            <charset val="129"/>
          </rPr>
          <t>ㅍ</t>
        </r>
        <r>
          <rPr>
            <sz val="9"/>
            <color indexed="81"/>
            <rFont val="Tahoma"/>
            <family val="2"/>
          </rPr>
          <t>’</t>
        </r>
        <r>
          <rPr>
            <sz val="9"/>
            <color indexed="81"/>
            <rFont val="돋움"/>
            <family val="3"/>
            <charset val="129"/>
          </rPr>
          <t>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숫자로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특수한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규칙으로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만든다</t>
        </r>
        <r>
          <rPr>
            <sz val="9"/>
            <color indexed="81"/>
            <rFont val="Tahoma"/>
            <family val="2"/>
          </rPr>
          <t xml:space="preserve">.[6] </t>
        </r>
      </text>
    </comment>
    <comment ref="A32" authorId="1" shapeId="0" xr:uid="{7577B211-2E9D-4110-891D-F917440EE86F}">
      <text>
        <r>
          <rPr>
            <b/>
            <sz val="9"/>
            <color indexed="81"/>
            <rFont val="돋움"/>
            <family val="3"/>
            <charset val="129"/>
          </rPr>
          <t>"-" 입력하지 마시오</t>
        </r>
      </text>
    </comment>
    <comment ref="B32" authorId="0" shapeId="0" xr:uid="{B7D32F93-620A-4670-95CB-615B8F0191FC}">
      <text>
        <r>
          <rPr>
            <b/>
            <sz val="9"/>
            <color indexed="81"/>
            <rFont val="돋움"/>
            <family val="3"/>
            <charset val="129"/>
          </rPr>
          <t>주민등록번호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번호</t>
        </r>
      </text>
    </comment>
    <comment ref="D32" authorId="0" shapeId="0" xr:uid="{CE346B0D-2AF7-49ED-BD21-370326240852}">
      <text>
        <r>
          <rPr>
            <b/>
            <sz val="9"/>
            <color indexed="81"/>
            <rFont val="돋움"/>
            <family val="3"/>
            <charset val="129"/>
          </rPr>
          <t>컴퓨터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시스템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날짜임</t>
        </r>
      </text>
    </comment>
    <comment ref="K32" authorId="0" shapeId="0" xr:uid="{4F36411F-11E9-4983-A99B-14EAD44204D4}">
      <text>
        <r>
          <rPr>
            <b/>
            <sz val="9"/>
            <color indexed="81"/>
            <rFont val="Tahoma"/>
            <family val="2"/>
          </rPr>
          <t>([</t>
        </r>
        <r>
          <rPr>
            <b/>
            <sz val="9"/>
            <color indexed="81"/>
            <rFont val="돋움"/>
            <family val="3"/>
            <charset val="129"/>
          </rPr>
          <t>ㅇ</t>
        </r>
        <r>
          <rPr>
            <b/>
            <sz val="9"/>
            <color indexed="81"/>
            <rFont val="Tahoma"/>
            <family val="2"/>
          </rPr>
          <t>]*10 + [</t>
        </r>
        <r>
          <rPr>
            <b/>
            <sz val="9"/>
            <color indexed="81"/>
            <rFont val="돋움"/>
            <family val="3"/>
            <charset val="129"/>
          </rPr>
          <t>ㅈ</t>
        </r>
        <r>
          <rPr>
            <b/>
            <sz val="9"/>
            <color indexed="81"/>
            <rFont val="Tahoma"/>
            <family val="2"/>
          </rPr>
          <t>])%2=0</t>
        </r>
        <r>
          <rPr>
            <b/>
            <sz val="9"/>
            <color indexed="81"/>
            <rFont val="돋움"/>
            <family val="3"/>
            <charset val="129"/>
          </rPr>
          <t>이어야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5C2413A6-D1B7-4EE3-9CAB-AE25522143EC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C7ABBAB9-42CD-4F6F-B91B-C68E823127EB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90C7B986-CBD6-4133-8A95-B44B64EFEEFB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4208DAB2-F015-4ACC-8780-5433826843A4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203ECF14-EE8F-4451-AA84-E840C47F6393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6AB5AAB0-A307-4333-9342-C587DC00BA73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F97EB681-599B-48F4-93E1-8DF8DFBB8AE9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35125D33-8EA8-421D-96F9-768BC557FF4B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225FEB52-2141-4298-A588-B5C4FB11088C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73699D3E-8251-4351-B4A1-9C561F1CAD77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G13" authorId="0" shapeId="0" xr:uid="{B964BEA7-86E9-4B28-B88F-29ABCB316E7D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L13" authorId="0" shapeId="0" xr:uid="{6F1A431C-0EA2-4FED-AFF7-A4FA17A072E3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B14" authorId="0" shapeId="0" xr:uid="{AFF8C89B-7229-4ECA-A3E8-A46304E5F626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E14" authorId="0" shapeId="0" xr:uid="{0326BC29-CDAE-4F19-9243-961F774DDA00}">
      <text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소정근로시간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
초과는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</t>
        </r>
      </text>
    </comment>
    <comment ref="G14" authorId="0" shapeId="0" xr:uid="{227591F7-D5C3-4386-B8E5-3CD5EDF8643A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E38E89C1-8ECF-484B-8B0A-90A633722136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43456EF7-BD1B-4BF8-ADCD-3C4C0CFDFA98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L16" authorId="0" shapeId="0" xr:uid="{17E6565C-5D23-40CC-B586-31C2E1B1D1CE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N16" authorId="0" shapeId="0" xr:uid="{6C642E46-9EBE-4DE4-A60C-2A07CA4200DC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C6C180F5-D32F-4389-BD56-EA38C874AEF9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0" authorId="0" shapeId="0" xr:uid="{2F41078C-8E2D-4C7F-8479-2074B223C75A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26" authorId="0" shapeId="0" xr:uid="{C2F5F69A-C801-4D04-B1BD-79BF38AD1AA4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</text>
    </comment>
    <comment ref="C26" authorId="0" shapeId="0" xr:uid="{BA8FE78B-4B80-4C30-BC7B-1ED4B29081BB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6" authorId="0" shapeId="0" xr:uid="{D3CF301B-9162-4435-B399-5BBCB5FBDB12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I27" authorId="0" shapeId="0" xr:uid="{01FC66C9-BC24-429C-88F7-1B2B5FB674E2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G28" authorId="0" shapeId="0" xr:uid="{713048B9-9BCE-4F21-B7C4-AA63A5F94A83}">
      <text>
        <r>
          <rPr>
            <b/>
            <sz val="9"/>
            <color indexed="81"/>
            <rFont val="돋움"/>
            <family val="3"/>
            <charset val="129"/>
          </rPr>
          <t>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29" authorId="0" shapeId="0" xr:uid="{50745843-BB6B-4365-B8C6-0CE3F31A35E6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근로계약·취업규칙·단체협약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직종·근무형태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연장·야간·휴일근로수당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H29" authorId="0" shapeId="0" xr:uid="{4A7D39F7-4345-481A-8F94-377AC9D189BC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6BCB7CA4-0E30-4F61-85D8-4B66E975F497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81608D0F-858C-4FD2-B590-59EE16430F92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C8ACE385-FC7B-421D-B598-68B1F847D668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202B1DD0-E846-440E-B139-2741C7F3D497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</t>
        </r>
      </text>
    </comment>
    <comment ref="J30" authorId="0" shapeId="0" xr:uid="{A4652FBB-A576-4C5B-8967-107C4D0FB4D7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F52645C2-F028-4F87-99DE-BD2E1878C3A3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6B9427C4-EFB4-4A34-82E4-004C21567A77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71C2B69C-8727-43A0-9024-38F62E7692CF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N35" authorId="0" shapeId="0" xr:uid="{670E8027-8878-41DA-86AF-D376925CCBD0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F36" authorId="0" shapeId="0" xr:uid="{70D4FB48-C0E0-4750-9C25-1C10BE421BBC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E52C7D95-9240-4FBD-9977-815D330A9D3E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O37" authorId="0" shapeId="0" xr:uid="{CA6B01A2-9A86-45B2-8F52-6CC9818CBA8E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8" authorId="0" shapeId="0" xr:uid="{3C4988A7-CB47-4D96-A71F-F593E2CBCF67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40" authorId="0" shapeId="0" xr:uid="{F720FC2F-EC4D-4D77-8E80-28E16B41A03D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50674EA5-219C-4DB4-A913-3075C4A8A262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C442C3E1-A74B-4D25-A407-85E9A1F1CC47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C71A8B58-3AC3-4AAA-A973-54E173B0F56C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5840D4AF-039E-4523-A70E-90F273114352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C52EA575-2BF4-4A04-8092-B4897D81DDEE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C4933A77-6431-4243-B9F2-81F0DD01AD7E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3365E086-A23E-4586-9FB3-E6D281BD820A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DEF67614-F8CA-4F92-80EA-D37B4896894F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F3DF8E57-FEE2-4ED0-8734-855C59E49C3E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902E1A46-2763-43BC-B6E0-D637E07333B8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ED93D991-C5DD-4A8F-A490-833D281CB176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G13" authorId="0" shapeId="0" xr:uid="{89C5EBD6-7EF3-4AA4-8C76-131F57B08FAE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L13" authorId="0" shapeId="0" xr:uid="{ECD8B58C-D275-419A-9992-C34F6EFE11AE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B14" authorId="0" shapeId="0" xr:uid="{44E5050B-3F4A-433D-8736-1320F675BC67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E14" authorId="0" shapeId="0" xr:uid="{E63B0B2D-00D0-4FE3-B310-88DE80D7D89A}">
      <text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소정근로시간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
초과는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</t>
        </r>
      </text>
    </comment>
    <comment ref="G14" authorId="0" shapeId="0" xr:uid="{0E154E4B-9842-44D4-A82A-ED8C23A32124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9BB75CA3-0C5E-4297-97C7-22144D785C2B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108617E7-EC8E-4DA2-83E9-BD676D319DF6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L16" authorId="0" shapeId="0" xr:uid="{310A33DF-F71E-4B46-ABC7-FD64B3B739C3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N16" authorId="0" shapeId="0" xr:uid="{6A98831F-6F5B-4DCF-BC2B-468B0133C5F8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D080F29A-787C-4B07-A28B-C9ED646EFB2B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0" authorId="0" shapeId="0" xr:uid="{5D4E468C-182A-4097-AC9D-79671CE7A6A4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26" authorId="0" shapeId="0" xr:uid="{6F70D30E-0EBA-433F-B93B-986F86DC8B73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</text>
    </comment>
    <comment ref="C26" authorId="0" shapeId="0" xr:uid="{9A90A762-460B-45D0-8CE6-F7A9979DB032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6" authorId="0" shapeId="0" xr:uid="{ED916BCA-357A-48F0-8F08-F2DFDACC6E4B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I27" authorId="0" shapeId="0" xr:uid="{92EF282E-9F7A-4ADC-BE16-0E61ADA41E9A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G28" authorId="0" shapeId="0" xr:uid="{69B2C39C-8555-4A40-BA20-6AE4ABFEC8C6}">
      <text>
        <r>
          <rPr>
            <b/>
            <sz val="9"/>
            <color indexed="81"/>
            <rFont val="돋움"/>
            <family val="3"/>
            <charset val="129"/>
          </rPr>
          <t>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29" authorId="0" shapeId="0" xr:uid="{0498287C-D79D-4874-9AE1-7D10894F4F6D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근로계약·취업규칙·단체협약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직종·근무형태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연장·야간·휴일근로수당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H29" authorId="0" shapeId="0" xr:uid="{4FE2910F-E9BD-414F-AEE5-01C90A5D929C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56BF65D5-D700-4FA3-9136-FB41D18A1D8B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A94CD8CB-BF35-41D0-BAA3-9AFABCB67A74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4EC9EBCB-0F9A-4C8D-B624-92CC36BBFF9A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70F90CB0-9D19-4219-8E37-4FC60A76012D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</t>
        </r>
      </text>
    </comment>
    <comment ref="J30" authorId="0" shapeId="0" xr:uid="{9DC74DD8-BE6C-4D78-9182-FD85D158ABB1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7290B7B4-9127-4AAB-9A26-EC43F28E7574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AA5C3F26-FAD2-4D94-9B99-DF064828072B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1B518992-2C1A-4119-B1E9-D91818839753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N35" authorId="0" shapeId="0" xr:uid="{DC38DAC9-81C4-42D0-8583-877D3734DEE3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F36" authorId="0" shapeId="0" xr:uid="{E5AC4A4F-70CE-4D94-88E2-42FE7BB20E12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84722EA3-C705-42F5-AC93-B4BEB7E7C977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O37" authorId="0" shapeId="0" xr:uid="{37D8CB17-58CA-4FDC-9FF2-23B360445267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8" authorId="0" shapeId="0" xr:uid="{CFE2446D-04DA-45ED-8962-E393CC5027AC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40" authorId="0" shapeId="0" xr:uid="{4935819C-D1A4-42F6-BE05-289B5BC481F5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CC909A62-9EFD-4C66-BC18-D249F8FC555B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EA02945C-9CF0-49B7-B47E-88FEEAF498BD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F19070AE-037D-43FE-954F-4EFE4C410982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50337D32-4F1B-449B-85D3-19D5DA63B38C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311F5B09-7AE8-4901-B1AD-DAD782AEF458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AB8DA1D2-0E15-43FD-BD6F-D2AD392DAF12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F8B6FC61-92D6-4C1D-A4A9-5933B7BE4A57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25BE1711-1C94-45A2-B582-E207A43F061B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DC571492-2692-4D38-832F-16B0822BD192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719F6665-D68D-4567-A1AC-A334B5CA96FF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CC28914A-DE00-470D-9F09-55471AC5854E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G13" authorId="0" shapeId="0" xr:uid="{D041E536-DB26-4527-9E4A-69F09F089FCF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L13" authorId="0" shapeId="0" xr:uid="{06CF5429-3087-44D0-813D-4FFAB367C3A3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B14" authorId="0" shapeId="0" xr:uid="{8FB1E23D-2DDB-4F19-A922-CEA1F9B9C95A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E14" authorId="0" shapeId="0" xr:uid="{D9E951AB-80B8-45DD-BC74-8B9FEC9AFFD8}">
      <text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소정근로시간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
초과는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</t>
        </r>
      </text>
    </comment>
    <comment ref="G14" authorId="0" shapeId="0" xr:uid="{DECA3AD2-56BF-4BE9-B545-7EE2308BEF17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ED4AF5B7-7A5D-458B-9A40-56B8CB05CD33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B78B0704-581E-440E-A3C1-C815CB4EF83E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L16" authorId="0" shapeId="0" xr:uid="{22AE5F7B-EDBC-483C-B6AA-CE6C5A529509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N16" authorId="0" shapeId="0" xr:uid="{64EE9E63-4AB9-47CF-8A62-6B23F7F28382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D965F0D4-064D-4357-A748-8028BF1CD21E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0" authorId="0" shapeId="0" xr:uid="{642B36BA-955E-412D-9635-FDE820EFA189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26" authorId="0" shapeId="0" xr:uid="{862E8F95-2CEE-4670-807C-AE82B638E1CA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</text>
    </comment>
    <comment ref="C26" authorId="0" shapeId="0" xr:uid="{D618C3A2-2F40-4DC7-B4EB-45C1A16BA728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6" authorId="0" shapeId="0" xr:uid="{C39FE680-04DF-4987-8AFD-BE4E44BCE6CD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I27" authorId="0" shapeId="0" xr:uid="{28C38797-D96B-4F80-8BA0-BB4E2CFC2D2C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G28" authorId="0" shapeId="0" xr:uid="{FA52948B-7713-488A-BFAC-AF3548184D4C}">
      <text>
        <r>
          <rPr>
            <b/>
            <sz val="9"/>
            <color indexed="81"/>
            <rFont val="돋움"/>
            <family val="3"/>
            <charset val="129"/>
          </rPr>
          <t>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29" authorId="0" shapeId="0" xr:uid="{EF64256B-44C6-4F54-864E-BF75107AF928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근로계약·취업규칙·단체협약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직종·근무형태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연장·야간·휴일근로수당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H29" authorId="0" shapeId="0" xr:uid="{F9511336-C1D4-4BB4-9856-4811E1347FFE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00FCD7C6-8EC1-4AD3-A29C-34785AB462EF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2007EFE4-CA64-4D55-8DE3-93A1D4BA6CF2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7DB6CB5D-3A8F-43A4-A686-0E43BA194722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127C1956-E510-424C-B97B-86225CEAF05C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</t>
        </r>
      </text>
    </comment>
    <comment ref="J30" authorId="0" shapeId="0" xr:uid="{60366ABB-205F-4593-BFE2-C55D5D4D1162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44DBB9B8-DD3C-4DF6-AA8D-4708A3A3BB89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56171B83-B752-4497-A148-D42A5F5E1FFC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19619585-D3EB-4638-A678-6B5D2F4F9DA1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N35" authorId="0" shapeId="0" xr:uid="{2B62F590-3960-4F92-B1C4-0DB42721922E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F36" authorId="0" shapeId="0" xr:uid="{1C442D05-888D-4F74-9C10-BBCFC42ECF36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EAF623BE-626C-4F43-861B-F268CBD93C69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O37" authorId="0" shapeId="0" xr:uid="{E11BE9D5-8709-4492-B094-D130B4452DA0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8" authorId="0" shapeId="0" xr:uid="{35D3947F-FE3B-4309-91C5-6C7827BD36A0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40" authorId="0" shapeId="0" xr:uid="{7B55756C-3F92-4D7B-A359-AE428D68D242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7667EAFB-983E-4F85-BCB9-9B67EE929AFA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5" authorId="0" shapeId="0" xr:uid="{C61BDE8D-6AA4-42A1-A735-883CEA3DE728}">
      <text>
        <r>
          <rPr>
            <b/>
            <sz val="9"/>
            <color indexed="81"/>
            <rFont val="돋움"/>
            <family val="3"/>
            <charset val="129"/>
          </rPr>
          <t>입사일</t>
        </r>
      </text>
    </comment>
    <comment ref="I5" authorId="0" shapeId="0" xr:uid="{446C0B4F-8500-422A-9BDB-6DB3095B4BE4}">
      <text>
        <r>
          <rPr>
            <b/>
            <sz val="9"/>
            <color indexed="81"/>
            <rFont val="돋움"/>
            <family val="3"/>
            <charset val="129"/>
          </rPr>
          <t>고용노동부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계산기
</t>
        </r>
        <r>
          <rPr>
            <b/>
            <sz val="9"/>
            <color indexed="81"/>
            <rFont val="Tahoma"/>
            <family val="2"/>
          </rPr>
          <t>http://www.moel.go.kr/miniWageMain.do</t>
        </r>
      </text>
    </comment>
    <comment ref="F9" authorId="0" shapeId="0" xr:uid="{162A74E0-3A27-4287-9CEE-6878679E1AB9}">
      <text>
        <r>
          <rPr>
            <b/>
            <sz val="9"/>
            <color indexed="81"/>
            <rFont val="돋움"/>
            <family val="3"/>
            <charset val="129"/>
          </rPr>
          <t>야간시간대는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의미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L10" authorId="0" shapeId="0" xr:uid="{75344CEA-7352-4FD3-8C42-B33DA2002115}">
      <text>
        <r>
          <rPr>
            <b/>
            <sz val="9"/>
            <color indexed="81"/>
            <rFont val="돋움"/>
            <family val="3"/>
            <charset val="129"/>
          </rPr>
          <t xml:space="preserve">주휴수당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?
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되며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예를들어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계산법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개근했다면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= (20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/40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×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× </t>
        </r>
        <r>
          <rPr>
            <b/>
            <sz val="9"/>
            <color indexed="81"/>
            <rFont val="돋움"/>
            <family val="3"/>
            <charset val="129"/>
          </rPr>
          <t xml:space="preserve">시급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월급을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있나요</t>
        </r>
        <r>
          <rPr>
            <b/>
            <sz val="9"/>
            <color indexed="81"/>
            <rFont val="Tahoma"/>
            <family val="2"/>
          </rPr>
          <t xml:space="preserve">?
· </t>
        </r>
        <r>
          <rPr>
            <b/>
            <sz val="9"/>
            <color indexed="81"/>
            <rFont val="돋움"/>
            <family val="3"/>
            <charset val="129"/>
          </rPr>
          <t>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그렇습니다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필요합니다</t>
        </r>
        <r>
          <rPr>
            <b/>
            <sz val="9"/>
            <color indexed="81"/>
            <rFont val="Tahoma"/>
            <family val="2"/>
          </rPr>
          <t xml:space="preserve">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I30" authorId="0" shapeId="0" xr:uid="{B25DCC20-3ADA-4263-AF10-C9C40E1A1F39}">
      <text>
        <r>
          <rPr>
            <b/>
            <sz val="9"/>
            <color indexed="81"/>
            <rFont val="돋움"/>
            <family val="3"/>
            <charset val="129"/>
          </rPr>
          <t>고시되면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61B26F74-5942-411E-BDAC-F3A39951A630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G5" authorId="0" shapeId="0" xr:uid="{D9CB370E-D2F9-4A8C-AEC2-7F0BE9484357}">
      <text>
        <r>
          <rPr>
            <b/>
            <sz val="9"/>
            <color indexed="81"/>
            <rFont val="돋움"/>
            <family val="3"/>
            <charset val="129"/>
          </rPr>
          <t>임금지급일
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임금지급일을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6" authorId="0" shapeId="0" xr:uid="{13076F4F-4773-4D4E-8E09-A1FE5FD90097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5A465412-5B0A-438F-B41A-2D7CBEEB6B69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AEC4F444-D04C-4A8A-916B-0A7DB18C88A2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7D12FEBB-E9A2-4C5B-B2D5-F252851290D3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5C2D56E5-D6F4-41F0-8FA4-986AAE2381E4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8A9D8E51-9418-42D4-A4A5-34D6CA37EB14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AF99CC01-B613-4374-8F47-F6606271C930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D8A321A0-2DBB-43D5-BB34-A78D0CE94497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3B86C032-932E-44F3-B926-08A70BAD6270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B13" authorId="0" shapeId="0" xr:uid="{3311B4D8-9B3D-4782-AB12-BBAC979AB3D6}">
      <text>
        <r>
          <rPr>
            <b/>
            <sz val="9"/>
            <color indexed="81"/>
            <rFont val="돋움"/>
            <family val="3"/>
            <charset val="129"/>
          </rPr>
          <t>월급은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기본급에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</t>
        </r>
        <r>
          <rPr>
            <b/>
            <sz val="9"/>
            <color indexed="81"/>
            <rFont val="Tahoma"/>
            <family val="2"/>
          </rPr>
          <t xml:space="preserve">.
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E13" authorId="0" shapeId="0" xr:uid="{7F2DE576-9414-4323-80EB-D377D42211D3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소수점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단수조정</t>
        </r>
      </text>
    </comment>
    <comment ref="G13" authorId="0" shapeId="0" xr:uid="{FDE99D0C-A9D4-4B14-8BAF-714493C7F93F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3" authorId="0" shapeId="0" xr:uid="{2796F9A5-3344-465F-96E0-5B9ED547289F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G14" authorId="0" shapeId="0" xr:uid="{CD18E0E7-0B61-4634-A145-AFDD45AF83FD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C384B5FF-F739-4EB2-8BE9-140B31F8DAAF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J16" authorId="0" shapeId="0" xr:uid="{6A3509F6-7389-45D4-8A18-5C59C50F6B57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>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N16" authorId="0" shapeId="0" xr:uid="{FDB8674C-B23E-40E7-81E1-9AF8780240BB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P16" authorId="0" shapeId="0" xr:uid="{78ADFA09-934B-4777-A9B1-62E30FCEA3B0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" authorId="0" shapeId="0" xr:uid="{48151D35-3FA9-4E52-AA8C-A41BF8B6CCCF}">
      <text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통상시급과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</t>
        </r>
        <r>
          <rPr>
            <b/>
            <sz val="9"/>
            <color indexed="81"/>
            <rFont val="Tahoma"/>
            <family val="2"/>
          </rPr>
          <t>)
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U17" authorId="0" shapeId="0" xr:uid="{C0B43B98-EF9D-49BE-9F50-EB4D7BC78EEE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식비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숙박비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교통비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</text>
    </comment>
    <comment ref="V17" authorId="0" shapeId="0" xr:uid="{00683C3C-3CA8-47BC-8F2A-3082825BAA41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장려가급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裝勵加給</t>
        </r>
        <r>
          <rPr>
            <b/>
            <sz val="9"/>
            <color indexed="81"/>
            <rFont val="Tahoma"/>
            <family val="2"/>
          </rPr>
          <t>)/</t>
        </r>
        <r>
          <rPr>
            <b/>
            <sz val="9"/>
            <color indexed="81"/>
            <rFont val="돋움"/>
            <family val="3"/>
            <charset val="129"/>
          </rPr>
          <t>능률수당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근속수당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정근수당</t>
        </r>
      </text>
    </comment>
    <comment ref="O18" authorId="0" shapeId="0" xr:uid="{7F15EB54-E0BA-4BBF-96A8-103F5D006EDF}">
      <text>
        <r>
          <rPr>
            <b/>
            <sz val="9"/>
            <color indexed="81"/>
            <rFont val="Tahoma"/>
            <family val="2"/>
          </rPr>
          <t>1. 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P18" authorId="0" shapeId="0" xr:uid="{B4B33B76-DDA4-4E00-A419-863225C00A57}">
      <text>
        <r>
          <rPr>
            <b/>
            <sz val="9"/>
            <color indexed="81"/>
            <rFont val="돋움"/>
            <family val="3"/>
            <charset val="129"/>
          </rPr>
          <t>직전연도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check!!</t>
        </r>
        <r>
          <rPr>
            <b/>
            <sz val="9"/>
            <color indexed="81"/>
            <rFont val="돋움"/>
            <family val="3"/>
            <charset val="129"/>
          </rPr>
          <t xml:space="preserve">
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명정상여금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하계휴가비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</text>
    </comment>
    <comment ref="B21" authorId="0" shapeId="0" xr:uid="{9326749C-8392-4DC5-878E-B2A95BBEB2D8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1" authorId="0" shapeId="0" xr:uid="{357EC519-408C-4F18-BA47-86EE51851279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B22" authorId="0" shapeId="0" xr:uid="{96CEB6A0-2C79-45E6-859A-966E96A477B3}">
      <text>
        <r>
          <rPr>
            <b/>
            <sz val="9"/>
            <color indexed="81"/>
            <rFont val="돋움"/>
            <family val="3"/>
            <charset val="129"/>
          </rPr>
          <t>지급시기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도래전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명확히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
실적평가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불확실하면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24" authorId="0" shapeId="0" xr:uid="{E90D5855-6667-4D14-B80C-0EC1E631200E}">
      <text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참조
</t>
        </r>
        <r>
          <rPr>
            <b/>
            <sz val="9"/>
            <color indexed="81"/>
            <rFont val="Tahoma"/>
            <family val="2"/>
          </rPr>
          <t xml:space="preserve">https://cafe.daum.net/transtax/CUf2/286
</t>
        </r>
        <r>
          <rPr>
            <b/>
            <sz val="9"/>
            <color indexed="81"/>
            <rFont val="돋움"/>
            <family val="3"/>
            <charset val="129"/>
          </rPr>
          <t>국세청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홈택스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발급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근로소득간이세액표</t>
        </r>
      </text>
    </comment>
    <comment ref="A27" authorId="0" shapeId="0" xr:uid="{CF37E06C-6DD1-4F54-96DE-678219EE2679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생리휴가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생리휴가를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27" authorId="0" shapeId="0" xr:uid="{985B13AA-472E-4449-B706-A187DCFFAC0F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7" authorId="0" shapeId="0" xr:uid="{07BEA23F-FD3C-41D4-ADC2-E815B163D781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J27" authorId="0" shapeId="0" xr:uid="{6B25A2CE-0818-4ABB-9D68-B68C6A90472A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A28" authorId="0" shapeId="0" xr:uid="{FAA720A3-0D0F-44E6-B6DC-E5C1580084CD}">
      <text>
        <r>
          <rPr>
            <b/>
            <sz val="9"/>
            <color indexed="81"/>
            <rFont val="돋움"/>
            <family val="3"/>
            <charset val="129"/>
          </rPr>
          <t>기본월급</t>
        </r>
      </text>
    </comment>
    <comment ref="F28" authorId="0" shapeId="0" xr:uid="{E696A75C-9AB8-467A-A841-0903AEBD48C7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지휘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감독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대기시간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2012.2.1,]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H28" authorId="0" shapeId="0" xr:uid="{73F1DE64-44AC-4CBF-8D90-A7B035C88E24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
주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
주</t>
        </r>
        <r>
          <rPr>
            <b/>
            <sz val="9"/>
            <color indexed="81"/>
            <rFont val="Tahoma"/>
            <family val="2"/>
          </rPr>
          <t xml:space="preserve"> 27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</text>
    </comment>
    <comment ref="A29" authorId="0" shapeId="0" xr:uid="{C017FC3B-5D99-406A-B766-F1E00752E6C3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구체적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사례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교통비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교통보조비가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해당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식대비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근무일수에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포함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자격수당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특수한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보유나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지급조건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해당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: 
   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부양가족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불확실한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자격요건으로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고정성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결여</t>
        </r>
        <r>
          <rPr>
            <b/>
            <sz val="9"/>
            <color indexed="81"/>
            <rFont val="Tahoma"/>
            <family val="2"/>
          </rPr>
          <t xml:space="preserve">)
     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부양가족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절반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      : </t>
        </r>
        <r>
          <rPr>
            <b/>
            <sz val="9"/>
            <color indexed="81"/>
            <rFont val="돋움"/>
            <family val="3"/>
            <charset val="129"/>
          </rPr>
          <t>기본급에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고정적·평균적으로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속함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하계휴가비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·지급기준일에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불확실한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자격요건으로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고정성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결여</t>
        </r>
        <r>
          <rPr>
            <b/>
            <sz val="9"/>
            <color indexed="81"/>
            <rFont val="Tahoma"/>
            <family val="2"/>
          </rPr>
          <t xml:space="preserve">)
   · </t>
        </r>
        <r>
          <rPr>
            <b/>
            <sz val="9"/>
            <color indexed="81"/>
            <rFont val="돋움"/>
            <family val="3"/>
            <charset val="129"/>
          </rPr>
          <t>회사대납개인보험료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계속적·정기적으로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지급되었다면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해당
</t>
        </r>
        <r>
          <rPr>
            <b/>
            <sz val="9"/>
            <color indexed="81"/>
            <rFont val="Tahoma"/>
            <family val="2"/>
          </rPr>
          <t xml:space="preserve">
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C29" authorId="0" shapeId="0" xr:uid="{EF88567C-286A-4E83-B55C-B43028AA6758}">
      <text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통상시급과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</text>
    </comment>
    <comment ref="H29" authorId="0" shapeId="0" xr:uid="{9EEC0FD7-F429-4198-A6C2-76E2F04E3D89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
근무일수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</text>
    </comment>
    <comment ref="I29" authorId="0" shapeId="0" xr:uid="{6307CCBE-DADE-4A67-B57E-651DA37508DD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30" authorId="0" shapeId="0" xr:uid="{63ED80BD-D830-49C8-A910-D43C335C9619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F1BFAE75-7D36-4145-82E3-2B9025C33837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월소정근로시간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* 8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월환산</t>
        </r>
        <r>
          <rPr>
            <b/>
            <sz val="9"/>
            <color indexed="81"/>
            <rFont val="Tahoma"/>
            <family val="2"/>
          </rPr>
          <t xml:space="preserve">) + </t>
        </r>
        <r>
          <rPr>
            <b/>
            <sz val="9"/>
            <color indexed="81"/>
            <rFont val="돋움"/>
            <family val="3"/>
            <charset val="129"/>
          </rPr>
          <t>①연장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+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월급인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시간한도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실제근무</t>
        </r>
        <r>
          <rPr>
            <b/>
            <sz val="9"/>
            <color indexed="81"/>
            <rFont val="Tahoma"/>
            <family val="2"/>
          </rPr>
          <t>)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+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74CC9A4F-0286-4E71-9C3D-07D342F0A598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4D956A88-0764-4804-A9B7-82F43B34BC28}">
      <text>
        <r>
          <rPr>
            <sz val="9"/>
            <color indexed="81"/>
            <rFont val="돋움"/>
            <family val="3"/>
            <charset val="129"/>
          </rPr>
          <t>근로기준법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70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야간근로와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휴일근로의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근로시키려면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sz val="9"/>
            <color indexed="81"/>
            <rFont val="돋움"/>
            <family val="3"/>
            <charset val="129"/>
          </rPr>
          <t>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임산부와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못한다</t>
        </r>
        <r>
          <rPr>
            <sz val="9"/>
            <color indexed="81"/>
            <rFont val="Tahoma"/>
            <family val="2"/>
          </rPr>
          <t xml:space="preserve">.
     </t>
        </r>
        <r>
          <rPr>
            <sz val="9"/>
            <color indexed="81"/>
            <rFont val="돋움"/>
            <family val="3"/>
            <charset val="129"/>
          </rPr>
          <t>다만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다음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하나에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해당하는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경우로서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그러하지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아니하다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  1.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2. </t>
        </r>
        <r>
          <rPr>
            <sz val="9"/>
            <color indexed="81"/>
            <rFont val="돋움"/>
            <family val="3"/>
            <charset val="129"/>
          </rPr>
          <t>산후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3. </t>
        </r>
        <r>
          <rPr>
            <sz val="9"/>
            <color indexed="81"/>
            <rFont val="돋움"/>
            <family val="3"/>
            <charset val="129"/>
          </rPr>
          <t>임신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명시적으로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청구하는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
③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돋움"/>
            <family val="3"/>
            <charset val="129"/>
          </rPr>
          <t>항의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건강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모성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보호를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여부와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방법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근로자대표와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성실하게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협의하여야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</t>
        </r>
      </text>
    </comment>
    <comment ref="K30" authorId="0" shapeId="0" xr:uid="{22474D93-2195-474C-B3F9-91C00AC0A347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O30" authorId="0" shapeId="0" xr:uid="{453B4378-CC06-4AF9-8391-C89C73CDFCF7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A32" authorId="0" shapeId="0" xr:uid="{6F10DBFE-7987-467B-B769-FB0BEFCF1DE6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계산됐는지를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P32" authorId="0" shapeId="0" xr:uid="{F14E0A46-BC16-4136-BAA1-C8C9B42F75C8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3" authorId="0" shapeId="0" xr:uid="{EAD26FA5-5004-4421-9ECB-0259EEB57CA8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4" authorId="0" shapeId="0" xr:uid="{DC18D79E-7488-43AD-8E91-CF41F20434D7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5" authorId="0" shapeId="0" xr:uid="{97A25B2B-4709-41CE-AD71-C8FBDEA851FD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6" authorId="0" shapeId="0" xr:uid="{7E3A8810-985C-4A0B-B569-738F436FC98D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H36" authorId="0" shapeId="0" xr:uid="{40F79950-8C87-47ED-ADD7-AB388556A4F2}">
      <text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</t>
        </r>
      </text>
    </comment>
    <comment ref="F37" authorId="0" shapeId="0" xr:uid="{D286B510-D998-407A-A268-BA1C6697E2C4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H37" authorId="0" shapeId="0" xr:uid="{DCE25524-1FF2-4673-8861-175DBC964AB2}">
      <text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</t>
        </r>
      </text>
    </comment>
    <comment ref="A40" authorId="0" shapeId="0" xr:uid="{B2547724-14A4-408C-B7C6-DA0BD49895A9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3AE9A84B-EBDF-4E14-A78F-A75DA0ED3BFB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  <comment ref="A44" authorId="0" shapeId="0" xr:uid="{84D06B96-F921-42A8-8BD6-CD55DEF552C6}">
      <text>
        <r>
          <rPr>
            <b/>
            <sz val="9"/>
            <color indexed="81"/>
            <rFont val="돋움"/>
            <family val="3"/>
            <charset val="129"/>
          </rPr>
          <t>원칙은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무조건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과세금액의</t>
        </r>
        <r>
          <rPr>
            <b/>
            <sz val="9"/>
            <color indexed="81"/>
            <rFont val="Tahoma"/>
            <family val="2"/>
          </rPr>
          <t xml:space="preserve"> 0.8% </t>
        </r>
        <r>
          <rPr>
            <b/>
            <sz val="9"/>
            <color indexed="81"/>
            <rFont val="돋움"/>
            <family val="3"/>
            <charset val="129"/>
          </rPr>
          <t>정산하지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않으므로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비영리법인등은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고지하는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있음</t>
        </r>
        <r>
          <rPr>
            <b/>
            <sz val="9"/>
            <color indexed="81"/>
            <rFont val="Tahoma"/>
            <family val="2"/>
          </rPr>
          <t xml:space="preserve">-&gt; </t>
        </r>
        <r>
          <rPr>
            <b/>
            <sz val="9"/>
            <color indexed="81"/>
            <rFont val="돋움"/>
            <family val="3"/>
            <charset val="129"/>
          </rPr>
          <t>국고보조금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목적용으로</t>
        </r>
        <r>
          <rPr>
            <b/>
            <sz val="9"/>
            <color indexed="81"/>
            <rFont val="Tahoma"/>
            <family val="2"/>
          </rPr>
          <t>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558BA5FE-8DFE-42E6-8DAA-343DADA7CF8E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G5" authorId="0" shapeId="0" xr:uid="{87C5B9B0-2E0E-4633-810C-7E17031E037B}">
      <text>
        <r>
          <rPr>
            <b/>
            <sz val="9"/>
            <color indexed="81"/>
            <rFont val="돋움"/>
            <family val="3"/>
            <charset val="129"/>
          </rPr>
          <t>임금지급일
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임금지급일을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6" authorId="0" shapeId="0" xr:uid="{ADCD10EA-F46E-464A-B0F9-601812A51F28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E2EC9FD7-B2A0-4EA2-B01F-46D21AFC828E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44C9D6EB-C78E-431F-98F2-93E1E8CB0936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BC5E3AAD-1341-4D50-ACD8-3C07AAC0CA0A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3AB2A288-43F3-463E-984A-1D8816F7B9A0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30668157-7FB7-4EF8-BD77-08964E58D4B3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897B97A0-2D70-4F89-93ED-B4EC647B1F87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3F7AB19A-755C-4486-B111-016ED6D41C9C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D6AB69C5-0B20-4561-B3CD-7F81E9FFBF54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B13" authorId="0" shapeId="0" xr:uid="{8DEEF675-CB54-4003-98EA-FBE89F27A6C5}">
      <text>
        <r>
          <rPr>
            <b/>
            <sz val="9"/>
            <color indexed="81"/>
            <rFont val="돋움"/>
            <family val="3"/>
            <charset val="129"/>
          </rPr>
          <t>월급은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기본급에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</t>
        </r>
        <r>
          <rPr>
            <b/>
            <sz val="9"/>
            <color indexed="81"/>
            <rFont val="Tahoma"/>
            <family val="2"/>
          </rPr>
          <t xml:space="preserve">.
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E13" authorId="0" shapeId="0" xr:uid="{82D980A4-92A2-436C-8235-113D74961E48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소수점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단수조정</t>
        </r>
      </text>
    </comment>
    <comment ref="G13" authorId="0" shapeId="0" xr:uid="{4361D00C-6C90-4CC0-8F5E-D386931DA344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3" authorId="0" shapeId="0" xr:uid="{441CA4F2-26FD-4F41-B6A0-3C4074BB1C24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G14" authorId="0" shapeId="0" xr:uid="{EF7A3391-8640-4009-9942-CB9D7F37E4E3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13184206-5EAD-474E-8501-199554AA3AE7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J16" authorId="0" shapeId="0" xr:uid="{08AF8196-6E6F-43F4-A8AA-7AA62DC0A7CA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N16" authorId="0" shapeId="0" xr:uid="{23090C00-D1C4-4336-B23E-B8AA5CADE5E3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P16" authorId="0" shapeId="0" xr:uid="{B5F6A4C0-B8C4-4BA5-9C27-2243FA50C955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" authorId="0" shapeId="0" xr:uid="{60A7009F-F214-47E4-96D0-0ADD8294BBF6}">
      <text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통상시급과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</t>
        </r>
        <r>
          <rPr>
            <b/>
            <sz val="9"/>
            <color indexed="81"/>
            <rFont val="Tahoma"/>
            <family val="2"/>
          </rPr>
          <t>)
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U17" authorId="0" shapeId="0" xr:uid="{179F7955-5FFA-435C-9EC3-F3D7EBE048E0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식비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숙박비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교통비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</text>
    </comment>
    <comment ref="V17" authorId="0" shapeId="0" xr:uid="{3463560C-23D2-49C5-895A-912D899F4932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장려가급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裝勵加給</t>
        </r>
        <r>
          <rPr>
            <b/>
            <sz val="9"/>
            <color indexed="81"/>
            <rFont val="Tahoma"/>
            <family val="2"/>
          </rPr>
          <t>)/</t>
        </r>
        <r>
          <rPr>
            <b/>
            <sz val="9"/>
            <color indexed="81"/>
            <rFont val="돋움"/>
            <family val="3"/>
            <charset val="129"/>
          </rPr>
          <t>능률수당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근속수당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정근수당</t>
        </r>
      </text>
    </comment>
    <comment ref="O18" authorId="0" shapeId="0" xr:uid="{54521A29-D3DE-40D0-920C-E23E53AE5CBF}">
      <text>
        <r>
          <rPr>
            <b/>
            <sz val="9"/>
            <color indexed="81"/>
            <rFont val="Tahoma"/>
            <family val="2"/>
          </rPr>
          <t>1. 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P18" authorId="0" shapeId="0" xr:uid="{9685429A-1F16-489C-9CBF-7DC40025435D}">
      <text>
        <r>
          <rPr>
            <b/>
            <sz val="9"/>
            <color indexed="81"/>
            <rFont val="돋움"/>
            <family val="3"/>
            <charset val="129"/>
          </rPr>
          <t>직전연도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check!!</t>
        </r>
        <r>
          <rPr>
            <b/>
            <sz val="9"/>
            <color indexed="81"/>
            <rFont val="돋움"/>
            <family val="3"/>
            <charset val="129"/>
          </rPr>
          <t xml:space="preserve">
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명정상여금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하계휴가비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</text>
    </comment>
    <comment ref="B21" authorId="0" shapeId="0" xr:uid="{2979669E-E5BB-4F27-B5E7-EA8F581BFBF7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1" authorId="0" shapeId="0" xr:uid="{CFDF571A-08F0-42D3-A8B1-87EA7A8765C7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B22" authorId="0" shapeId="0" xr:uid="{C3C42E8A-700A-4A01-AFFC-5474927CE784}">
      <text>
        <r>
          <rPr>
            <b/>
            <sz val="9"/>
            <color indexed="81"/>
            <rFont val="돋움"/>
            <family val="3"/>
            <charset val="129"/>
          </rPr>
          <t>지급시기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도래전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명확히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
실적평가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불확실하면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24" authorId="0" shapeId="0" xr:uid="{465AC6BA-F43D-4CE2-8A94-BA5DFFF0AF64}">
      <text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참조
</t>
        </r>
        <r>
          <rPr>
            <b/>
            <sz val="9"/>
            <color indexed="81"/>
            <rFont val="Tahoma"/>
            <family val="2"/>
          </rPr>
          <t xml:space="preserve">https://cafe.daum.net/transtax/CUf2/286
</t>
        </r>
        <r>
          <rPr>
            <b/>
            <sz val="9"/>
            <color indexed="81"/>
            <rFont val="돋움"/>
            <family val="3"/>
            <charset val="129"/>
          </rPr>
          <t>국세청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홈택스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발급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근로소득간이세액표</t>
        </r>
      </text>
    </comment>
    <comment ref="A27" authorId="0" shapeId="0" xr:uid="{D5491A7A-C744-4051-9C9A-90AB364D46FE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생리휴가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생리휴가를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27" authorId="0" shapeId="0" xr:uid="{C16BBAEB-685F-4082-A32A-553BB8BBEAED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7" authorId="0" shapeId="0" xr:uid="{36B3A28E-E35E-4CD7-AA90-6C959CBBE906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J27" authorId="0" shapeId="0" xr:uid="{490ECDBA-2D70-481B-97EE-25458DBB4FDC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A28" authorId="0" shapeId="0" xr:uid="{2605E9EC-E02F-4151-AD3B-C16CF3B54F96}">
      <text>
        <r>
          <rPr>
            <b/>
            <sz val="9"/>
            <color indexed="81"/>
            <rFont val="돋움"/>
            <family val="3"/>
            <charset val="129"/>
          </rPr>
          <t>기본월급</t>
        </r>
      </text>
    </comment>
    <comment ref="F28" authorId="0" shapeId="0" xr:uid="{9E2A8090-65C7-4F26-963D-DD882D6201CA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지휘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감독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대기시간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2012.2.1,]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A29" authorId="0" shapeId="0" xr:uid="{1C4053E0-852A-4B30-92AD-485C4F06CC3D}">
      <text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C29" authorId="0" shapeId="0" xr:uid="{077E2328-631C-4910-AD20-038AE2B8390A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</text>
    </comment>
    <comment ref="H29" authorId="0" shapeId="0" xr:uid="{CEB24AB3-6F97-4C5D-AEF4-A13F9E6650E7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
근무일수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</text>
    </comment>
    <comment ref="I29" authorId="0" shapeId="0" xr:uid="{FCBA4CC9-A7A1-428A-ABA2-66E5A4E768FF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30" authorId="0" shapeId="0" xr:uid="{CC592D38-6FFE-4869-8C7D-1EACA4F148A1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726E967D-F634-4057-9D5A-B7B42BD02F8C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월소정근로시간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* 8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월환산</t>
        </r>
        <r>
          <rPr>
            <b/>
            <sz val="9"/>
            <color indexed="81"/>
            <rFont val="Tahoma"/>
            <family val="2"/>
          </rPr>
          <t xml:space="preserve">) + </t>
        </r>
        <r>
          <rPr>
            <b/>
            <sz val="9"/>
            <color indexed="81"/>
            <rFont val="돋움"/>
            <family val="3"/>
            <charset val="129"/>
          </rPr>
          <t>①연장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+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월급인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시간한도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실제근무</t>
        </r>
        <r>
          <rPr>
            <b/>
            <sz val="9"/>
            <color indexed="81"/>
            <rFont val="Tahoma"/>
            <family val="2"/>
          </rPr>
          <t>)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+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4902875B-459B-4F77-9A74-38567ED01E40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BBF7D0E1-9CF5-4568-9825-0E4872524C1C}">
      <text>
        <r>
          <rPr>
            <sz val="9"/>
            <color indexed="81"/>
            <rFont val="돋움"/>
            <family val="3"/>
            <charset val="129"/>
          </rPr>
          <t>근로기준법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70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야간근로와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휴일근로의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근로시키려면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sz val="9"/>
            <color indexed="81"/>
            <rFont val="돋움"/>
            <family val="3"/>
            <charset val="129"/>
          </rPr>
          <t>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임산부와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못한다</t>
        </r>
        <r>
          <rPr>
            <sz val="9"/>
            <color indexed="81"/>
            <rFont val="Tahoma"/>
            <family val="2"/>
          </rPr>
          <t xml:space="preserve">.
     </t>
        </r>
        <r>
          <rPr>
            <sz val="9"/>
            <color indexed="81"/>
            <rFont val="돋움"/>
            <family val="3"/>
            <charset val="129"/>
          </rPr>
          <t>다만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다음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하나에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해당하는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경우로서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그러하지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아니하다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  1.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2. </t>
        </r>
        <r>
          <rPr>
            <sz val="9"/>
            <color indexed="81"/>
            <rFont val="돋움"/>
            <family val="3"/>
            <charset val="129"/>
          </rPr>
          <t>산후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3. </t>
        </r>
        <r>
          <rPr>
            <sz val="9"/>
            <color indexed="81"/>
            <rFont val="돋움"/>
            <family val="3"/>
            <charset val="129"/>
          </rPr>
          <t>임신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명시적으로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청구하는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
③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돋움"/>
            <family val="3"/>
            <charset val="129"/>
          </rPr>
          <t>항의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건강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모성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보호를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여부와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방법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근로자대표와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성실하게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협의하여야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</t>
        </r>
      </text>
    </comment>
    <comment ref="K30" authorId="0" shapeId="0" xr:uid="{AFA38DF8-8186-4929-9FD9-98599D513AF4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O30" authorId="0" shapeId="0" xr:uid="{7EAA1108-154B-483E-8BD2-9C7DB5A7F876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A32" authorId="0" shapeId="0" xr:uid="{F48281F9-7FE9-4192-B432-1C8609C1A00F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계산됐는지를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P32" authorId="0" shapeId="0" xr:uid="{D224ADD1-8781-491C-ABFC-8146705A235C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C33" authorId="0" shapeId="0" xr:uid="{CF1F245C-822B-43FF-B11D-573A8B5406D3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4" authorId="0" shapeId="0" xr:uid="{DD48299D-E574-4B7B-9B6C-0B86625C4017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5" authorId="0" shapeId="0" xr:uid="{DBCEFF4E-CCA2-4B79-80B3-CBD5CD1A4E12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6" authorId="0" shapeId="0" xr:uid="{AB9802E8-280F-42B9-8E9F-01764C5725FA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H36" authorId="0" shapeId="0" xr:uid="{8297A72F-623D-4C05-BC64-20D6831DC585}">
      <text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</t>
        </r>
      </text>
    </comment>
    <comment ref="F37" authorId="0" shapeId="0" xr:uid="{99C825CF-C56D-4EA8-99CF-78548BAA2945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H37" authorId="0" shapeId="0" xr:uid="{4E2AD620-25E2-4C01-8C81-29D9EDD6BEA3}">
      <text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</t>
        </r>
      </text>
    </comment>
    <comment ref="A40" authorId="0" shapeId="0" xr:uid="{85CD273A-4103-4166-BC58-71D38B872565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17B2EF6E-6679-49C7-B761-D798EF203955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  <comment ref="A44" authorId="0" shapeId="0" xr:uid="{96E2FD59-970D-423E-8EA2-A07ACA5A3AD0}">
      <text>
        <r>
          <rPr>
            <b/>
            <sz val="9"/>
            <color indexed="81"/>
            <rFont val="돋움"/>
            <family val="3"/>
            <charset val="129"/>
          </rPr>
          <t>원칙은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무조건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과세금액의</t>
        </r>
        <r>
          <rPr>
            <b/>
            <sz val="9"/>
            <color indexed="81"/>
            <rFont val="Tahoma"/>
            <family val="2"/>
          </rPr>
          <t xml:space="preserve"> 0.8% </t>
        </r>
        <r>
          <rPr>
            <b/>
            <sz val="9"/>
            <color indexed="81"/>
            <rFont val="돋움"/>
            <family val="3"/>
            <charset val="129"/>
          </rPr>
          <t>정산하지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않으므로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비영리법인등은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고지하는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있음</t>
        </r>
        <r>
          <rPr>
            <b/>
            <sz val="9"/>
            <color indexed="81"/>
            <rFont val="Tahoma"/>
            <family val="2"/>
          </rPr>
          <t xml:space="preserve">-&gt; </t>
        </r>
        <r>
          <rPr>
            <b/>
            <sz val="9"/>
            <color indexed="81"/>
            <rFont val="돋움"/>
            <family val="3"/>
            <charset val="129"/>
          </rPr>
          <t>국고보조금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목적용으로</t>
        </r>
        <r>
          <rPr>
            <b/>
            <sz val="9"/>
            <color indexed="81"/>
            <rFont val="Tahoma"/>
            <family val="2"/>
          </rPr>
          <t>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7FDF6852-D9E4-48C6-BC34-39DEBA6D7F19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EC7C25DB-7057-4B74-9738-AC32F0A0C3EF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4B57EFD1-7183-49ED-A495-7191341378A0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971FFDD5-2AD0-4309-9406-E63419D9A2CF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D9DC5C88-E158-4D44-96D7-13EB817ADBE1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0D0C6757-7B10-4DE8-96B9-15AE316A3FDA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68FB3F90-E4A7-4BE6-AA36-21E4A302A60A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0CB6C979-76B5-49EC-B993-2FEA652DFA59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C020A1E9-F051-408E-94B4-7B985E954B48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5BBAFC59-853F-4E87-B947-C686603994EB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B13" authorId="0" shapeId="0" xr:uid="{09BF589E-0277-4994-B24E-FA221FB58855}">
      <text>
        <r>
          <rPr>
            <b/>
            <sz val="9"/>
            <color indexed="81"/>
            <rFont val="돋움"/>
            <family val="3"/>
            <charset val="129"/>
          </rPr>
          <t>월급은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기본급에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</t>
        </r>
        <r>
          <rPr>
            <b/>
            <sz val="9"/>
            <color indexed="81"/>
            <rFont val="Tahoma"/>
            <family val="2"/>
          </rPr>
          <t xml:space="preserve">.
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E13" authorId="0" shapeId="0" xr:uid="{CFA025E2-1A05-4B99-BD28-A1A5ED2B8FD5}">
      <text>
        <r>
          <rPr>
            <b/>
            <sz val="9"/>
            <color indexed="81"/>
            <rFont val="돋움"/>
            <family val="3"/>
            <charset val="129"/>
          </rPr>
          <t>목표값 찾기의 경우 소수점 이하 단수조정</t>
        </r>
      </text>
    </comment>
    <comment ref="G13" authorId="0" shapeId="0" xr:uid="{26DB0DED-D26F-4C18-90BD-14AFE313C615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3" authorId="0" shapeId="0" xr:uid="{371C211B-BA26-4D02-86B1-B1C27C5C9D5D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G14" authorId="0" shapeId="0" xr:uid="{27FFE0A1-8693-4345-B46A-655EEDA98593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CEFFA0FF-D1FD-40CD-8CFF-B7BDA8559D68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J16" authorId="0" shapeId="0" xr:uid="{93F1790F-10EC-407E-AFFD-81FB29453821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N16" authorId="0" shapeId="0" xr:uid="{34172818-C4E0-4468-BD22-01E5D6265214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P16" authorId="0" shapeId="0" xr:uid="{EDD9212E-E71B-4AE0-8146-04594B40FE9B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" authorId="0" shapeId="0" xr:uid="{1B160986-BBA6-4437-8074-AA309F0B1A69}">
      <text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통상시급과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</t>
        </r>
        <r>
          <rPr>
            <b/>
            <sz val="9"/>
            <color indexed="81"/>
            <rFont val="Tahoma"/>
            <family val="2"/>
          </rPr>
          <t>)
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U17" authorId="0" shapeId="0" xr:uid="{9C4A96F1-24AD-4988-AE2A-F898156BC05D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식비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숙박비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교통비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</text>
    </comment>
    <comment ref="V17" authorId="0" shapeId="0" xr:uid="{4B9039AB-6FCF-4440-BAF0-0E4E97771458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장려가급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裝勵加給</t>
        </r>
        <r>
          <rPr>
            <b/>
            <sz val="9"/>
            <color indexed="81"/>
            <rFont val="Tahoma"/>
            <family val="2"/>
          </rPr>
          <t>)/</t>
        </r>
        <r>
          <rPr>
            <b/>
            <sz val="9"/>
            <color indexed="81"/>
            <rFont val="돋움"/>
            <family val="3"/>
            <charset val="129"/>
          </rPr>
          <t>능률수당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근속수당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정근수당</t>
        </r>
      </text>
    </comment>
    <comment ref="O18" authorId="0" shapeId="0" xr:uid="{AD7913C3-6277-48E7-81B5-388F82F3AD8A}">
      <text>
        <r>
          <rPr>
            <b/>
            <sz val="9"/>
            <color indexed="81"/>
            <rFont val="Tahoma"/>
            <family val="2"/>
          </rPr>
          <t>1. 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P18" authorId="0" shapeId="0" xr:uid="{4D029E52-4FF6-44BD-90DD-95300FBAA1AB}">
      <text>
        <r>
          <rPr>
            <b/>
            <sz val="9"/>
            <color indexed="81"/>
            <rFont val="돋움"/>
            <family val="3"/>
            <charset val="129"/>
          </rPr>
          <t>직전연도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check!!</t>
        </r>
        <r>
          <rPr>
            <b/>
            <sz val="9"/>
            <color indexed="81"/>
            <rFont val="돋움"/>
            <family val="3"/>
            <charset val="129"/>
          </rPr>
          <t xml:space="preserve">
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명정상여금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하계휴가비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</text>
    </comment>
    <comment ref="G24" authorId="0" shapeId="0" xr:uid="{E4E7B7D3-3C26-44A2-AADA-2BCA4D38C36B}">
      <text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참조
</t>
        </r>
        <r>
          <rPr>
            <b/>
            <sz val="9"/>
            <color indexed="81"/>
            <rFont val="Tahoma"/>
            <family val="2"/>
          </rPr>
          <t xml:space="preserve">https://cafe.daum.net/transtax/CUf2/286
</t>
        </r>
        <r>
          <rPr>
            <b/>
            <sz val="9"/>
            <color indexed="81"/>
            <rFont val="돋움"/>
            <family val="3"/>
            <charset val="129"/>
          </rPr>
          <t>국세청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홈택스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발급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조회</t>
        </r>
        <r>
          <rPr>
            <b/>
            <sz val="9"/>
            <color indexed="81"/>
            <rFont val="Tahoma"/>
            <family val="2"/>
          </rPr>
          <t xml:space="preserve"> &gt; </t>
        </r>
        <r>
          <rPr>
            <b/>
            <sz val="9"/>
            <color indexed="81"/>
            <rFont val="돋움"/>
            <family val="3"/>
            <charset val="129"/>
          </rPr>
          <t>근로소득간이세액표</t>
        </r>
      </text>
    </comment>
    <comment ref="J27" authorId="0" shapeId="0" xr:uid="{7076E7B4-594C-4BB8-B321-B05141EB8E47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A28" authorId="0" shapeId="0" xr:uid="{BFE3F7E1-6F6D-4A15-82E0-7D71DB20F11D}">
      <text>
        <r>
          <rPr>
            <b/>
            <sz val="9"/>
            <color indexed="81"/>
            <rFont val="돋움"/>
            <family val="3"/>
            <charset val="129"/>
          </rPr>
          <t>기본월급</t>
        </r>
      </text>
    </comment>
    <comment ref="A29" authorId="0" shapeId="0" xr:uid="{E7B88E10-6DD0-4985-AD86-30D974F95EEC}">
      <text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C29" authorId="0" shapeId="0" xr:uid="{9D651A48-2EB7-4EFC-82E7-305BDA7391A5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</text>
    </comment>
    <comment ref="H29" authorId="0" shapeId="0" xr:uid="{E7ABE87F-CA56-478D-BA5B-E8306351B2B1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
근무일수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합계시간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5</t>
        </r>
      </text>
    </comment>
    <comment ref="I29" authorId="0" shapeId="0" xr:uid="{B2A010F0-2FA0-4672-93CE-286D0D852CDE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
초과된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30" authorId="0" shapeId="0" xr:uid="{03EE6F9D-A153-423B-8C59-8234CB4AD811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4F4774F0-EA90-4768-879D-A0BDB7D7B67D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월급인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시간한도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실제근무</t>
        </r>
        <r>
          <rPr>
            <b/>
            <sz val="9"/>
            <color indexed="81"/>
            <rFont val="Tahoma"/>
            <family val="2"/>
          </rPr>
          <t>)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+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980FFE7D-7721-429C-869B-A7D814BC1804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0B08C37B-5496-4263-8401-510F4EEAAFF4}">
      <text>
        <r>
          <rPr>
            <sz val="9"/>
            <color indexed="81"/>
            <rFont val="돋움"/>
            <family val="3"/>
            <charset val="129"/>
          </rPr>
          <t>근로기준법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70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야간근로와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휴일근로의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근로시키려면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sz val="9"/>
            <color indexed="81"/>
            <rFont val="돋움"/>
            <family val="3"/>
            <charset val="129"/>
          </rPr>
          <t>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임산부와</t>
        </r>
        <r>
          <rPr>
            <sz val="9"/>
            <color indexed="81"/>
            <rFont val="Tahoma"/>
            <family val="2"/>
          </rPr>
          <t xml:space="preserve">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오후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시부터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오전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시까지의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휴일에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근로시키지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못한다</t>
        </r>
        <r>
          <rPr>
            <sz val="9"/>
            <color indexed="81"/>
            <rFont val="Tahoma"/>
            <family val="2"/>
          </rPr>
          <t xml:space="preserve">.
     </t>
        </r>
        <r>
          <rPr>
            <sz val="9"/>
            <color indexed="81"/>
            <rFont val="돋움"/>
            <family val="3"/>
            <charset val="129"/>
          </rPr>
          <t>다만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다음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하나에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해당하는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경우로서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그러하지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아니하다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  1.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2. </t>
        </r>
        <r>
          <rPr>
            <sz val="9"/>
            <color indexed="81"/>
            <rFont val="돋움"/>
            <family val="3"/>
            <charset val="129"/>
          </rPr>
          <t>산후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아니한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경우
</t>
        </r>
        <r>
          <rPr>
            <sz val="9"/>
            <color indexed="81"/>
            <rFont val="Tahoma"/>
            <family val="2"/>
          </rPr>
          <t xml:space="preserve">  3. </t>
        </r>
        <r>
          <rPr>
            <sz val="9"/>
            <color indexed="81"/>
            <rFont val="돋움"/>
            <family val="3"/>
            <charset val="129"/>
          </rPr>
          <t>임신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여성이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명시적으로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청구하는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
③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돋움"/>
            <family val="3"/>
            <charset val="129"/>
          </rPr>
          <t>항의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고용노동부장관의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인가를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받기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건강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모성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보호를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여부와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방법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또는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근로자대표와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성실하게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협의하여야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한다</t>
        </r>
        <r>
          <rPr>
            <sz val="9"/>
            <color indexed="81"/>
            <rFont val="Tahoma"/>
            <family val="2"/>
          </rPr>
          <t>.[</t>
        </r>
        <r>
          <rPr>
            <sz val="9"/>
            <color indexed="81"/>
            <rFont val="돋움"/>
            <family val="3"/>
            <charset val="129"/>
          </rPr>
          <t>개정</t>
        </r>
        <r>
          <rPr>
            <sz val="9"/>
            <color indexed="81"/>
            <rFont val="Tahoma"/>
            <family val="2"/>
          </rPr>
          <t xml:space="preserve"> 2010.6.4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10339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정부조직법</t>
        </r>
        <r>
          <rPr>
            <sz val="9"/>
            <color indexed="81"/>
            <rFont val="Tahoma"/>
            <family val="2"/>
          </rPr>
          <t>)] [[</t>
        </r>
        <r>
          <rPr>
            <sz val="9"/>
            <color indexed="81"/>
            <rFont val="돋움"/>
            <family val="3"/>
            <charset val="129"/>
          </rPr>
          <t>시행일</t>
        </r>
        <r>
          <rPr>
            <sz val="9"/>
            <color indexed="81"/>
            <rFont val="Tahoma"/>
            <family val="2"/>
          </rPr>
          <t xml:space="preserve"> 2010.7.5]]
</t>
        </r>
      </text>
    </comment>
    <comment ref="K30" authorId="0" shapeId="0" xr:uid="{7436A170-043B-4242-AA30-ABD72E5B51A1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A32" authorId="0" shapeId="0" xr:uid="{61C8AA5F-6A74-43F8-BFD4-5EC06B51706F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3" authorId="0" shapeId="0" xr:uid="{F65F78F8-E069-4C3B-B92D-6C1685868F98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4" authorId="0" shapeId="0" xr:uid="{D330E964-2378-45EA-822C-97BE4A9A1A16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5" authorId="0" shapeId="0" xr:uid="{CFC75306-4F02-4EFD-8A55-36C2961F9868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38" authorId="0" shapeId="0" xr:uid="{567EAFD9-8C58-4345-A601-E599FC41169B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38" authorId="0" shapeId="0" xr:uid="{C7695936-A780-432F-B82C-7A760AD16F4A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  <comment ref="P39" authorId="0" shapeId="0" xr:uid="{41F7E467-0B40-4314-BD43-468929E771EB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Q41" authorId="0" shapeId="0" xr:uid="{06FBC0A9-122D-42BA-A5DC-4808C586F170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A8D1FD7A-B75C-44D1-B74F-210F48073021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EA9EA719-6E99-4819-AB3D-034F62E7A710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D8C32871-6EFA-4020-A21A-FFA536E7A8A1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C5EDB37A-ADC2-4216-B795-AFBC7235D094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C9AD9EDB-AD19-4D49-A0B4-8AE554CB4CE0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ADCF036F-AF34-4036-A33A-38239FF6AED3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571FA8AB-06F4-4209-B7FD-41A2C07F4F38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E39A0139-48CF-4822-90FA-1591F8FDBFDF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F855A7A3-07D4-4C6B-A4EB-2DBE7EA97824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CDD91BBE-4D36-465E-89F1-AC4DD952ABE6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E13" authorId="0" shapeId="0" xr:uid="{7688D88F-DD3D-4719-BE76-6FBE596F2D3C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소수점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단수조정</t>
        </r>
      </text>
    </comment>
    <comment ref="G13" authorId="0" shapeId="0" xr:uid="{4878D67C-80AA-400E-88CA-DC889585024D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L13" authorId="0" shapeId="0" xr:uid="{31769416-43C3-4F33-A194-1F337D14BEAB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G14" authorId="0" shapeId="0" xr:uid="{21543941-791B-4CB9-AFA9-54C83551CA70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S14" authorId="0" shapeId="0" xr:uid="{95EDCB64-5531-4EAA-BB98-DA35C3EFA6F0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B15" authorId="0" shapeId="0" xr:uid="{FCDB020B-E364-48FC-8804-78725F1D9C2D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G16" authorId="0" shapeId="0" xr:uid="{82DE229B-7715-462A-B65A-7603E44C577E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A825BAB2-2C7B-4CDF-AE30-BA09985DA427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L16" authorId="0" shapeId="0" xr:uid="{C8E0E83D-7EA4-4EF1-AD17-4BE9AD5BBAEB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N16" authorId="0" shapeId="0" xr:uid="{86617E2D-A24E-45DC-9EE3-76C6DC3E56D1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6" authorId="0" shapeId="0" xr:uid="{4F745CA8-E720-4DCC-986E-D47925CDFD23}">
      <text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R20" authorId="0" shapeId="0" xr:uid="{72F30C4C-0FD8-4BB0-80EB-CEA91FC18ECF}">
      <text>
        <r>
          <rPr>
            <b/>
            <sz val="9"/>
            <color indexed="81"/>
            <rFont val="돋움"/>
            <family val="3"/>
            <charset val="129"/>
          </rPr>
          <t>최저임금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통상시급과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</t>
        </r>
        <r>
          <rPr>
            <b/>
            <sz val="9"/>
            <color indexed="81"/>
            <rFont val="Tahoma"/>
            <family val="2"/>
          </rPr>
          <t>)
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T20" authorId="0" shapeId="0" xr:uid="{6581FAFD-979C-4B00-BE62-244661E4EA4C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식비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숙박비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교통비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복리후생을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</text>
    </comment>
    <comment ref="U20" authorId="0" shapeId="0" xr:uid="{6BD8C173-FC4D-4748-A331-E5B540815756}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장려가급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裝勵加給</t>
        </r>
        <r>
          <rPr>
            <b/>
            <sz val="9"/>
            <color indexed="81"/>
            <rFont val="Tahoma"/>
            <family val="2"/>
          </rPr>
          <t>)/</t>
        </r>
        <r>
          <rPr>
            <b/>
            <sz val="9"/>
            <color indexed="81"/>
            <rFont val="돋움"/>
            <family val="3"/>
            <charset val="129"/>
          </rPr>
          <t>능률수당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근속수당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정근수당</t>
        </r>
      </text>
    </comment>
    <comment ref="B23" authorId="0" shapeId="0" xr:uid="{92410763-81B9-4614-8DE9-D5996EB282BC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I27" authorId="0" shapeId="0" xr:uid="{172A8759-2808-49AE-B84F-1E80E53BE4AB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C29" authorId="0" shapeId="0" xr:uid="{B7CA548E-CE45-4CF7-A9A5-52CC29E13B0B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</text>
    </comment>
    <comment ref="H29" authorId="0" shapeId="0" xr:uid="{F1E85C33-C580-4254-AE29-0EA03CF2CE33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M29" authorId="0" shapeId="0" xr:uid="{0AE89718-5023-4717-92EA-16635F08AA32}">
      <text>
        <r>
          <rPr>
            <b/>
            <sz val="9"/>
            <color indexed="81"/>
            <rFont val="Tahoma"/>
            <family val="2"/>
          </rPr>
          <t>1. 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R29" authorId="0" shapeId="0" xr:uid="{1D942AED-03BC-4430-872F-1C78E3377F36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26BF2D2E-C853-459F-88F3-3578B2029A02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FA449E88-5312-4D53-B46C-6330C27AE7FD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DE9E7415-8831-4F43-A3B2-9AD75EDFDC4C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0DB156E1-8FEF-4995-A72C-F5C550B11851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</t>
        </r>
      </text>
    </comment>
    <comment ref="J30" authorId="0" shapeId="0" xr:uid="{2DDF8421-CDA1-4079-AB49-6AC2767D1096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71F8FB36-0513-4319-9748-55BCB29BA7AE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CCFBEEDC-C776-4F27-8522-A1862E9815E6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8B3A53F4-7D0D-4520-A968-DB6076D7C629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6" authorId="0" shapeId="0" xr:uid="{BB024108-3101-4B29-896A-2648E0928449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370BD7A6-5D27-49C7-8526-5B0290B4F184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H37" authorId="0" shapeId="0" xr:uid="{F4C3E898-BA4A-4A82-B064-8790D9E3E4D3}">
      <text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</t>
        </r>
      </text>
    </comment>
    <comment ref="A39" authorId="0" shapeId="0" xr:uid="{F4A97DFA-D0AB-49FF-AF72-C73B331CA0C3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39" authorId="0" shapeId="0" xr:uid="{AD4A0DFF-70CB-408F-A683-D9602121B47A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48D643EC-5ECF-4090-89DA-74CAA5EE56B2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5C8BF2A2-092A-47EA-B7C2-28654B16F1D0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72D58DC3-E47B-45ED-A6D1-7C2A6DB0E503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B84DDB7C-63FA-4797-826C-5D35D995B480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95E80552-19CA-4920-8F58-A1FB41161775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3C09ACBF-9CDD-494A-B58C-B0D4E4681F26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DADB19C1-FF1C-4E86-B3D1-40ADE4C9529A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E6013CD6-331E-4126-A3A8-EA7A4DE144EB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CC159974-86FC-4982-8221-69A817113550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6F0CCA6B-15E7-48E3-B0AA-11D9F2E4F47D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B13" authorId="0" shapeId="0" xr:uid="{EFD47101-61B7-4A5E-86C8-86A06002332B}">
      <text>
        <r>
          <rPr>
            <b/>
            <sz val="9"/>
            <color indexed="81"/>
            <rFont val="돋움"/>
            <family val="3"/>
            <charset val="129"/>
          </rPr>
          <t>법정근로시간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
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근로기준법에서는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일과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 xml:space="preserve">.
·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</text>
    </comment>
    <comment ref="G13" authorId="0" shapeId="0" xr:uid="{8986288D-D176-472B-8B86-0919FDC6A4D2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M13" authorId="0" shapeId="0" xr:uid="{97D9E796-2C9B-4F72-9832-77D449144230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B14" authorId="0" shapeId="0" xr:uid="{24BAA54D-2D0E-4862-A438-211CB30CE5ED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E14" authorId="0" shapeId="0" xr:uid="{375B267C-31F8-49D1-950B-60153E97BDD2}">
      <text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소정근로시간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
초과는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</t>
        </r>
      </text>
    </comment>
    <comment ref="G14" authorId="0" shapeId="0" xr:uid="{EB19B177-2FAC-4FC4-B598-419B2633AD90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DC1E98BC-310B-4C79-8463-CAD2BB05240C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640088C7-A6B9-4BD6-B884-85698843D7B1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M16" authorId="0" shapeId="0" xr:uid="{3E627142-930A-48C6-BA82-6D8D7BAB6314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O16" authorId="0" shapeId="0" xr:uid="{0E3F5301-6922-4776-AF1A-067A73E5BEB0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F356AEA9-61E9-4C30-AEF2-43C2BBBF09C7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0" authorId="0" shapeId="0" xr:uid="{4C21FA5F-A73F-4268-96B6-A0B76B2E076D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5" authorId="0" shapeId="0" xr:uid="{56F173EF-B8BC-4396-888F-35DFD1249B5F}">
      <text>
        <r>
          <rPr>
            <b/>
            <sz val="9"/>
            <color indexed="81"/>
            <rFont val="돋움"/>
            <family val="3"/>
            <charset val="129"/>
          </rPr>
          <t>데이터
가상분석
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 xml:space="preserve"> (G)</t>
        </r>
      </text>
    </comment>
    <comment ref="A26" authorId="0" shapeId="0" xr:uid="{62F55705-5DE7-409E-BFD4-05B93D5EDDCA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</text>
    </comment>
    <comment ref="C26" authorId="0" shapeId="0" xr:uid="{F751EEA2-F347-4C4F-AEB2-B84351B43E95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6" authorId="0" shapeId="0" xr:uid="{187189EA-586B-4C65-8F96-79DE92F34E4A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I27" authorId="0" shapeId="0" xr:uid="{3C850027-2716-4356-AC8E-A3E3D87A6163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F28" authorId="0" shapeId="0" xr:uid="{7779B7AE-1005-4A7D-8624-C4524F1D890D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소수점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단수조정</t>
        </r>
      </text>
    </comment>
    <comment ref="G28" authorId="0" shapeId="0" xr:uid="{A4486EDC-0726-492E-8E40-35BF6CF25432}">
      <text>
        <r>
          <rPr>
            <b/>
            <sz val="9"/>
            <color indexed="81"/>
            <rFont val="돋움"/>
            <family val="3"/>
            <charset val="129"/>
          </rPr>
          <t>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29" authorId="0" shapeId="0" xr:uid="{E3B0671C-A740-487A-85B8-2DD286784281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근로계약·취업규칙·단체협약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직종·근무형태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연장·야간·휴일근로수당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H29" authorId="0" shapeId="0" xr:uid="{7080322C-4D82-4CF1-B9E0-B7A7A3D25267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A9E13721-2326-418B-8261-C8683E72EC90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B2B9338C-4F48-43AC-B4F9-287EBDF86FB3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E391F996-3777-4490-B55E-B530B1E098B9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F20C2515-FA39-4B2D-9873-A64334501500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</t>
        </r>
      </text>
    </comment>
    <comment ref="J30" authorId="0" shapeId="0" xr:uid="{B78C9179-5B10-483F-A71E-59A9E3594463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D583DC2B-C4F3-45DA-BB3D-EB5653E4626A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0AE09217-DBFC-46F9-8115-8E0054829C93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7F948613-D963-4835-988B-AC4A6E6A8221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O35" authorId="0" shapeId="0" xr:uid="{36F0CB76-12FA-41A3-8D08-E37F420881BD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F36" authorId="0" shapeId="0" xr:uid="{C2340332-4807-4185-A722-F64AFC3BF342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065BFD3B-0E61-4EF8-86F5-AC92E459A140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P37" authorId="0" shapeId="0" xr:uid="{436F087D-6ACB-42E7-B9B0-3D8B50A56729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8" authorId="0" shapeId="0" xr:uid="{E2801D9A-257C-47A1-A587-0054C0D9E069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40" authorId="0" shapeId="0" xr:uid="{2E6F64E2-1C1C-4B6A-9790-69A6D1E719E4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C6B0A680-58E4-4F16-99B0-8EE0D35286AE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U5" authorId="0" shapeId="0" xr:uid="{634E80CE-E941-4CBE-BFD4-625CBA30D221}">
      <text>
        <r>
          <rPr>
            <b/>
            <sz val="9"/>
            <color indexed="81"/>
            <rFont val="돋움"/>
            <family val="3"/>
            <charset val="129"/>
          </rPr>
          <t>휴게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점심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G3" authorId="0" shapeId="0" xr:uid="{FCFAEEE4-DA38-475E-97ED-D4473098DA30}">
      <text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때마다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구성항목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등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</t>
        </r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)] 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2021.5.18]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2021.11.19]]
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전자문서법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정의</t>
        </r>
        <r>
          <rPr>
            <b/>
            <sz val="9"/>
            <color indexed="81"/>
            <rFont val="Tahoma"/>
            <family val="2"/>
          </rPr>
          <t>)
1. “</t>
        </r>
        <r>
          <rPr>
            <b/>
            <sz val="9"/>
            <color indexed="81"/>
            <rFont val="돋움"/>
            <family val="3"/>
            <charset val="129"/>
          </rPr>
          <t>전자문서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정보처리시스템에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전자적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형태로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변환되거나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송신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수신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
2.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사항
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b/>
            <sz val="9"/>
            <color indexed="81"/>
            <rFont val="돋움"/>
            <family val="3"/>
            <charset val="129"/>
          </rPr>
          <t>임금명세서는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등에게도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측면이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있음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따라서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인정
</t>
        </r>
        <r>
          <rPr>
            <b/>
            <sz val="9"/>
            <color indexed="81"/>
            <rFont val="Tahoma"/>
            <family val="2"/>
          </rPr>
          <t xml:space="preserve">   - 30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金梅毛隸書"/>
            <family val="3"/>
            <charset val="136"/>
          </rPr>
          <t>‧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제외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500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과태료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게시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사용증명서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명부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증명서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임산부의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서류의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취업규칙의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신고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기숙사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규칙의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과태료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부과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임금대장을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임금명세서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교부의무를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1) </t>
        </r>
        <r>
          <rPr>
            <b/>
            <sz val="9"/>
            <color indexed="81"/>
            <rFont val="돋움"/>
            <family val="3"/>
            <charset val="129"/>
          </rPr>
          <t>임금명세서를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   2) </t>
        </r>
        <r>
          <rPr>
            <b/>
            <sz val="9"/>
            <color indexed="81"/>
            <rFont val="돋움"/>
            <family val="3"/>
            <charset val="129"/>
          </rPr>
          <t>임금명세서에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기재사항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     1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위반시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</text>
    </comment>
    <comment ref="A6" authorId="0" shapeId="0" xr:uid="{49DF5984-26B6-4414-9651-5299A8984CAE}">
      <text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
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
성명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생년월일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사원번호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6" authorId="0" shapeId="0" xr:uid="{89F05990-C509-4CF3-B03C-5486076F85C8}">
      <text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동일성명이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생략가능</t>
        </r>
      </text>
    </comment>
    <comment ref="B7" authorId="0" shapeId="0" xr:uid="{E55B4A6D-BEF4-4450-80A9-AF4995111C54}">
      <text>
        <r>
          <rPr>
            <b/>
            <sz val="9"/>
            <color indexed="81"/>
            <rFont val="돋움"/>
            <family val="3"/>
            <charset val="129"/>
          </rPr>
          <t>정확한 급여는 입사시 주 소정근로시간 15시간이상 &amp; 주 약정근로시간 근무한 주만  주휴수당지급</t>
        </r>
      </text>
    </comment>
    <comment ref="A8" authorId="0" shapeId="0" xr:uid="{B7466C0B-7BD3-4F63-BD8C-ACA58D8B9F8C}">
      <text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</text>
    </comment>
    <comment ref="B8" authorId="0" shapeId="0" xr:uid="{53A4FCB4-1299-4498-B967-C43328E1D15B}">
      <text>
        <r>
          <rPr>
            <b/>
            <sz val="9"/>
            <color indexed="81"/>
            <rFont val="돋움"/>
            <family val="3"/>
            <charset val="129"/>
          </rPr>
          <t>마직막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근무일
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상실일은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마지막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9" authorId="0" shapeId="0" xr:uid="{671762A1-593C-4798-9CA6-8B2E1C087DC9}">
      <text>
        <r>
          <rPr>
            <b/>
            <sz val="9"/>
            <color indexed="81"/>
            <rFont val="돋움"/>
            <family val="3"/>
            <charset val="129"/>
          </rPr>
          <t>이메일</t>
        </r>
        <r>
          <rPr>
            <b/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돋움"/>
            <family val="3"/>
            <charset val="129"/>
          </rPr>
          <t>핸드폰번호</t>
        </r>
        <r>
          <rPr>
            <b/>
            <sz val="9"/>
            <color indexed="81"/>
            <rFont val="Tahoma"/>
            <family val="2"/>
          </rPr>
          <t>(MP)</t>
        </r>
      </text>
    </comment>
    <comment ref="A10" authorId="0" shapeId="0" xr:uid="{BE22B928-FC8C-40F5-9DD2-DDEDA4302278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
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각종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상여금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성과급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평가액을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G11" authorId="0" shapeId="0" xr:uid="{B1C5EAAC-78B0-4CC6-BF57-22049984CC5D}">
      <text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
근로소득세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대보험료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
금액과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12" authorId="0" shapeId="0" xr:uid="{0E7099FD-A21E-4E69-B1CF-F8536D7C2AC7}">
      <text>
        <r>
          <rPr>
            <b/>
            <sz val="9"/>
            <color indexed="81"/>
            <rFont val="맑은 고딕"/>
            <family val="2"/>
            <charset val="129"/>
          </rPr>
          <t>기본급(월급제는 기본급에 주휴수당포함)
여러 가지 수당
가족수당/연장근로수당/휴일근로수당/야간근로수당/연차수당
기본급
가족수당
연장근로수당
야간근로수당 (5인이상)
휴일근로수당
연차휴가수당 (5인이상)
직책수당
그외 수당
급여소급분
식대(비과세)
육아보육수당(비과세)
자가운전보조(비과세)</t>
        </r>
      </text>
    </comment>
    <comment ref="B13" authorId="0" shapeId="0" xr:uid="{A43B3B8A-A200-4B57-BCAA-50962C4BBFCA}">
      <text>
        <r>
          <rPr>
            <b/>
            <sz val="9"/>
            <color indexed="81"/>
            <rFont val="돋움"/>
            <family val="3"/>
            <charset val="129"/>
          </rPr>
          <t>법정근로시간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
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근로기준법에서는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일과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 xml:space="preserve">.
· </t>
        </r>
        <r>
          <rPr>
            <b/>
            <sz val="9"/>
            <color indexed="81"/>
            <rFont val="돋움"/>
            <family val="3"/>
            <charset val="129"/>
          </rPr>
          <t>근로시간은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</text>
    </comment>
    <comment ref="G13" authorId="0" shapeId="0" xr:uid="{52A6B6FD-1CB3-43EB-969F-08B253B6FD02}">
      <text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미만이거나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2015.7.29.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당연적용하되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공무원연금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사립학교교직원연금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별정우체국연금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타공적연금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가입자
공무원연금법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보상법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사립학교교직원연금법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장해연금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퇴직연금일시금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군인연금법에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퇴역연금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퇴역연금일시금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군인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재해보상법에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상이연금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퇴직연금등수급권자가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「국민연금과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직역연금의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기한을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사용되면서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근로일수가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
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적용기준</t>
        </r>
        <r>
          <rPr>
            <b/>
            <sz val="9"/>
            <color indexed="81"/>
            <rFont val="Tahoma"/>
            <family val="2"/>
          </rPr>
          <t xml:space="preserve"> (2018.8.1.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    - </t>
        </r>
        <r>
          <rPr>
            <b/>
            <sz val="9"/>
            <color indexed="81"/>
            <rFont val="돋움"/>
            <family val="3"/>
            <charset val="129"/>
          </rPr>
          <t>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-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*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사업장가입자로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      * (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날도</t>
        </r>
        <r>
          <rPr>
            <b/>
            <sz val="9"/>
            <color indexed="81"/>
            <rFont val="Tahoma"/>
            <family val="2"/>
          </rPr>
          <t xml:space="preserve"> “1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”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소재지가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근로자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
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가입대상임
가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고등교육법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
나</t>
        </r>
        <r>
          <rPr>
            <b/>
            <sz val="9"/>
            <color indexed="81"/>
            <rFont val="Tahoma"/>
            <family val="2"/>
          </rPr>
          <t>.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사람으로서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희망하는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
※</t>
        </r>
        <r>
          <rPr>
            <b/>
            <sz val="9"/>
            <color indexed="81"/>
            <rFont val="Tahoma"/>
            <family val="2"/>
          </rPr>
          <t xml:space="preserve"> “2020.7.1.” </t>
        </r>
        <r>
          <rPr>
            <b/>
            <sz val="9"/>
            <color indexed="81"/>
            <rFont val="돋움"/>
            <family val="3"/>
            <charset val="129"/>
          </rPr>
          <t>시행된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국민연금법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가입요건인</t>
        </r>
        <r>
          <rPr>
            <b/>
            <sz val="9"/>
            <color indexed="81"/>
            <rFont val="Tahoma"/>
            <family val="2"/>
          </rPr>
          <t xml:space="preserve"> “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”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삭제되었습니다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노령연금수급권을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특수직종근로자
조기노령연금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수급권을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소득있는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종사하게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정지중인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
가입대상임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M13" authorId="0" shapeId="0" xr:uid="{313D1CBC-2A87-415A-8B99-ACA29AE105CE}">
      <text>
        <r>
          <rPr>
            <b/>
            <sz val="9"/>
            <color indexed="81"/>
            <rFont val="돋움"/>
            <family val="3"/>
            <charset val="129"/>
          </rPr>
          <t>국민연금보험료는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언제까지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내야할까요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예를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설명해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볼게요
</t>
        </r>
        <r>
          <rPr>
            <b/>
            <sz val="9"/>
            <color indexed="81"/>
            <rFont val="Tahoma"/>
            <family val="2"/>
          </rPr>
          <t>1961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출생이신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분이라면
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만으로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되시고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태어나셨으니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입니다</t>
        </r>
        <r>
          <rPr>
            <b/>
            <sz val="9"/>
            <color indexed="81"/>
            <rFont val="Tahoma"/>
            <family val="2"/>
          </rPr>
          <t>.
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01</t>
        </r>
        <r>
          <rPr>
            <b/>
            <sz val="9"/>
            <color indexed="81"/>
            <rFont val="돋움"/>
            <family val="3"/>
            <charset val="129"/>
          </rPr>
          <t>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태어나셨었다면
</t>
        </r>
        <r>
          <rPr>
            <b/>
            <sz val="9"/>
            <color indexed="81"/>
            <rFont val="Tahoma"/>
            <family val="2"/>
          </rPr>
          <t>02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하지만</t>
        </r>
        <r>
          <rPr>
            <b/>
            <sz val="9"/>
            <color indexed="81"/>
            <rFont val="Tahoma"/>
            <family val="2"/>
          </rPr>
          <t xml:space="preserve"> 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때문에
</t>
        </r>
        <r>
          <rPr>
            <b/>
            <sz val="9"/>
            <color indexed="81"/>
            <rFont val="Tahoma"/>
            <family val="2"/>
          </rPr>
          <t>03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까지는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된답니다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국민연금보험료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속한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달까지</t>
        </r>
      </text>
    </comment>
    <comment ref="B14" authorId="0" shapeId="0" xr:uid="{08AAD7EE-7595-4B1F-8FB0-C4004E7611D3}">
      <text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E14" authorId="0" shapeId="0" xr:uid="{43C37C13-6374-44E2-820B-AA0126C58421}">
      <text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소정근로시간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한도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
초과는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연장근로시간수</t>
        </r>
      </text>
    </comment>
    <comment ref="G14" authorId="0" shapeId="0" xr:uid="{326CBE6F-4652-4172-9B19-C4149D2FFF95}">
      <text>
        <r>
          <rPr>
            <b/>
            <sz val="9"/>
            <color indexed="81"/>
            <rFont val="돋움"/>
            <family val="3"/>
            <charset val="129"/>
          </rPr>
          <t>보험료율</t>
        </r>
        <r>
          <rPr>
            <b/>
            <sz val="9"/>
            <color indexed="81"/>
            <rFont val="Tahoma"/>
            <family val="2"/>
          </rPr>
          <t>(2021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건강보험료율</t>
        </r>
        <r>
          <rPr>
            <b/>
            <sz val="9"/>
            <color indexed="81"/>
            <rFont val="Tahoma"/>
            <family val="2"/>
          </rPr>
          <t xml:space="preserve"> : 6.86%(</t>
        </r>
        <r>
          <rPr>
            <b/>
            <sz val="9"/>
            <color indexed="81"/>
            <rFont val="돋움"/>
            <family val="3"/>
            <charset val="129"/>
          </rPr>
          <t>가입자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사용자부담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장기요양보험료율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건강보험료의</t>
        </r>
        <r>
          <rPr>
            <b/>
            <sz val="9"/>
            <color indexed="81"/>
            <rFont val="Tahoma"/>
            <family val="2"/>
          </rPr>
          <t xml:space="preserve"> 11.52%
</t>
        </r>
        <r>
          <rPr>
            <b/>
            <sz val="9"/>
            <color indexed="81"/>
            <rFont val="돋움"/>
            <family val="3"/>
            <charset val="129"/>
          </rPr>
          <t>보수월액보험료
직장가입자의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능력에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채택
소득월액보험료
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보수외소득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3,400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보수외소득을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 xml:space="preserve">(2018.07.01.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2012.09.01.~2018.06.30. : </t>
        </r>
        <r>
          <rPr>
            <b/>
            <sz val="9"/>
            <color indexed="81"/>
            <rFont val="돋움"/>
            <family val="3"/>
            <charset val="129"/>
          </rPr>
          <t>연간</t>
        </r>
        <r>
          <rPr>
            <b/>
            <sz val="9"/>
            <color indexed="81"/>
            <rFont val="Tahoma"/>
            <family val="2"/>
          </rPr>
          <t xml:space="preserve"> 7,200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
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경감대상자
휴직기간이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직장가입자
무보수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경감
유보수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육아휴직
</t>
        </r>
        <r>
          <rPr>
            <b/>
            <sz val="9"/>
            <color indexed="81"/>
            <rFont val="Tahoma"/>
            <family val="2"/>
          </rPr>
          <t xml:space="preserve">2011.11.30.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2011.12.01.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2015.04.01.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</t>
        </r>
        <r>
          <rPr>
            <b/>
            <sz val="9"/>
            <color indexed="81"/>
            <rFont val="Tahoma"/>
            <family val="2"/>
          </rPr>
          <t>(250</t>
        </r>
        <r>
          <rPr>
            <b/>
            <sz val="9"/>
            <color indexed="81"/>
            <rFont val="돋움"/>
            <family val="3"/>
            <charset val="129"/>
          </rPr>
          <t>만원을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250</t>
        </r>
        <r>
          <rPr>
            <b/>
            <sz val="9"/>
            <color indexed="81"/>
            <rFont val="돋움"/>
            <family val="3"/>
            <charset val="129"/>
          </rPr>
          <t>만원으로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 xml:space="preserve">경감
</t>
        </r>
        <r>
          <rPr>
            <b/>
            <sz val="9"/>
            <color indexed="81"/>
            <rFont val="Tahoma"/>
            <family val="2"/>
          </rPr>
          <t xml:space="preserve">2019.01.01.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휴직기간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국민건강보험법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보수월액보험료와의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차액만큼을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경감
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
대상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직위해제자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무노동무임금자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방학기간의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
고지유예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보수월액에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
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신청절차를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가능
</t>
        </r>
        <r>
          <rPr>
            <b/>
            <sz val="9"/>
            <color indexed="81"/>
            <rFont val="Tahoma"/>
            <family val="2"/>
          </rPr>
          <t>2008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휴·복직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장기요양보험료도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소득월액보험료는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경감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없음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개인사업장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휴직자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납입고지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아님</t>
        </r>
      </text>
    </comment>
    <comment ref="G16" authorId="0" shapeId="0" xr:uid="{2F393CA5-7F9C-45B6-87B3-D283F3F1EB13}">
      <text>
        <r>
          <rPr>
            <b/>
            <sz val="9"/>
            <color indexed="81"/>
            <rFont val="Tahoma"/>
            <family val="2"/>
          </rPr>
          <t>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>)
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자
외국인근로자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직원
</t>
        </r>
        <r>
          <rPr>
            <b/>
            <sz val="9"/>
            <color indexed="81"/>
            <rFont val="Tahoma"/>
            <family val="2"/>
          </rPr>
          <t>============================================================================================================</t>
        </r>
        <r>
          <rPr>
            <b/>
            <sz val="9"/>
            <color indexed="81"/>
            <rFont val="돋움"/>
            <family val="3"/>
            <charset val="129"/>
          </rPr>
          <t xml:space="preserve">
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동거가족을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등기임원을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가능한지에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알아보도록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하겠습니다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직계가족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산재보험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가입대상이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아닙니다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사용종속관계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."
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친족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배우자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파악이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어려우며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사회통념상으로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사업주와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동업관계</t>
        </r>
        <r>
          <rPr>
            <b/>
            <sz val="9"/>
            <color indexed="81"/>
            <rFont val="Tahoma"/>
            <family val="2"/>
          </rPr>
          <t>", "</t>
        </r>
        <r>
          <rPr>
            <b/>
            <sz val="9"/>
            <color indexed="81"/>
            <rFont val="돋움"/>
            <family val="3"/>
            <charset val="129"/>
          </rPr>
          <t>생계를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힘들기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때문입니다</t>
        </r>
        <r>
          <rPr>
            <b/>
            <sz val="9"/>
            <color indexed="81"/>
            <rFont val="Tahoma"/>
            <family val="2"/>
          </rPr>
          <t>.
​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등기임원의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중요합니다</t>
        </r>
        <r>
          <rPr>
            <b/>
            <sz val="9"/>
            <color indexed="81"/>
            <rFont val="Tahoma"/>
            <family val="2"/>
          </rPr>
          <t>. 
[</t>
        </r>
        <r>
          <rPr>
            <b/>
            <sz val="9"/>
            <color indexed="81"/>
            <rFont val="돋움"/>
            <family val="3"/>
            <charset val="129"/>
          </rPr>
          <t>출처</t>
        </r>
        <r>
          <rPr>
            <b/>
            <sz val="9"/>
            <color indexed="81"/>
            <rFont val="Tahoma"/>
            <family val="2"/>
          </rPr>
          <t>] [</t>
        </r>
        <r>
          <rPr>
            <b/>
            <sz val="9"/>
            <color indexed="81"/>
            <rFont val="돋움"/>
            <family val="3"/>
            <charset val="129"/>
          </rPr>
          <t>창원노무사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경남노무사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대표자의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등기임원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산재·고용보험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>|</t>
        </r>
        <r>
          <rPr>
            <b/>
            <sz val="9"/>
            <color indexed="81"/>
            <rFont val="돋움"/>
            <family val="3"/>
            <charset val="129"/>
          </rPr>
          <t>작성자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노무법인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성산</t>
        </r>
      </text>
    </comment>
    <comment ref="I16" authorId="0" shapeId="0" xr:uid="{57571E66-9930-4633-8DDF-A9C49BEE57DF}">
      <text>
        <r>
          <rPr>
            <b/>
            <sz val="9"/>
            <color indexed="81"/>
            <rFont val="돋움"/>
            <family val="3"/>
            <charset val="129"/>
          </rPr>
          <t>제목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안내</t>
        </r>
        <r>
          <rPr>
            <b/>
            <sz val="9"/>
            <color indexed="81"/>
            <rFont val="Tahoma"/>
            <family val="2"/>
          </rPr>
          <t xml:space="preserve"> 2018-09-05
&lt;&lt;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알림</t>
        </r>
        <r>
          <rPr>
            <b/>
            <sz val="9"/>
            <color indexed="81"/>
            <rFont val="Tahoma"/>
            <family val="2"/>
          </rPr>
          <t>&gt;&gt;
'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2018.7.3.</t>
        </r>
        <r>
          <rPr>
            <b/>
            <sz val="9"/>
            <color indexed="81"/>
            <rFont val="돋움"/>
            <family val="3"/>
            <charset val="129"/>
          </rPr>
          <t>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그동안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적용제외되었던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자는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</t>
        </r>
        <r>
          <rPr>
            <b/>
            <sz val="9"/>
            <color indexed="81"/>
            <rFont val="Tahoma"/>
            <family val="2"/>
          </rPr>
          <t xml:space="preserve">"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당연가입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목적에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제외했던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주간학생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상관없이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아르바이트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학생은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대상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○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요양보호사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가족인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요양보허사도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♣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취득일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개정으로</t>
        </r>
        <r>
          <rPr>
            <b/>
            <sz val="9"/>
            <color indexed="81"/>
            <rFont val="Tahoma"/>
            <family val="2"/>
          </rPr>
          <t xml:space="preserve"> '2018.7.3.</t>
        </r>
        <r>
          <rPr>
            <b/>
            <sz val="9"/>
            <color indexed="81"/>
            <rFont val="돋움"/>
            <family val="3"/>
            <charset val="129"/>
          </rPr>
          <t>자부터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됨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1)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고용되었으나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 xml:space="preserve">적용제외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2)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'2018.7.3.</t>
        </r>
        <r>
          <rPr>
            <b/>
            <sz val="9"/>
            <color indexed="81"/>
            <rFont val="돋움"/>
            <family val="3"/>
            <charset val="129"/>
          </rPr>
          <t>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취득
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 3) 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계속근로기간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고용일에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
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적용제외근로자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고용보험법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 xml:space="preserve">조
</t>
        </r>
      </text>
    </comment>
    <comment ref="M16" authorId="0" shapeId="0" xr:uid="{736E8F59-0375-4F42-ACEA-51EBC3130DC8}">
      <text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공제함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세이후고용된자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노무비지급대장상에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  <r>
          <rPr>
            <b/>
            <sz val="9"/>
            <color indexed="81"/>
            <rFont val="Tahoma"/>
            <family val="2"/>
          </rPr>
          <t>..   (</t>
        </r>
        <r>
          <rPr>
            <b/>
            <sz val="9"/>
            <color indexed="81"/>
            <rFont val="돋움"/>
            <family val="3"/>
            <charset val="129"/>
          </rPr>
          <t>여기서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실업급여란</t>
        </r>
        <r>
          <rPr>
            <b/>
            <sz val="9"/>
            <color indexed="81"/>
            <rFont val="Tahoma"/>
            <family val="2"/>
          </rPr>
          <t>--</t>
        </r>
        <r>
          <rPr>
            <b/>
            <sz val="9"/>
            <color indexed="81"/>
            <rFont val="돋움"/>
            <family val="3"/>
            <charset val="129"/>
          </rPr>
          <t>고용보험료임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고용안정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직업능력개발사업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3/31</t>
        </r>
        <r>
          <rPr>
            <b/>
            <sz val="9"/>
            <color indexed="81"/>
            <rFont val="돋움"/>
            <family val="3"/>
            <charset val="129"/>
          </rPr>
          <t>일날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부담하여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납부함</t>
        </r>
        <r>
          <rPr>
            <b/>
            <sz val="9"/>
            <color indexed="81"/>
            <rFont val="Tahoma"/>
            <family val="2"/>
          </rPr>
          <t>.)</t>
        </r>
      </text>
    </comment>
    <comment ref="O16" authorId="0" shapeId="0" xr:uid="{77CCBDBC-0668-4879-82C8-C0CA3DDC77FA}">
      <text>
        <r>
          <rPr>
            <b/>
            <sz val="9"/>
            <color indexed="81"/>
            <rFont val="돋움"/>
            <family val="3"/>
            <charset val="129"/>
          </rPr>
          <t>적용대상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
고용보험은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적용되나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
⊙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자영업을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), </t>
        </r>
        <r>
          <rPr>
            <b/>
            <sz val="9"/>
            <color indexed="81"/>
            <rFont val="돋움"/>
            <family val="3"/>
            <charset val="129"/>
          </rPr>
          <t>육아휴직급여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장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고용안정·직업능력개발사업은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피보험자격을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유지하던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사람이</t>
        </r>
        <r>
          <rPr>
            <b/>
            <sz val="9"/>
            <color indexed="81"/>
            <rFont val="Tahoma"/>
            <family val="2"/>
          </rPr>
          <t xml:space="preserve"> 65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실업급여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>(19.1.15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개월간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60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주간의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
*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>,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대상임
⊙「국가공무원법」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「지방공무원법」에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공무원
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임의가입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실업급여만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
  *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별정직·임기제공무원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가입신청서와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재직증명서를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근로복지공단에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신청하지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⊙「사립학교교직원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연금법」의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
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외국인근로자
</t>
        </r>
        <r>
          <rPr>
            <b/>
            <sz val="9"/>
            <color indexed="81"/>
            <rFont val="Tahoma"/>
            <family val="2"/>
          </rPr>
          <t xml:space="preserve">   - </t>
        </r>
        <r>
          <rPr>
            <b/>
            <sz val="9"/>
            <color indexed="81"/>
            <rFont val="돋움"/>
            <family val="3"/>
            <charset val="129"/>
          </rPr>
          <t>외국인근로자의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적용제외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대상이나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일부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체류자격의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임의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상호주의로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
⊙「별정우체국법」에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별정우체국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1BC41364-F829-49A2-872C-F22A6F95DF7B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상시근로자수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주약정근로시간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수당지급
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인미만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
연차수당일수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</t>
        </r>
        <r>
          <rPr>
            <b/>
            <sz val="9"/>
            <color indexed="81"/>
            <rFont val="Tahoma"/>
            <family val="2"/>
          </rPr>
          <t xml:space="preserve"> https://cafe.daum.net/transtax/R96D/62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취업규칙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막대한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시기를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2012.2.1, 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  1.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질병으로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「남녀고용평등과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가정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법률」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19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육아휴직으로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휴업한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
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끝날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행사하지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소멸된다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사용자의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귀책사유로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2020.3.31]</t>
        </r>
      </text>
    </comment>
    <comment ref="E20" authorId="0" shapeId="0" xr:uid="{B5456F74-2FA2-4A06-84BB-7C502EFB98A8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만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연차미사용수당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관리편의상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회계연도기준으로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급여지급일에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일괄적으로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지급
</t>
        </r>
        <r>
          <rPr>
            <b/>
            <sz val="9"/>
            <color indexed="81"/>
            <rFont val="Tahoma"/>
            <family val="2"/>
          </rPr>
          <t xml:space="preserve">     (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입사연도기준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퇴직금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지급시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5" authorId="0" shapeId="0" xr:uid="{02413098-4E15-47AB-BF83-1BA882FA6C0C}">
      <text>
        <r>
          <rPr>
            <b/>
            <sz val="9"/>
            <color indexed="81"/>
            <rFont val="돋움"/>
            <family val="3"/>
            <charset val="129"/>
          </rPr>
          <t>데이터
가상분석
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 xml:space="preserve"> (G)</t>
        </r>
      </text>
    </comment>
    <comment ref="A26" authorId="0" shapeId="0" xr:uid="{A8B50133-9C29-4162-8EEB-C7285D1DF625}">
      <text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소정약정근로시간이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시급·일용근로자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미사용일수에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(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사업장에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퍼센트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2012.2.1]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2012.8.2]]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[2017.11.28]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2018.5.29]]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최초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매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근로기준법제</t>
        </r>
        <r>
          <rPr>
            <b/>
            <sz val="9"/>
            <color indexed="81"/>
            <rFont val="Tahoma"/>
            <family val="2"/>
          </rPr>
          <t>61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촉진</t>
        </r>
        <r>
          <rPr>
            <b/>
            <sz val="9"/>
            <color indexed="81"/>
            <rFont val="Tahoma"/>
            <family val="2"/>
          </rPr>
          <t xml:space="preserve">)
</t>
        </r>
      </text>
    </comment>
    <comment ref="C26" authorId="0" shapeId="0" xr:uid="{DE36A31C-7E1B-44B8-8004-FDF48863921F}">
      <text>
        <r>
          <rPr>
            <b/>
            <sz val="9"/>
            <color indexed="81"/>
            <rFont val="돋움"/>
            <family val="3"/>
            <charset val="129"/>
          </rPr>
          <t>당월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귀속월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연차사용일수</t>
        </r>
      </text>
    </comment>
    <comment ref="F26" authorId="0" shapeId="0" xr:uid="{0F80C271-CD5F-46DE-A409-6B73D2D86524}">
      <text>
        <r>
          <rPr>
            <b/>
            <sz val="9"/>
            <color indexed="81"/>
            <rFont val="돋움"/>
            <family val="3"/>
            <charset val="129"/>
          </rPr>
          <t>회계연도기준
누적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사용일수</t>
        </r>
      </text>
    </comment>
    <comment ref="I27" authorId="0" shapeId="0" xr:uid="{8E3E857A-4641-4301-AD2B-7F14F4E16969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
데이터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가상분석</t>
        </r>
        <r>
          <rPr>
            <b/>
            <sz val="9"/>
            <color indexed="81"/>
            <rFont val="Tahoma"/>
            <family val="2"/>
          </rPr>
          <t>&gt;</t>
        </r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</t>
        </r>
        <r>
          <rPr>
            <b/>
            <sz val="9"/>
            <color indexed="81"/>
            <rFont val="Tahoma"/>
            <family val="2"/>
          </rPr>
          <t>(G)</t>
        </r>
      </text>
    </comment>
    <comment ref="F28" authorId="0" shapeId="0" xr:uid="{43D8C969-E758-4AC8-97BC-170BF110D5E3}">
      <text>
        <r>
          <rPr>
            <b/>
            <sz val="9"/>
            <color indexed="81"/>
            <rFont val="돋움"/>
            <family val="3"/>
            <charset val="129"/>
          </rPr>
          <t>목표값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소수점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단수조정</t>
        </r>
      </text>
    </comment>
    <comment ref="G28" authorId="0" shapeId="0" xr:uid="{CA672F56-3D36-4ED6-88E3-2B7A0077B5F7}">
      <text>
        <r>
          <rPr>
            <b/>
            <sz val="9"/>
            <color indexed="81"/>
            <rFont val="돋움"/>
            <family val="3"/>
            <charset val="129"/>
          </rPr>
          <t>정확한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주만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주휴수당지급
퇴사시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미연차수당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급여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퇴직급여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지급여부</t>
        </r>
        <r>
          <rPr>
            <b/>
            <sz val="9"/>
            <color indexed="81"/>
            <rFont val="Tahoma"/>
            <family val="2"/>
          </rPr>
          <t xml:space="preserve"> check!! (</t>
        </r>
        <r>
          <rPr>
            <b/>
            <sz val="9"/>
            <color indexed="81"/>
            <rFont val="돋움"/>
            <family val="3"/>
            <charset val="129"/>
          </rPr>
          <t>연차사용촉진제도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따르면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하루치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주휴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단기간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관계없이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일주일에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초단시간근로자라고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  <r>
          <rPr>
            <b/>
            <sz val="9"/>
            <color indexed="81"/>
            <rFont val="Tahoma"/>
            <family val="2"/>
          </rPr>
          <t>.
"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발생하나</t>
        </r>
        <r>
          <rPr>
            <b/>
            <sz val="9"/>
            <color indexed="81"/>
            <rFont val="Tahoma"/>
            <family val="2"/>
          </rPr>
          <t xml:space="preserve">?
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않았다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그러므로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만근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월차휴가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걸쳐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만약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월요일부터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연차주휴수당이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것인가요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유급주휴일은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연차휴가를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하더라도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금요일까지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유급주휴일도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봅니다</t>
        </r>
        <r>
          <rPr>
            <b/>
            <sz val="9"/>
            <color indexed="81"/>
            <rFont val="Tahoma"/>
            <family val="2"/>
          </rPr>
          <t xml:space="preserve">.
Q : </t>
        </r>
        <r>
          <rPr>
            <b/>
            <sz val="9"/>
            <color indexed="81"/>
            <rFont val="돋움"/>
            <family val="3"/>
            <charset val="129"/>
          </rPr>
          <t>그러면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달라집니까</t>
        </r>
        <r>
          <rPr>
            <b/>
            <sz val="9"/>
            <color indexed="81"/>
            <rFont val="Tahoma"/>
            <family val="2"/>
          </rPr>
          <t xml:space="preserve">?
A : </t>
        </r>
        <r>
          <rPr>
            <b/>
            <sz val="9"/>
            <color indexed="81"/>
            <rFont val="돋움"/>
            <family val="3"/>
            <charset val="129"/>
          </rPr>
          <t>달라집니다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소정근로일수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나머지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연차유급휴가를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간주되기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유급주휴수당은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것입니다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29" authorId="0" shapeId="0" xr:uid="{0B7DAA59-CF1C-41CA-991C-8E00A8A10DE8}">
      <text>
        <r>
          <rPr>
            <b/>
            <sz val="9"/>
            <color indexed="81"/>
            <rFont val="돋움"/>
            <family val="3"/>
            <charset val="129"/>
          </rPr>
          <t xml:space="preserve">최저임금
</t>
        </r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9,160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73,280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1,914,440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69,760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1,822,480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8,590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68,720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1,795,310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8,350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>(8h) 66,800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>(209h) 1,745,150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정기적·일률적으로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금액·월급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  
1.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3.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) 
4. </t>
        </r>
        <r>
          <rPr>
            <b/>
            <sz val="9"/>
            <color indexed="81"/>
            <rFont val="돋움"/>
            <family val="3"/>
            <charset val="129"/>
          </rPr>
          <t>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임금산정기간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임금마감일이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임금마감기간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</t>
        </r>
        <r>
          <rPr>
            <b/>
            <sz val="9"/>
            <color indexed="81"/>
            <rFont val="Tahoma"/>
            <family val="2"/>
          </rPr>
          <t xml:space="preserve">)   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산정기초임금을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유급처리되는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도급제에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1.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임금산정기간의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연장·야간·휴일근로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가산수당은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조제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총근로시간수를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3. </t>
        </r>
        <r>
          <rPr>
            <b/>
            <sz val="9"/>
            <color indexed="81"/>
            <rFont val="돋움"/>
            <family val="3"/>
            <charset val="129"/>
          </rPr>
          <t>주급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4. </t>
        </r>
        <r>
          <rPr>
            <b/>
            <sz val="9"/>
            <color indexed="81"/>
            <rFont val="돋움"/>
            <family val="3"/>
            <charset val="129"/>
          </rPr>
          <t>월급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산정기준시간을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곱한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일정기간으로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정하여진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정한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항까지에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판단기준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통상임금에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별표의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명칭만으로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판단하여서는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아니되며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근로계약·취업규칙·단체협약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직종·근무형태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지급관행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종합적으로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
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근거하는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해고예고수당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휴업수당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유급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휴일임금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연장·야간·휴일근로수당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유급휴가수당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출산전후휴가수당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밖에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노동관계법에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H29" authorId="0" shapeId="0" xr:uid="{32F13F95-9590-4E76-8008-EB83D613972F}">
      <text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=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휴게시간
소정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약정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근로시간
일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, 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안됨</t>
        </r>
      </text>
    </comment>
    <comment ref="A30" authorId="0" shapeId="0" xr:uid="{CB261C16-9676-43F1-930A-A6FBFBA449AC}">
      <text>
        <r>
          <rPr>
            <b/>
            <sz val="9"/>
            <color indexed="81"/>
            <rFont val="돋움"/>
            <family val="3"/>
            <charset val="129"/>
          </rPr>
          <t>근로일수
실제로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출근하여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지각이나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포함되고</t>
        </r>
        <r>
          <rPr>
            <b/>
            <sz val="9"/>
            <color indexed="81"/>
            <rFont val="Tahoma"/>
            <family val="2"/>
          </rPr>
          <t xml:space="preserve">, 
</t>
        </r>
        <r>
          <rPr>
            <b/>
            <sz val="9"/>
            <color indexed="81"/>
            <rFont val="돋움"/>
            <family val="3"/>
            <charset val="129"/>
          </rPr>
          <t>토요휴무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주휴일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휴가일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제공하지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0" authorId="0" shapeId="0" xr:uid="{BF4AF002-8631-4589-A110-BEF4C34FB891}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
토요일이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209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유급인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226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243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연장근로시간과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야간근로시간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합산해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30" authorId="0" shapeId="0" xr:uid="{DB1F3A9E-E389-435F-AB47-7DA57FDBE5C6}">
      <text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시간수
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휴일근로한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즉</t>
        </r>
        <r>
          <rPr>
            <b/>
            <sz val="9"/>
            <color indexed="81"/>
            <rFont val="Tahoma"/>
            <family val="2"/>
          </rPr>
          <t>, 4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할증률을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적용하여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않는다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 xml:space="preserve">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②당사자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합의하면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(3</t>
        </r>
        <r>
          <rPr>
            <b/>
            <sz val="9"/>
            <color indexed="81"/>
            <rFont val="돋움"/>
            <family val="3"/>
            <charset val="129"/>
          </rPr>
          <t>개월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51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>2(3</t>
        </r>
        <r>
          <rPr>
            <b/>
            <sz val="9"/>
            <color indexed="81"/>
            <rFont val="돋움"/>
            <family val="3"/>
            <charset val="129"/>
          </rPr>
          <t>개월을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탄력적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의
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정산기간을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근로시간제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17862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)]]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더하여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간에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기간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범위
④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사태가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급박하여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승인을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부적당하다고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연장시간에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),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항은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>.
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2021.7.1]] [[2022.12.31</t>
        </r>
        <r>
          <rPr>
            <b/>
            <sz val="9"/>
            <color indexed="81"/>
            <rFont val="돋움"/>
            <family val="3"/>
            <charset val="129"/>
          </rPr>
          <t>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유효</t>
        </r>
        <r>
          <rPr>
            <b/>
            <sz val="9"/>
            <color indexed="81"/>
            <rFont val="Tahoma"/>
            <family val="2"/>
          </rPr>
          <t xml:space="preserve">, 2018.3.20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]]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건강검진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휴식시간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2021.1.5]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2021.4.6]]</t>
        </r>
      </text>
    </comment>
    <comment ref="H30" authorId="0" shapeId="0" xr:uid="{7FEF8422-DC63-44CE-B517-BDA58E17D0CC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야간근로와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근로시키려면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임산부와</t>
        </r>
        <r>
          <rPr>
            <b/>
            <sz val="9"/>
            <color indexed="81"/>
            <rFont val="Tahoma"/>
            <family val="2"/>
          </rPr>
          <t xml:space="preserve">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근로시키지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못한다</t>
        </r>
        <r>
          <rPr>
            <b/>
            <sz val="9"/>
            <color indexed="81"/>
            <rFont val="Tahoma"/>
            <family val="2"/>
          </rPr>
          <t xml:space="preserve">.
    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그러하지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
  1. 18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산후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년이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동의가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임신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명시적으로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청구하는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고용노동부장관의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받기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여부와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성실하게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협의하여야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2010.6.4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10339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정부조직법</t>
        </r>
        <r>
          <rPr>
            <b/>
            <sz val="9"/>
            <color indexed="81"/>
            <rFont val="Tahoma"/>
            <family val="2"/>
          </rPr>
          <t>)]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2010.7.5]]</t>
        </r>
      </text>
    </comment>
    <comment ref="J30" authorId="0" shapeId="0" xr:uid="{2A27F4AA-AE8A-4520-8A88-BD88602C80CB}">
      <text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「근로기준법」에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有給休日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소정근로일을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본문에서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
   </t>
        </r>
        <r>
          <rPr>
            <b/>
            <sz val="9"/>
            <color indexed="81"/>
            <rFont val="돋움"/>
            <family val="3"/>
            <charset val="129"/>
          </rPr>
          <t>「관공서의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. 
    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2018.6.29]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29010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]]
     [</t>
        </r>
        <r>
          <rPr>
            <b/>
            <sz val="9"/>
            <color indexed="81"/>
            <rFont val="돋움"/>
            <family val="3"/>
            <charset val="129"/>
          </rPr>
          <t>본조제목개정</t>
        </r>
        <r>
          <rPr>
            <b/>
            <sz val="9"/>
            <color indexed="81"/>
            <rFont val="Tahoma"/>
            <family val="2"/>
          </rPr>
          <t xml:space="preserve"> 2018.6.29]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재외공관의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우리나라의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주재국의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98·12·18, 2005.6.30, 2006.9.6, 2012.12.28, 2017.10.17]
1. </t>
        </r>
        <r>
          <rPr>
            <b/>
            <sz val="9"/>
            <color indexed="81"/>
            <rFont val="돋움"/>
            <family val="3"/>
            <charset val="129"/>
          </rPr>
          <t xml:space="preserve">일요일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국경일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3·1</t>
        </r>
        <r>
          <rPr>
            <b/>
            <sz val="9"/>
            <color indexed="81"/>
            <rFont val="돋움"/>
            <family val="3"/>
            <charset val="129"/>
          </rPr>
          <t>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광복절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개천절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한글날
</t>
        </r>
        <r>
          <rPr>
            <b/>
            <sz val="9"/>
            <color indexed="81"/>
            <rFont val="Tahoma"/>
            <family val="2"/>
          </rPr>
          <t>3. 1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4.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설날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말일</t>
        </r>
        <r>
          <rPr>
            <b/>
            <sz val="9"/>
            <color indexed="81"/>
            <rFont val="Tahoma"/>
            <family val="2"/>
          </rPr>
          <t>, 1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)
5.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[2005.6.30]
6. </t>
        </r>
        <r>
          <rPr>
            <b/>
            <sz val="9"/>
            <color indexed="81"/>
            <rFont val="돋움"/>
            <family val="3"/>
            <charset val="129"/>
          </rPr>
          <t>부처님오신날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7. 5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어린이날</t>
        </r>
        <r>
          <rPr>
            <b/>
            <sz val="9"/>
            <color indexed="81"/>
            <rFont val="Tahoma"/>
            <family val="2"/>
          </rPr>
          <t>)
8. 6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현충일</t>
        </r>
        <r>
          <rPr>
            <b/>
            <sz val="9"/>
            <color indexed="81"/>
            <rFont val="Tahoma"/>
            <family val="2"/>
          </rPr>
          <t xml:space="preserve">)
9.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추석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음력</t>
        </r>
        <r>
          <rPr>
            <b/>
            <sz val="9"/>
            <color indexed="81"/>
            <rFont val="Tahoma"/>
            <family val="2"/>
          </rPr>
          <t xml:space="preserve"> 8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14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,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)
10. 12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돋움"/>
            <family val="3"/>
            <charset val="129"/>
          </rPr>
          <t>기독탄신일</t>
        </r>
        <r>
          <rPr>
            <b/>
            <sz val="9"/>
            <color indexed="81"/>
            <rFont val="Tahoma"/>
            <family val="2"/>
          </rPr>
          <t>)
10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「공직선거법」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선거일
</t>
        </r>
        <r>
          <rPr>
            <b/>
            <sz val="9"/>
            <color indexed="81"/>
            <rFont val="Tahoma"/>
            <family val="2"/>
          </rPr>
          <t xml:space="preserve">11.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
공직선거법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34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선거일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①임기만료에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각호와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98·2·6, 2004.3.12]
1. </t>
        </r>
        <r>
          <rPr>
            <b/>
            <sz val="9"/>
            <color indexed="81"/>
            <rFont val="돋움"/>
            <family val="3"/>
            <charset val="129"/>
          </rPr>
          <t>대통령선거는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70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2. </t>
        </r>
        <r>
          <rPr>
            <b/>
            <sz val="9"/>
            <color indexed="81"/>
            <rFont val="돋움"/>
            <family val="3"/>
            <charset val="129"/>
          </rPr>
          <t>국회의원선거는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50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수요일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지방의회의원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지방자치단체의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장의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임기만료일전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
②제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국민생활과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밀접한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민속절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선거일전일이나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다음날이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다음주의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수요일로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2004.3.12]
</t>
        </r>
        <r>
          <rPr>
            <b/>
            <sz val="9"/>
            <color indexed="81"/>
            <rFont val="돋움"/>
            <family val="3"/>
            <charset val="129"/>
          </rPr>
          <t>관공서의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관공서공휴일규정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어느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경우에는
</t>
        </r>
        <r>
          <rPr>
            <b/>
            <sz val="9"/>
            <color indexed="81"/>
            <rFont val="Tahoma"/>
            <family val="2"/>
          </rPr>
          <t xml:space="preserve">    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  1.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토요일이나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2.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일요일과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경우
</t>
        </r>
        <r>
          <rPr>
            <b/>
            <sz val="9"/>
            <color indexed="81"/>
            <rFont val="Tahoma"/>
            <family val="2"/>
          </rPr>
          <t xml:space="preserve">  3.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공휴일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일요일이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호까지의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공휴일과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
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겹치는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첫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번째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비공휴일을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대체공휴일로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
     [</t>
        </r>
        <r>
          <rPr>
            <b/>
            <sz val="9"/>
            <color indexed="81"/>
            <rFont val="돋움"/>
            <family val="3"/>
            <charset val="129"/>
          </rPr>
          <t>전문개정</t>
        </r>
        <r>
          <rPr>
            <b/>
            <sz val="9"/>
            <color indexed="81"/>
            <rFont val="Tahoma"/>
            <family val="2"/>
          </rPr>
          <t xml:space="preserve"> 2021.8.4]</t>
        </r>
      </text>
    </comment>
    <comment ref="A33" authorId="0" shapeId="0" xr:uid="{FF957338-F8BB-47DD-A223-854D4E56DE36}">
      <text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
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정확하게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계산됐느지를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있도록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항목별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계산방법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임금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총액을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계산하는데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기재한다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34" authorId="0" shapeId="0" xr:uid="{ADD44637-5E14-42FB-9850-E72BCDA63C29}">
      <text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상시근로자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인이상</t>
        </r>
        <r>
          <rPr>
            <b/>
            <sz val="9"/>
            <color indexed="81"/>
            <rFont val="Tahoma"/>
            <family val="2"/>
          </rPr>
          <t xml:space="preserve"> &amp; 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주소정근로시간</t>
        </r>
        <r>
          <rPr>
            <b/>
            <sz val="9"/>
            <color indexed="81"/>
            <rFont val="Tahoma"/>
            <family val="2"/>
          </rPr>
          <t xml:space="preserve"> 15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이상자
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56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야간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53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제한</t>
        </r>
        <r>
          <rPr>
            <b/>
            <sz val="9"/>
            <color indexed="81"/>
            <rFont val="Tahoma"/>
            <family val="2"/>
          </rPr>
          <t>)·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휴게시간의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특례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69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근로시간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단서에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불구하고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
   1. 8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
   2. 8</t>
        </r>
        <r>
          <rPr>
            <b/>
            <sz val="9"/>
            <color indexed="81"/>
            <rFont val="돋움"/>
            <family val="3"/>
            <charset val="129"/>
          </rPr>
          <t>시간을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휴일근로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100
</t>
        </r>
        <r>
          <rPr>
            <b/>
            <sz val="9"/>
            <color indexed="81"/>
            <rFont val="돋움"/>
            <family val="3"/>
            <charset val="129"/>
          </rPr>
          <t>③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야간근로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오후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시부터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오전</t>
        </r>
        <r>
          <rPr>
            <b/>
            <sz val="9"/>
            <color indexed="81"/>
            <rFont val="Tahoma"/>
            <family val="2"/>
          </rPr>
          <t xml:space="preserve"> 6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통상임금의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50 </t>
        </r>
        <r>
          <rPr>
            <b/>
            <sz val="9"/>
            <color indexed="81"/>
            <rFont val="돋움"/>
            <family val="3"/>
            <charset val="129"/>
          </rPr>
          <t>이상을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지급하여야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</t>
        </r>
      </text>
    </comment>
    <comment ref="F35" authorId="0" shapeId="0" xr:uid="{A7E0B605-753D-4B1C-AAC8-C4C8B4F01BA4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O35" authorId="0" shapeId="0" xr:uid="{A57E4727-DF56-48D2-A4D3-F9B5DBC6EAAF}">
      <text>
        <r>
          <rPr>
            <b/>
            <sz val="9"/>
            <color indexed="81"/>
            <rFont val="돋움"/>
            <family val="3"/>
            <charset val="129"/>
          </rPr>
          <t>근로기준법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55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휴일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
</t>
        </r>
        <r>
          <rPr>
            <b/>
            <sz val="9"/>
            <color indexed="81"/>
            <rFont val="돋움"/>
            <family val="3"/>
            <charset val="129"/>
          </rPr>
          <t>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근로자에게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휴일을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유급으로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보장하여야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다만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근로자대표와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서면으로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합의한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특정한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근로일로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대체할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있다</t>
        </r>
        <r>
          <rPr>
            <b/>
            <sz val="9"/>
            <color indexed="81"/>
            <rFont val="Tahoma"/>
            <family val="2"/>
          </rPr>
          <t>. [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 2018.3.20]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 2018.7.1]] [[</t>
        </r>
        <r>
          <rPr>
            <b/>
            <sz val="9"/>
            <color indexed="81"/>
            <rFont val="돋움"/>
            <family val="3"/>
            <charset val="129"/>
          </rPr>
          <t>시행일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부칙참조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15513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>)]]</t>
        </r>
      </text>
    </comment>
    <comment ref="F36" authorId="0" shapeId="0" xr:uid="{882F205C-040E-4485-94A1-6F5DD890C202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F37" authorId="0" shapeId="0" xr:uid="{8283A57E-E8B1-4D74-A211-96945AF0C0DB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P37" authorId="0" shapeId="0" xr:uid="{F81C8AC5-3C0B-48B9-A9B3-163E4E2F4EDD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F38" authorId="0" shapeId="0" xr:uid="{1DA939D5-51CA-49BC-86E6-99E63E2A8707}">
      <text>
        <r>
          <rPr>
            <b/>
            <sz val="9"/>
            <color indexed="81"/>
            <rFont val="돋움"/>
            <family val="3"/>
            <charset val="129"/>
          </rPr>
          <t>통상임금</t>
        </r>
      </text>
    </comment>
    <comment ref="A40" authorId="0" shapeId="0" xr:uid="{DBC559C0-BE55-43B9-B710-8FFEB30DF64A}">
      <text>
        <r>
          <rPr>
            <b/>
            <sz val="9"/>
            <color indexed="81"/>
            <rFont val="돋움"/>
            <family val="3"/>
            <charset val="129"/>
          </rPr>
          <t>본인포함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기본공제대상</t>
        </r>
      </text>
    </comment>
    <comment ref="B40" authorId="0" shapeId="0" xr:uid="{73BD310A-80D3-4E83-AE93-C7CA900DE23E}">
      <text>
        <r>
          <rPr>
            <b/>
            <sz val="9"/>
            <color indexed="81"/>
            <rFont val="돋움"/>
            <family val="3"/>
            <charset val="129"/>
          </rPr>
          <t>기본공제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연말정산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소득공제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대상</t>
        </r>
        <r>
          <rPr>
            <b/>
            <sz val="9"/>
            <color indexed="81"/>
            <rFont val="Tahoma"/>
            <family val="2"/>
          </rPr>
          <t xml:space="preserve">
20</t>
        </r>
        <r>
          <rPr>
            <b/>
            <sz val="9"/>
            <color indexed="81"/>
            <rFont val="돋움"/>
            <family val="3"/>
            <charset val="129"/>
          </rPr>
          <t>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자녀수</t>
        </r>
      </text>
    </comment>
  </commentList>
</comments>
</file>

<file path=xl/sharedStrings.xml><?xml version="1.0" encoding="utf-8"?>
<sst xmlns="http://schemas.openxmlformats.org/spreadsheetml/2006/main" count="3783" uniqueCount="1877">
  <si>
    <t>[별지 제17호의2 서식]</t>
    <phoneticPr fontId="2" type="noConversion"/>
  </si>
  <si>
    <t>임금명세서</t>
    <phoneticPr fontId="2" type="noConversion"/>
  </si>
  <si>
    <t>성명</t>
    <phoneticPr fontId="2" type="noConversion"/>
  </si>
  <si>
    <t>세부내역</t>
    <phoneticPr fontId="2" type="noConversion"/>
  </si>
  <si>
    <t>임금항목</t>
    <phoneticPr fontId="2" type="noConversion"/>
  </si>
  <si>
    <t>매월
지급</t>
    <phoneticPr fontId="2" type="noConversion"/>
  </si>
  <si>
    <t>격월
또는
부정기
지급</t>
    <phoneticPr fontId="2" type="noConversion"/>
  </si>
  <si>
    <t>지급액 계</t>
    <phoneticPr fontId="2" type="noConversion"/>
  </si>
  <si>
    <t>지급금액</t>
    <phoneticPr fontId="2" type="noConversion"/>
  </si>
  <si>
    <t>공제 항목</t>
    <phoneticPr fontId="2" type="noConversion"/>
  </si>
  <si>
    <t>공제금액</t>
    <phoneticPr fontId="2" type="noConversion"/>
  </si>
  <si>
    <t>지급일 :</t>
    <phoneticPr fontId="2" type="noConversion"/>
  </si>
  <si>
    <t>회사명 :</t>
    <phoneticPr fontId="2" type="noConversion"/>
  </si>
  <si>
    <t>공        제</t>
    <phoneticPr fontId="2" type="noConversion"/>
  </si>
  <si>
    <t>지       급</t>
    <phoneticPr fontId="2" type="noConversion"/>
  </si>
  <si>
    <t>공제액 계</t>
    <phoneticPr fontId="2" type="noConversion"/>
  </si>
  <si>
    <t>실수령액</t>
    <phoneticPr fontId="2" type="noConversion"/>
  </si>
  <si>
    <t>야간근로시간수</t>
    <phoneticPr fontId="2" type="noConversion"/>
  </si>
  <si>
    <t>계산 방법</t>
    <phoneticPr fontId="2" type="noConversion"/>
  </si>
  <si>
    <t>주선우</t>
    <phoneticPr fontId="2" type="noConversion"/>
  </si>
  <si>
    <t>구분</t>
    <phoneticPr fontId="2" type="noConversion"/>
  </si>
  <si>
    <t>산출식 또는 산출방법</t>
    <phoneticPr fontId="2" type="noConversion"/>
  </si>
  <si>
    <t>지급액</t>
    <phoneticPr fontId="2" type="noConversion"/>
  </si>
  <si>
    <t>연장근로수당</t>
    <phoneticPr fontId="2" type="noConversion"/>
  </si>
  <si>
    <t>휴일근로수당</t>
    <phoneticPr fontId="2" type="noConversion"/>
  </si>
  <si>
    <t>근로소득세</t>
    <phoneticPr fontId="2" type="noConversion"/>
  </si>
  <si>
    <t>국민연금</t>
    <phoneticPr fontId="2" type="noConversion"/>
  </si>
  <si>
    <t>고용보험</t>
    <phoneticPr fontId="2" type="noConversion"/>
  </si>
  <si>
    <t>건강보험</t>
    <phoneticPr fontId="2" type="noConversion"/>
  </si>
  <si>
    <t>장기요양보험</t>
    <phoneticPr fontId="2" type="noConversion"/>
  </si>
  <si>
    <t>210mm×297mm(일반용지 60g/㎡(재활용품)]</t>
    <phoneticPr fontId="2" type="noConversion"/>
  </si>
  <si>
    <t>※ 해당 사업장 상황에 따라 기재가 필요없는 항목이 있을 수 있습니다.</t>
    <phoneticPr fontId="2" type="noConversion"/>
  </si>
  <si>
    <t>기본급</t>
    <phoneticPr fontId="2" type="noConversion"/>
  </si>
  <si>
    <t>입사일</t>
    <phoneticPr fontId="2" type="noConversion"/>
  </si>
  <si>
    <t>부서 / 직급</t>
    <phoneticPr fontId="2" type="noConversion"/>
  </si>
  <si>
    <t>지방소득세</t>
    <phoneticPr fontId="2" type="noConversion"/>
  </si>
  <si>
    <t>장기요양보험료</t>
    <phoneticPr fontId="2" type="noConversion"/>
  </si>
  <si>
    <t>고용보험료</t>
    <phoneticPr fontId="2" type="noConversion"/>
  </si>
  <si>
    <t>연말정산</t>
    <phoneticPr fontId="2" type="noConversion"/>
  </si>
  <si>
    <t>상조회비</t>
    <phoneticPr fontId="2" type="noConversion"/>
  </si>
  <si>
    <t>가불금(△,+)정산</t>
    <phoneticPr fontId="2" type="noConversion"/>
  </si>
  <si>
    <t>급량비</t>
    <phoneticPr fontId="2" type="noConversion"/>
  </si>
  <si>
    <t>급여소급분(+,△)정산)</t>
    <phoneticPr fontId="2" type="noConversion"/>
  </si>
  <si>
    <t>건강보험정산(경감)</t>
    <phoneticPr fontId="2" type="noConversion"/>
  </si>
  <si>
    <t>장기요양보험정산(경감)</t>
    <phoneticPr fontId="2" type="noConversion"/>
  </si>
  <si>
    <t>공장장</t>
    <phoneticPr fontId="2" type="noConversion"/>
  </si>
  <si>
    <t>생산 1팀</t>
    <phoneticPr fontId="2" type="noConversion"/>
  </si>
  <si>
    <t>선우테크놀리지</t>
    <phoneticPr fontId="2" type="noConversion"/>
  </si>
  <si>
    <t>×</t>
    <phoneticPr fontId="2" type="noConversion"/>
  </si>
  <si>
    <t>월 환산 기준시간 수</t>
    <phoneticPr fontId="2" type="noConversion"/>
  </si>
  <si>
    <t>근로소득세분 지방소득세(10%)</t>
    <phoneticPr fontId="2" type="noConversion"/>
  </si>
  <si>
    <t xml:space="preserve">법과 이 영에서 통상임금이란 근로자에게 근로자에게 정기적이고 일률적으로 소정근로 또는 총 근로에 대하여 지급하기로 정한 </t>
    <phoneticPr fontId="2" type="noConversion"/>
  </si>
  <si>
    <t xml:space="preserve">시간급 금액, 일급 금액, 주급 금액, 월급 금액 또는 도급 금액을 말한다. </t>
    <phoneticPr fontId="2" type="noConversion"/>
  </si>
  <si>
    <t xml:space="preserve">그런데 판례에서는 위 시행령 상의 조건에 더해 ‘정기적, 일률적으로 지급하기로 정하여진 고정적 임금’에 해당하여야 한다고 판시하고 있어 ‘고정적 임금’이라는 조건을 추가하고 있습니다. </t>
    <phoneticPr fontId="2" type="noConversion"/>
  </si>
  <si>
    <t>통상임금은 시간외근로수당, 야간근로수당, 휴일근로수당, 해고예고수당 등의 산정에 있어서 기초가 되므로 실제 실무에서 어느 한도 내에서 통상임금의 범위를 정하여야 하는가에 대한 논의가 활발합니다.</t>
    <phoneticPr fontId="2" type="noConversion"/>
  </si>
  <si>
    <t>근로기준법상 통상임금이란</t>
    <phoneticPr fontId="2" type="noConversion"/>
  </si>
  <si>
    <t>노동부 행정규칙 통상임금 산정지침</t>
    <phoneticPr fontId="2" type="noConversion"/>
  </si>
  <si>
    <t>① 1주 간의 근로시간은 휴게시간을 제외하고 40시간을 초과할 수 없다.</t>
    <phoneticPr fontId="2" type="noConversion"/>
  </si>
  <si>
    <t>② 1일의 근로시간은 휴게시간을 제외하고 8시간을 초과할 수 없다.</t>
    <phoneticPr fontId="2" type="noConversion"/>
  </si>
  <si>
    <t>다만, 그 명칭만으로 판단하여서는 아니되며, 통상임금의 의의, 근로계약·취업규칙·단체협약 등의 내용, 직종·근무형태, 지급관행 등을 종합적으로 고려하여야 한다.</t>
    <phoneticPr fontId="2" type="noConversion"/>
  </si>
  <si>
    <t xml:space="preserve">제5조의2(통상임금의 판단기준) </t>
    <phoneticPr fontId="2" type="noConversion"/>
  </si>
  <si>
    <t xml:space="preserve">통상임금에 포함되는 임금의 범위는 별표의 예시에 따라 판단한다. </t>
    <phoneticPr fontId="2" type="noConversion"/>
  </si>
  <si>
    <t>간이세액표 100%적용 중소기업 청년취업감면 90% (2021년 1월 ~ 2023년 12월)</t>
    <phoneticPr fontId="2" type="noConversion"/>
  </si>
  <si>
    <t>주휴수당</t>
    <phoneticPr fontId="2" type="noConversion"/>
  </si>
  <si>
    <t>시간</t>
    <phoneticPr fontId="2" type="noConversion"/>
  </si>
  <si>
    <t>휴일(8시간이내)근로수당</t>
    <phoneticPr fontId="2" type="noConversion"/>
  </si>
  <si>
    <t>휴일(8시간초과)근로수당</t>
    <phoneticPr fontId="2" type="noConversion"/>
  </si>
  <si>
    <t>통상임금-시급</t>
    <phoneticPr fontId="2" type="noConversion"/>
  </si>
  <si>
    <t>근로기준법 제56조(연장·야간 및 휴일 근로)</t>
    <phoneticPr fontId="2" type="noConversion"/>
  </si>
  <si>
    <r>
      <t xml:space="preserve">1. 8시간 이내의 휴일근로: </t>
    </r>
    <r>
      <rPr>
        <b/>
        <u/>
        <sz val="11"/>
        <color rgb="FF0070C0"/>
        <rFont val="맑은 고딕"/>
        <family val="3"/>
        <charset val="129"/>
        <scheme val="minor"/>
      </rPr>
      <t>통상임금의 100분의 50</t>
    </r>
    <phoneticPr fontId="2" type="noConversion"/>
  </si>
  <si>
    <r>
      <t xml:space="preserve">2. 8시간을 초과한 휴일근로: </t>
    </r>
    <r>
      <rPr>
        <b/>
        <u/>
        <sz val="11"/>
        <color rgb="FF0070C0"/>
        <rFont val="맑은 고딕"/>
        <family val="3"/>
        <charset val="129"/>
        <scheme val="minor"/>
      </rPr>
      <t>통상임금의 100분의 100</t>
    </r>
    <phoneticPr fontId="2" type="noConversion"/>
  </si>
  <si>
    <r>
      <t xml:space="preserve">① 사용자는 </t>
    </r>
    <r>
      <rPr>
        <b/>
        <sz val="11"/>
        <color rgb="FF7030A0"/>
        <rFont val="맑은 고딕"/>
        <family val="3"/>
        <charset val="129"/>
        <scheme val="minor"/>
      </rPr>
      <t>연장근로</t>
    </r>
    <r>
      <rPr>
        <sz val="11"/>
        <color theme="1"/>
        <rFont val="맑은 고딕"/>
        <family val="2"/>
        <charset val="129"/>
        <scheme val="minor"/>
      </rPr>
      <t xml:space="preserve">(제53조(연장 근로의 제한)·제59조(근로시간 및 휴게시간의 특례) 및 제69조(근로시간) 단서에 따라 연장된 시간의 근로를 말한다)에 대하여는 </t>
    </r>
    <r>
      <rPr>
        <b/>
        <u/>
        <sz val="11"/>
        <color rgb="FF0070C0"/>
        <rFont val="맑은 고딕"/>
        <family val="3"/>
        <charset val="129"/>
        <scheme val="minor"/>
      </rPr>
      <t>통상임금의 100분의 50 이상을 가산</t>
    </r>
    <r>
      <rPr>
        <b/>
        <sz val="11"/>
        <color rgb="FF7030A0"/>
        <rFont val="맑은 고딕"/>
        <family val="3"/>
        <charset val="129"/>
        <scheme val="minor"/>
      </rPr>
      <t>하여 근로자에게 지급</t>
    </r>
    <r>
      <rPr>
        <sz val="11"/>
        <color theme="1"/>
        <rFont val="맑은 고딕"/>
        <family val="2"/>
        <charset val="129"/>
        <scheme val="minor"/>
      </rPr>
      <t>하여야 한다. [개정 2018.3.20]</t>
    </r>
    <phoneticPr fontId="2" type="noConversion"/>
  </si>
  <si>
    <t>근로기준법 제60조(연차 유급휴가)</t>
    <phoneticPr fontId="2" type="noConversion"/>
  </si>
  <si>
    <t>① 사용자는 1년간 80퍼센트 이상 출근한 근로자에게 15일의 유급휴가를 주어야 한다. [개정 2012.2.1] [[시행일 2012.8.2]]</t>
    <phoneticPr fontId="2" type="noConversion"/>
  </si>
  <si>
    <t>② 사용자는 계속하여 근로한 기간이 1년 미만인 근로자 또는 1년간 80퍼센트 미만 출근한 근로자에게 1개월 개근 시 1일의 유급휴가를 주어야 한다. [개정 2012.2.1] [[시행일 2012.8.2]]</t>
    <phoneticPr fontId="2" type="noConversion"/>
  </si>
  <si>
    <t>③ 삭제 [2017.11.28] [[시행일 2018.5.29]]</t>
    <phoneticPr fontId="2" type="noConversion"/>
  </si>
  <si>
    <t>④ 사용자는 3년 이상 계속하여 근로한 근로자에게는 제1항에 따른 휴가에 최초 1년을 초과하는 계속 근로 연수 매 2년에 대하여 1일을 가산한 유급휴가를 주어야 한다. 이 경우 가산휴가를 포함한 총 휴가 일수는 25일을 한도로 한다.</t>
    <phoneticPr fontId="2" type="noConversion"/>
  </si>
  <si>
    <t>1. 근로자가 업무상의 부상 또는 질병으로 휴업한 기간</t>
    <phoneticPr fontId="2" type="noConversion"/>
  </si>
  <si>
    <t>2. 임신 중의 여성이 제74조제1항부터 제3항까지의 규정에 따른 휴가로 휴업한 기간</t>
    <phoneticPr fontId="2" type="noConversion"/>
  </si>
  <si>
    <t>3. 「남녀고용평등과 일·가정 양립 지원에 관한 법률」 제19조제1항에 따른 육아휴직으로 휴업한 기간</t>
    <phoneticPr fontId="2" type="noConversion"/>
  </si>
  <si>
    <t>다만, 근로자가 청구한 시기에 휴가를 주는 것이 사업 운영에 막대한 지장이 있는 경우에는 그 시기를 변경할 수 있다.</t>
    <phoneticPr fontId="2" type="noConversion"/>
  </si>
  <si>
    <t xml:space="preserve">⑤ 사용자는 제1항부터 제4항까지의 규정에 따른 휴가를 근로자가 청구한 시기에 주어야 하고, 그 기간에 대하여는 취업규칙 등에서 정하는 통상임금 또는 평균임금을 지급하여야 한다. </t>
    <phoneticPr fontId="2" type="noConversion"/>
  </si>
  <si>
    <t>⑥ 제1항 및 제2항을 적용하는 경우 다음 각 호의 어느 하나에 해당하는 기간은 출근한 것으로 본다. [개정 2012.2.1, 2017.11.28] [[시행일 2018.5.29]]</t>
    <phoneticPr fontId="2" type="noConversion"/>
  </si>
  <si>
    <t>근로기준법 시행령 제6조(통상임금)</t>
    <phoneticPr fontId="2" type="noConversion"/>
  </si>
  <si>
    <t>② 제1항에 따른 통상임금을 시간급 금액으로 산정할 경우에는 다음 각 호의 방법에 따라 산정된 금액으로 한다. [개정 2018.6.29] [[시행일 : 부칙참조(제29010호]]</t>
    <phoneticPr fontId="2" type="noConversion"/>
  </si>
  <si>
    <t>1. 시간급 금액으로 정한 임금은 그 금액</t>
    <phoneticPr fontId="2" type="noConversion"/>
  </si>
  <si>
    <t>2. 일급 금액으로 정한 임금은 그 금액을 1일의 소정근로시간 수로 나눈 금액</t>
    <phoneticPr fontId="2" type="noConversion"/>
  </si>
  <si>
    <t>3. 주급 금액으로 정한 임금은 그 금액을 1주의 통상임금 산정 기준시간 수(1주의 소정근로시간과 소정근로시간 외에 유급으로 처리되는 시간을 합산한 시간)로 나눈 금액</t>
    <phoneticPr fontId="2" type="noConversion"/>
  </si>
  <si>
    <t>5. 일·주·월 외의 일정한 기간으로 정한 임금은 제2호부터 제4호까지의 규정에 준하여 산정된 금액</t>
    <phoneticPr fontId="2" type="noConversion"/>
  </si>
  <si>
    <t>6. 도급 금액으로 정한 임금은 그 임금 산정 기간에서 도급제에 따라 계산된 임금의 총액을 해당 임금 산정 기간(임금 마감일이 있는 경우에는 임금 마감 기간을 말한다)의 총 근로 시간 수로 나눈 금액</t>
    <phoneticPr fontId="2" type="noConversion"/>
  </si>
  <si>
    <t>7. 근로자가 받는 임금이 제1호부터 제6호까지의 규정에서 정한 둘 이상의 임금으로 되어 있는 경우에는 제1호부터 제6호까지의 규정에 따라 각각 산정된 금액을 합산한 금액</t>
    <phoneticPr fontId="2" type="noConversion"/>
  </si>
  <si>
    <t>③제1항에 따른 통상임금을 일급 금액으로 산정할 때에는 제2항에 따른 시간급 금액에 1일의 소정근로시간 수를 곱하여 계산한다.</t>
    <phoneticPr fontId="2" type="noConversion"/>
  </si>
  <si>
    <r>
      <t xml:space="preserve">① 법과 이 영에서 “통상임금”이란 근로자에게 </t>
    </r>
    <r>
      <rPr>
        <b/>
        <u/>
        <sz val="11"/>
        <color rgb="FFC00000"/>
        <rFont val="맑은 고딕"/>
        <family val="3"/>
        <charset val="129"/>
        <scheme val="minor"/>
      </rPr>
      <t>정기</t>
    </r>
    <r>
      <rPr>
        <sz val="11"/>
        <color theme="1"/>
        <rFont val="맑은 고딕"/>
        <family val="2"/>
        <charset val="129"/>
        <scheme val="minor"/>
      </rPr>
      <t>적이고</t>
    </r>
    <r>
      <rPr>
        <b/>
        <u/>
        <sz val="11"/>
        <color rgb="FFC00000"/>
        <rFont val="맑은 고딕"/>
        <family val="3"/>
        <charset val="129"/>
        <scheme val="minor"/>
      </rPr>
      <t xml:space="preserve"> 일률</t>
    </r>
    <r>
      <rPr>
        <sz val="11"/>
        <color theme="1"/>
        <rFont val="맑은 고딕"/>
        <family val="2"/>
        <charset val="129"/>
        <scheme val="minor"/>
      </rPr>
      <t xml:space="preserve">적으로 </t>
    </r>
    <r>
      <rPr>
        <b/>
        <u/>
        <sz val="11"/>
        <color rgb="FFC00000"/>
        <rFont val="맑은 고딕"/>
        <family val="3"/>
        <charset val="129"/>
        <scheme val="minor"/>
      </rPr>
      <t>소정(所定)근로</t>
    </r>
    <r>
      <rPr>
        <sz val="11"/>
        <color theme="1"/>
        <rFont val="맑은 고딕"/>
        <family val="2"/>
        <charset val="129"/>
        <scheme val="minor"/>
      </rPr>
      <t xml:space="preserve"> 또는 </t>
    </r>
    <r>
      <rPr>
        <b/>
        <u/>
        <sz val="11"/>
        <color rgb="FFC00000"/>
        <rFont val="맑은 고딕"/>
        <family val="3"/>
        <charset val="129"/>
        <scheme val="minor"/>
      </rPr>
      <t>총 근로에 대하여 지급하기로 정한</t>
    </r>
    <r>
      <rPr>
        <sz val="11"/>
        <color theme="1"/>
        <rFont val="맑은 고딕"/>
        <family val="2"/>
        <charset val="129"/>
        <scheme val="minor"/>
      </rPr>
      <t xml:space="preserve"> 시간급 금액, 일급 금액, 주급 금액, 월급 금액 또는 도급 금액을 말한다.</t>
    </r>
    <phoneticPr fontId="2" type="noConversion"/>
  </si>
  <si>
    <t>최저임금법</t>
    <phoneticPr fontId="2" type="noConversion"/>
  </si>
  <si>
    <t>이 법에서 "근로자", "사용자" 및 "임금"이란 「근로기준법」 제2조에 따른 근로자, 사용자 및 임금을 말한다.</t>
    <phoneticPr fontId="2" type="noConversion"/>
  </si>
  <si>
    <t xml:space="preserve">근로기준법 제2조(정의) </t>
    <phoneticPr fontId="2" type="noConversion"/>
  </si>
  <si>
    <t>1. “근로자”란 직업의 종류와 관계없이 임금을 목적으로 사업이나 사업장에 근로를 제공하는 사람을 말한다.</t>
    <phoneticPr fontId="2" type="noConversion"/>
  </si>
  <si>
    <t>2. “사용자”란 사업주 또는 사업 경영 담당자, 그 밖에 근로자에 관한 사항에 대하여 사업주를 위하여 행위하는 자를 말한다.</t>
    <phoneticPr fontId="2" type="noConversion"/>
  </si>
  <si>
    <t>제3조(적용 범위)</t>
    <phoneticPr fontId="2" type="noConversion"/>
  </si>
  <si>
    <t xml:space="preserve">  다만, 동거하는 친족만을 사용하는 사업과 가사(家事) 사용인에게는 적용하지 아니한다.</t>
    <phoneticPr fontId="2" type="noConversion"/>
  </si>
  <si>
    <t xml:space="preserve">① 이 법은 근로자를 사용하는 모든 사업 또는 사업장(이하 "사업"이라 한다)에 적용한다. </t>
    <phoneticPr fontId="2" type="noConversion"/>
  </si>
  <si>
    <t>②이 법은 「선원법」 의 적용을 받는 선원과 선원을 사용하는 선박의 소유자에게는 적용하지 아니한다.</t>
    <phoneticPr fontId="2" type="noConversion"/>
  </si>
  <si>
    <t>제5조(최저임금액)</t>
    <phoneticPr fontId="2" type="noConversion"/>
  </si>
  <si>
    <t>① 최저임금액(최저임금으로 정한 금액을 말한다. 이하 같다)은 시간·일(日)·주(週) 또는 월(月)을 단위로 하여 정한다. 이 경우 일·주 또는 월을 단위로 하여 최저임금액을 정할 때에는 시간급(時間給)으로도 표시하여야 한다.</t>
    <phoneticPr fontId="2" type="noConversion"/>
  </si>
  <si>
    <t xml:space="preserve">② 1년 이상의 기간을 정하여 근로계약을 체결하고 수습 중에 있는 근로자로서 수습을 시작한 날부터 3개월 이내인 사람에 대하여는 </t>
    <phoneticPr fontId="2" type="noConversion"/>
  </si>
  <si>
    <t xml:space="preserve">   대통령령으로 정하는 바에 따라 제1항에 따른 최저임금액과 다른 금액으로 최저임금액을 정할 수 있다. </t>
    <phoneticPr fontId="2" type="noConversion"/>
  </si>
  <si>
    <t xml:space="preserve">   다만, 단순노무업무로 고용노동부장관이 정하여 고시한 직종에 종사하는 근로자는 제외한다. [개정 2017.9.19, 2020.5.26 제17326호(법률용어 정비를 위한 환경노동위원회 소관 65개 법률 일부개정을 위한 법률)]</t>
    <phoneticPr fontId="2" type="noConversion"/>
  </si>
  <si>
    <t>제5조의2(최저임금의 적용을 위한 임금의 환산)</t>
    <phoneticPr fontId="2" type="noConversion"/>
  </si>
  <si>
    <t>최저임금의 적용 대상이 되는 근로자의 임금을 정하는 단위기간이 제5조제1항에 따른 최저임금의 단위기간과 다른 경우에 해당 근로자의 임금을 최저임금의 단위기간에 맞추어 환산하는 방법은 대통령령으로 정한다.
[전문개정 2008.3.21]</t>
    <phoneticPr fontId="2" type="noConversion"/>
  </si>
  <si>
    <t>③ 임금이 통상적으로 도급제나 그 밖에 이와 비슷한 형태로 정하여져 있는 경우로서 제1항에 따라 최저임금액을 정하는 것이 적당하지 아니하다고 인정되면 대통령령으로 정하는 바에 따라 최저임금액을 따로 정할 수 있다. [전문개정 2008.3.21]</t>
    <phoneticPr fontId="2" type="noConversion"/>
  </si>
  <si>
    <t>제6조(최저임금의 효력)</t>
    <phoneticPr fontId="2" type="noConversion"/>
  </si>
  <si>
    <t>① 사용자는 최저임금의 적용을 받는 근로자에게 최저임금액 이상의 임금을 지급하여야 한다.</t>
    <phoneticPr fontId="2" type="noConversion"/>
  </si>
  <si>
    <t>② 사용자는 이 법에 따른 최저임금을 이유로 종전의 임금수준을 낮추어서는 아니 된다.</t>
    <phoneticPr fontId="2" type="noConversion"/>
  </si>
  <si>
    <t>③ 최저임금의 적용을 받는 근로자와 사용자 사이의 근로계약 중 최저임금액에 미치지 못하는 금액을 임금으로 정한 부분은 무효로 하며, 이 경우 무효로 된 부분은 이 법으로 정한 최저임금액과 동일한 임금을 지급하기로 한 것으로 본다.</t>
    <phoneticPr fontId="2" type="noConversion"/>
  </si>
  <si>
    <t>④ 제1항과 제3항에 따른 임금에는 매월 1회 이상 정기적으로 지급하는 임금을 산입(算入)한다.</t>
    <phoneticPr fontId="2" type="noConversion"/>
  </si>
  <si>
    <t xml:space="preserve"> 다만, 다음 각 호의 어느 하나에 해당하는 임금은 산입하지 아니한다. [개정 2018.6.12] [[시행일 2019.1.1]]</t>
    <phoneticPr fontId="2" type="noConversion"/>
  </si>
  <si>
    <t>1. 「근로기준법」 제2조제1항제8호에 따른 소정(所定)근로시간(이하 "소정근로시간"이라 한다) 또는 소정의 근로일에 대하여 지급하는 임금 외의 임금으로서 고용노동부령으로 정하는 임금</t>
    <phoneticPr fontId="2" type="noConversion"/>
  </si>
  <si>
    <t>근로기준법 제2조(정의)</t>
    <phoneticPr fontId="2" type="noConversion"/>
  </si>
  <si>
    <t>8. “소정(所定)근로시간”이란 제50조(근로시간), 제69조(근로시간) 본문 또는 「산업안전보건법」 제139조(유해·위험작업에 대한 근로시간 제한 등)제1항에 따른 근로시간의 범위에서 근로자와 사용자 사이에 정한 근로시간을 말한다.</t>
  </si>
  <si>
    <t>3. 식비, 숙박비, 교통비 등 근로자의 생활 보조 또는 복리후생을 위한 성질의 임금으로서 다음 각 목의 어느 하나에 해당하는 것</t>
    <phoneticPr fontId="2" type="noConversion"/>
  </si>
  <si>
    <t>가. 통화 이외의 것으로 지급하는 임금</t>
    <phoneticPr fontId="2" type="noConversion"/>
  </si>
  <si>
    <t xml:space="preserve">⑤ 제4항에도 불구하고 「여객자동차 운수사업법」 제3조(여객자동차운송사업의 종류) 및 같은 법 시행령 제3조(여객자동차운송사업의 종류)제2호다목에 따른 </t>
    <phoneticPr fontId="2" type="noConversion"/>
  </si>
  <si>
    <t>일반택시운송사업에서 운전업무에 종사하는 근로자의 최저임금에 산입되는 임금의 범위는 생산고에 따른 임금을 제외한 대통령령으로 정하는 임금으로 한다.</t>
    <phoneticPr fontId="2" type="noConversion"/>
  </si>
  <si>
    <t>1. 근로자가 자기의 사정으로 소정근로시간 또는 소정의 근로일의 근로를 하지 아니한 경우</t>
    <phoneticPr fontId="2" type="noConversion"/>
  </si>
  <si>
    <t>2. 사용자가 정당한 이유로 근로자에게 소정근로시간 또는 소정의 근로일의 근로를 시키지 아니한 경우</t>
    <phoneticPr fontId="2" type="noConversion"/>
  </si>
  <si>
    <t>⑦ 도급으로 사업을 행하는 경우 도급인이 책임져야 할 사유로 수급인이 근로자에게 최저임금액에 미치지 못하는 임금을 지급한 경우 도급인은 해당 수급인과 연대(連帶)하여 책임을 진다.</t>
    <phoneticPr fontId="2" type="noConversion"/>
  </si>
  <si>
    <t>⑥ 제1항과 제3항은 다음 각 호의 어느 하나에 해당하는 사유로 근로하지 아니한 시간 또는 일에 대하여 사용자가 임금을 지급할 것을 강제하는 것은 아니다.</t>
    <phoneticPr fontId="2" type="noConversion"/>
  </si>
  <si>
    <t>⑧ 제7항에 따른 도급인이 책임져야 할 사유의 범위는 다음 각 호와 같다.</t>
    <phoneticPr fontId="2" type="noConversion"/>
  </si>
  <si>
    <t>1. 도급인이 도급계약 체결 당시 인건비 단가를 최저임금액에 미치지 못하는 금액으로 결정하는 행위</t>
    <phoneticPr fontId="2" type="noConversion"/>
  </si>
  <si>
    <t>2. 도급인이 도급계약 기간 중 인건비 단가를 최저임금액에 미치지 못하는 금액으로 낮춘 행위</t>
    <phoneticPr fontId="2" type="noConversion"/>
  </si>
  <si>
    <t>⑨두 차례 이상의 도급으로 사업을 행하는 경우에는 제7항의 "수급인"은 "하수급인(下受給人)"으로 보고, 제7항과 제8항의 "도급인"은 "직상(直上) 수급인(하수급인에게 직접 하도급을 준 수급인)"으로 본다.</t>
    <phoneticPr fontId="2" type="noConversion"/>
  </si>
  <si>
    <t>제7조(최저임금의 적용 제외)</t>
    <phoneticPr fontId="2" type="noConversion"/>
  </si>
  <si>
    <t>다음 각 호의 어느 하나에 해당하는 사람으로서 사용자가 대통령령으로 정하는 바에 따라 고용노동부장관의 인가를 받은 사람에 대하여는 제6조를 적용하지 아니한다. [개정 2010.6.4 제10339호(정부조직법), 2020.5.26 제17326호(법률용어 정비를 위한 환경노동위원회 소관 65개 법률 일부개정을 위한 법률)]</t>
    <phoneticPr fontId="2" type="noConversion"/>
  </si>
  <si>
    <t>1. 정신장애나 신체장애로 근로능력이 현저히 낮은 사람</t>
    <phoneticPr fontId="2" type="noConversion"/>
  </si>
  <si>
    <t>2. 그 밖에 최저임금을 적용하는 것이 적당하지 아니하다고 인정되는 사람</t>
    <phoneticPr fontId="2" type="noConversion"/>
  </si>
  <si>
    <t>최저임금위원회</t>
    <phoneticPr fontId="2" type="noConversion"/>
  </si>
  <si>
    <t>최저임금모의계산기</t>
    <phoneticPr fontId="2" type="noConversion"/>
  </si>
  <si>
    <t>제61조(연차 유급휴가의 사용 촉진)</t>
    <phoneticPr fontId="2" type="noConversion"/>
  </si>
  <si>
    <t xml:space="preserve">제2조(정의)  </t>
    <phoneticPr fontId="2" type="noConversion"/>
  </si>
  <si>
    <t>근로기준법 시행령 제27조(임금대장의 기재사항)</t>
    <phoneticPr fontId="2" type="noConversion"/>
  </si>
  <si>
    <t>1. 성명</t>
    <phoneticPr fontId="2" type="noConversion"/>
  </si>
  <si>
    <t>① 사용자는 법 제48조(임금대장)에 따른 임금대장에 다음 각 호의 사항을 근로자 개인별로 적어야 한다.</t>
    <phoneticPr fontId="2" type="noConversion"/>
  </si>
  <si>
    <t>2. 주민등록번호</t>
    <phoneticPr fontId="2" type="noConversion"/>
  </si>
  <si>
    <t>3. 고용 연월일</t>
    <phoneticPr fontId="2" type="noConversion"/>
  </si>
  <si>
    <t>4. 종사하는 업무</t>
    <phoneticPr fontId="2" type="noConversion"/>
  </si>
  <si>
    <t>5. 임금 및 가족수당의 계산기초가 되는 사항</t>
    <phoneticPr fontId="2" type="noConversion"/>
  </si>
  <si>
    <t>6. 근로일수</t>
    <phoneticPr fontId="2" type="noConversion"/>
  </si>
  <si>
    <t>7. 근로시간수</t>
    <phoneticPr fontId="2" type="noConversion"/>
  </si>
  <si>
    <t>8. 연장근로, 야간근로 또는 휴일근로를 시킨 경우에는 그 시간수</t>
    <phoneticPr fontId="2" type="noConversion"/>
  </si>
  <si>
    <t>9. 기본급, 수당, 그 밖의 임금의 내역별 금액(통화 외의 것으로 지급된 임금이 있는 경우에는 그 품명 및 수량과 평가총액)</t>
    <phoneticPr fontId="2" type="noConversion"/>
  </si>
  <si>
    <t>10. 법 제43조(임금 지급)제1항 단서에 따라 임금의 일부를 공제한 경우에는 그 금액</t>
    <phoneticPr fontId="2" type="noConversion"/>
  </si>
  <si>
    <t>② 사용기간이 30일 미만인 일용근로자에 대하여는 제1항제2호 및 제5호의 사항을 적지 아니할 수 있다.</t>
    <phoneticPr fontId="2" type="noConversion"/>
  </si>
  <si>
    <t>③ 다음 각 호의 어느 하나에 해당하는 근로자에 대하여는 제1항제7호 및 제8호의 사항을 적지 아니할 수 있다.</t>
    <phoneticPr fontId="2" type="noConversion"/>
  </si>
  <si>
    <t>2. 법 제63조 각 호의 어느 하나에 해당하는 근로자</t>
    <phoneticPr fontId="2" type="noConversion"/>
  </si>
  <si>
    <t>1. 법 제11조(적용 범위)제2항에 따른 상시 4명 이하의 근로자를 사용하는 사업 또는 사업장의 근로자</t>
    <phoneticPr fontId="2" type="noConversion"/>
  </si>
  <si>
    <t>근로기준법 제11조(적용 범위)</t>
    <phoneticPr fontId="2" type="noConversion"/>
  </si>
  <si>
    <t>① 이 법은 상시 5명 이상의 근로자를 사용하는 모든 사업 또는 사업장에 적용한다.</t>
    <phoneticPr fontId="2" type="noConversion"/>
  </si>
  <si>
    <t>다만, 동거하는 친족만을 사용하는 사업 또는 사업장과 가사(家事) 사용인에 대하여는 적용하지 아니한다.</t>
    <phoneticPr fontId="2" type="noConversion"/>
  </si>
  <si>
    <t>② 상시 4명 이하의 근로자를 사용하는 사업 또는 사업장에 대하여는 대통령령으로 정하는 바에 따라 이 법의 일부 규정을 적용할 수 있다.</t>
    <phoneticPr fontId="2" type="noConversion"/>
  </si>
  <si>
    <t>③ 이 법을 적용하는 경우에 상시 사용하는 근로자 수를 산정하는 방법은 대통령령으로 정한다. [신설 2008.3.21] [[시행일 2008.7.1]]</t>
    <phoneticPr fontId="2" type="noConversion"/>
  </si>
  <si>
    <t xml:space="preserve">근로기준법 제50조(근로시간) </t>
    <phoneticPr fontId="2" type="noConversion"/>
  </si>
  <si>
    <t xml:space="preserve">③ 제1항 및 제2항에 따라 근로시간을 산정하는 경우 작업을 위하여 근로자가 사용자의 지휘·감독 아래에 있는 대기시간 등은 근로시간으로 본다. </t>
    <phoneticPr fontId="2" type="noConversion"/>
  </si>
  <si>
    <t>[신설 2012.2.1, 2020.5.26 제17326호(법률용어 정비를 위한 환경노동위원회 소관 65개 법률 일부개정을 위한 법률)]</t>
    <phoneticPr fontId="2" type="noConversion"/>
  </si>
  <si>
    <t>근로기준법 제51조(3개월 이내의 탄력적 근로시간제)</t>
    <phoneticPr fontId="2" type="noConversion"/>
  </si>
  <si>
    <t xml:space="preserve">① 사용자는 취업규칙(취업규칙에 준하는 것을 포함한다)에서 정하는 바에 따라 2주 이내의 일정한 단위기간을 평균하여 </t>
    <phoneticPr fontId="2" type="noConversion"/>
  </si>
  <si>
    <t xml:space="preserve">1주 간의 근로시간이 제50조(근로시간)제1항의 근로시간을 초과하지 아니하는 범위에서 특정한 주에 제50조(근로시간)제1항의 근로시간을, </t>
    <phoneticPr fontId="2" type="noConversion"/>
  </si>
  <si>
    <t xml:space="preserve">특정한 날에 제50조(근로시간)제2항의 근로시간을 초과하여 근로하게 할 수 있다. </t>
    <phoneticPr fontId="2" type="noConversion"/>
  </si>
  <si>
    <t>다만, 특정한 주의 근로시간은 48시간을 초과할 수 없다.</t>
    <phoneticPr fontId="2" type="noConversion"/>
  </si>
  <si>
    <t>근로기준법 제51조의2(3개월을 초과하는 탄력적 근로시간제)</t>
    <phoneticPr fontId="2" type="noConversion"/>
  </si>
  <si>
    <t xml:space="preserve">① 사용자는 근로자대표와의 서면 합의에 따라 다음 각 호의 사항을 정하면 3개월을 초과하고 6개월 이내의 단위기간을 평균하여 </t>
    <phoneticPr fontId="2" type="noConversion"/>
  </si>
  <si>
    <t>1주간의 근로시간이 제50조제1항의 근로시간을 초과하지 아니하는 범위에서</t>
    <phoneticPr fontId="2" type="noConversion"/>
  </si>
  <si>
    <t>특정한 주에 제50조제1항의 근로시간을, 특정한 날에 제50조제2항의 근로시간을 초과하여 근로하게 할 수 있다.</t>
    <phoneticPr fontId="2" type="noConversion"/>
  </si>
  <si>
    <t>다만, 특정한 주의 근로시간은 52시간을, 특정한 날의 근로시간은 12시간을 초과할 수 없다.</t>
    <phoneticPr fontId="2" type="noConversion"/>
  </si>
  <si>
    <t>1. 대상 근로자의 범위</t>
    <phoneticPr fontId="2" type="noConversion"/>
  </si>
  <si>
    <t>2. 단위기간(3개월을 초과하고 6개월 이내의 일정한 기간으로 정하여야 한다)</t>
    <phoneticPr fontId="2" type="noConversion"/>
  </si>
  <si>
    <t>3. 단위기간의 주별 근로시간</t>
    <phoneticPr fontId="2" type="noConversion"/>
  </si>
  <si>
    <t>4. 그 밖에 대통령령으로 정하는 사항</t>
    <phoneticPr fontId="2" type="noConversion"/>
  </si>
  <si>
    <t>② 사용자는 제1항에 따라 근로자를 근로시킬 경우에는 근로일 종료 후 다음 근로일 개시 전까지 근로자에게 연속하여 11시간 이상의 휴식 시간을 주어야 한다.</t>
    <phoneticPr fontId="2" type="noConversion"/>
  </si>
  <si>
    <t>다만, 천재지변 등 대통령령으로 정하는 불가피한 경우에는 근로자대표와의 서면 합의가 있으면 이에 따른다.</t>
    <phoneticPr fontId="2" type="noConversion"/>
  </si>
  <si>
    <t>③ 사용자는 제1항제3호에 따른 각 주의 근로일이 시작되기 2주 전까지 근로자에게 해당 주의 근로일별 근로시간을 통보하여야 한다.</t>
    <phoneticPr fontId="2" type="noConversion"/>
  </si>
  <si>
    <t>④ 사용자는 제1항에 따른 근로자대표와의 서면 합의 당시에는 예측하지 못한 천재지변, 기계 고장, 업무량 급증 등 불가피한 사유가 발생한 때에는</t>
    <phoneticPr fontId="2" type="noConversion"/>
  </si>
  <si>
    <t>제1항제2호에 따른 단위기간 내에서 평균하여 1주간의 근로시간이 유지되는 범위에서 근로자대표와의 협의를 거쳐 제1항제3호의 사항을 변경할 수 있다.</t>
    <phoneticPr fontId="2" type="noConversion"/>
  </si>
  <si>
    <t>이 경우 해당 근로자에게 변경된 근로일이 개시되기 전에 변경된 근로일별 근로시간을 통보하여야 한다.</t>
    <phoneticPr fontId="2" type="noConversion"/>
  </si>
  <si>
    <t>⑤ 사용자는 제1항에 따라 근로자를 근로시킬 경우에는 기존의 임금 수준이 낮아지지 아니하도록 임금항목을 조정 또는 신설하거나</t>
    <phoneticPr fontId="2" type="noConversion"/>
  </si>
  <si>
    <t xml:space="preserve">가산임금 지급 등의 임금보전방안(賃金補塡方案)을 마련하여 고용노동부장관에게 신고하여야 한다. </t>
    <phoneticPr fontId="2" type="noConversion"/>
  </si>
  <si>
    <t>다만, 근로자대표와의 서면합의로 임금보전방안을 마련한 경우에는 그러하지 아니하다.</t>
    <phoneticPr fontId="2" type="noConversion"/>
  </si>
  <si>
    <t>⑥ 제1항부터 제5항까지의 규정은 15세 이상 18세 미만의 근로자와 임신 중인 여성 근로자에 대해서는 적용하지 아니한다.</t>
    <phoneticPr fontId="2" type="noConversion"/>
  </si>
  <si>
    <t>[본조신설 2021.1.5] [[시행일: 부칙참조(제17862호)]]</t>
    <phoneticPr fontId="2" type="noConversion"/>
  </si>
  <si>
    <t>근로기준법 제51조의3(근로한 기간이 단위기간보다 짧은 경우의 임금 정산)</t>
    <phoneticPr fontId="2" type="noConversion"/>
  </si>
  <si>
    <t xml:space="preserve">사용자는 제51조(3개월 이내의 탄력적 근로시간제) 및 제51조의2(3개월을 초과하는 탄력적 근로시간제)에 따른 </t>
    <phoneticPr fontId="2" type="noConversion"/>
  </si>
  <si>
    <t>단위기간 중 근로자가 근로한 기간이 그 단위기간보다 짧은 경우에는</t>
    <phoneticPr fontId="2" type="noConversion"/>
  </si>
  <si>
    <t xml:space="preserve">그 단위기간 중 해당 근로자가 근로한 기간을 평균하여 1주간에 40시간을 초과하여 근로한 시간 전부에 대하여 </t>
    <phoneticPr fontId="2" type="noConversion"/>
  </si>
  <si>
    <t>제56조(연장·야간 및 휴일 근로)제1항에 따른 가산임금을 지급하여야 한다.</t>
    <phoneticPr fontId="2" type="noConversion"/>
  </si>
  <si>
    <t>근로기준법 제52조(선택적 근로시간제)</t>
    <phoneticPr fontId="2" type="noConversion"/>
  </si>
  <si>
    <t>① 사용자는 취업규칙(취업규칙에 준하는 것을 포함한다)에 따라 업무의 시작 및 종료 시각을 근로자의 결정에 맡기기로 한 근로자에 대하여</t>
    <phoneticPr fontId="2" type="noConversion"/>
  </si>
  <si>
    <t>근로자대표와의 서면 합의에 따라 다음 각 호의 사항을 정하면 1개월(신상품 또는 신기술의 연구개발 업무의 경우에는 3개월로 한다) 이내의 정산기간을 평균하여</t>
    <phoneticPr fontId="2" type="noConversion"/>
  </si>
  <si>
    <t xml:space="preserve">1주간의 근로시간이 제50조제1항의 근로시간을 초과하지 아니하는 범위에서 1주 간에 제50조(근로시간)제1항의 근로시간을, </t>
    <phoneticPr fontId="2" type="noConversion"/>
  </si>
  <si>
    <t>1일에 제50조(근로시간)제2항의 근로시간을 초과하여 근로하게 할 수 있다.</t>
    <phoneticPr fontId="2" type="noConversion"/>
  </si>
  <si>
    <t>[개정 2021.1.5] [[시행일: 부칙참조(제17862호)]]</t>
    <phoneticPr fontId="2" type="noConversion"/>
  </si>
  <si>
    <t>1. 대상 근로자의 범위(15세 이상 18세 미만의 근로자는 제외한다)</t>
    <phoneticPr fontId="2" type="noConversion"/>
  </si>
  <si>
    <t>2. 정산기간</t>
    <phoneticPr fontId="2" type="noConversion"/>
  </si>
  <si>
    <t>3. 정산기간의 총 근로시간</t>
    <phoneticPr fontId="2" type="noConversion"/>
  </si>
  <si>
    <t>4. 반드시 근로하여야 할 시간대를 정하는 경우에는 그 시작 및 종료 시각</t>
    <phoneticPr fontId="2" type="noConversion"/>
  </si>
  <si>
    <t>5. 근로자가 그의 결정에 따라 근로할 수 있는 시간대를 정하는 경우에는 그 시작 및 종료 시각</t>
    <phoneticPr fontId="2" type="noConversion"/>
  </si>
  <si>
    <t>6. 그 밖에 대통령령으로 정하는 사항</t>
    <phoneticPr fontId="2" type="noConversion"/>
  </si>
  <si>
    <t>② 사용자는 제1항에 따라 1개월을 초과하는 정산기간을 정하는 경우에는 다음 각 호의 조치를 하여야 한다. [신설 2021.1.5]</t>
    <phoneticPr fontId="2" type="noConversion"/>
  </si>
  <si>
    <t>[[시행일: 부칙참조(제17862호)]]</t>
    <phoneticPr fontId="2" type="noConversion"/>
  </si>
  <si>
    <t xml:space="preserve">1. 근로일 종료 후 다음 근로일 시작 전까지 근로자에게 연속하여 11시간 이상의 휴식 시간을 줄 것. </t>
    <phoneticPr fontId="2" type="noConversion"/>
  </si>
  <si>
    <t xml:space="preserve">   다만, 천재지변 등 대통령령으로 정하는 불가피한 경우에는 근로자대표와의 서면 합의가 있으면 이에 따른다.</t>
    <phoneticPr fontId="2" type="noConversion"/>
  </si>
  <si>
    <t>2. 매 1개월마다 평균하여 1주간의 근로시간이 제50조(근로시간)제1항의 근로시간을 초과한 시간에 대해서는 통상임금의 100분의 50 이상을 가산하여 근로자에게 지급할 것.</t>
    <phoneticPr fontId="2" type="noConversion"/>
  </si>
  <si>
    <t xml:space="preserve">    이 경우 제56조(연장·야간 및 휴일 근로)제1항은 적용하지 아니한다.</t>
    <phoneticPr fontId="2" type="noConversion"/>
  </si>
  <si>
    <t>근로기준법 제53조(연장 근로의 제한)</t>
    <phoneticPr fontId="2" type="noConversion"/>
  </si>
  <si>
    <t>평균하여 1주 간에 12시간을 초과하지 아니하는 범위에서 제52조제1항의 근로시간을 연장할 수 있다. [개정 2021.1.5] [[시행일: 부칙참조(제17862호)]]</t>
    <phoneticPr fontId="2" type="noConversion"/>
  </si>
  <si>
    <t>② 당사자 간에 합의하면 1주 간에 12시간을 한도로 제51조(3개월 이내의 탄력적 근로시간제) 및 제51조의2(3개월을 초과하는 탄력적 근로시간제)의 근로시간을 연장할 수 있고, 제52조제1항제2호의 정산기간을</t>
    <phoneticPr fontId="2" type="noConversion"/>
  </si>
  <si>
    <t xml:space="preserve">③ 상시 30명 미만의 근로자를 사용하는 사용자는 다음 각 호에 대하여 근로자대표와 서면으로 합의한 경우 제1항 또는 제2항에 따라 연장된 근로시간에 더하여 1주 간에 8시간을 초과하지 아니하는 범위에서 근로시간을 연장할 수 있다. </t>
    <phoneticPr fontId="2" type="noConversion"/>
  </si>
  <si>
    <t>[신설 2018.3.20] [[시행일 2021.7.1]] [[2022.12.31까지 유효, 2018.3.20 제15513호 부칙 제2조]]</t>
    <phoneticPr fontId="2" type="noConversion"/>
  </si>
  <si>
    <t>1. 제1항 또는 제2항에 따라 연장된 근로시간을 초과할 필요가 있는 사유 및 그 기간</t>
    <phoneticPr fontId="2" type="noConversion"/>
  </si>
  <si>
    <t>2. 대상 근로자의 범위</t>
    <phoneticPr fontId="2" type="noConversion"/>
  </si>
  <si>
    <t>④ 사용자는 특별한 사정이 있으면 고용노동부장관의 인가와 근로자의 동의를 받아 제1항과 제2항의 근로시간을 연장할 수 있다.</t>
    <phoneticPr fontId="2" type="noConversion"/>
  </si>
  <si>
    <t>다만, 사태가 급박하여 고용노동부장관의 인가를 받을 시간이 없는 경우에는 사후에 지체 없이 승인을 받아야 한다.</t>
    <phoneticPr fontId="2" type="noConversion"/>
  </si>
  <si>
    <t>[개정 2010.6.4 제10339호(정부조직법), 2018.3.20] [[시행일 2018.7.1]]</t>
    <phoneticPr fontId="2" type="noConversion"/>
  </si>
  <si>
    <t>⑤ 고용노동부장관은 제4항에 따른 근로시간의 연장이 부적당하다고 인정하면 그 후 연장시간에 상당하는 휴게시간이나 휴일을 줄 것을 명할 수 있다.</t>
    <phoneticPr fontId="2" type="noConversion"/>
  </si>
  <si>
    <t>⑥ 제3항은 15세 이상 18세 미만의 근로자에 대하여는 적용하지 아니한다.</t>
    <phoneticPr fontId="2" type="noConversion"/>
  </si>
  <si>
    <t xml:space="preserve"> [신설 2018.3.20] [[시행일 2021.7.1]] [[2022.12.31까지 유효, 2018.3.20 제15513호 부칙 제2조]]</t>
    <phoneticPr fontId="2" type="noConversion"/>
  </si>
  <si>
    <t xml:space="preserve">⑦ 사용자는 제4항에 따라 연장 근로를 하는 근로자의 건강 보호를 위하여 건강검진 실시 또는 휴식시간 부여 등 고용노동부장관이 정하는 바에 따라 적절한 조치를 하여야 한다. </t>
    <phoneticPr fontId="2" type="noConversion"/>
  </si>
  <si>
    <t>[신설 2021.1.5] [[시행일 2021.4.6]]</t>
    <phoneticPr fontId="2" type="noConversion"/>
  </si>
  <si>
    <t>근로기준법 제54조(휴게)</t>
    <phoneticPr fontId="2" type="noConversion"/>
  </si>
  <si>
    <t>② 휴게시간은 근로자가 자유롭게 이용할 수 있다.</t>
    <phoneticPr fontId="2" type="noConversion"/>
  </si>
  <si>
    <t>근로기준법 제55조(휴일)</t>
    <phoneticPr fontId="2" type="noConversion"/>
  </si>
  <si>
    <t xml:space="preserve">② 사용자는 근로자에게 대통령령으로 정하는 휴일을 유급으로 보장하여야 한다. </t>
    <phoneticPr fontId="2" type="noConversion"/>
  </si>
  <si>
    <t xml:space="preserve">    다만, 근로자대표와 서면으로 합의한 경우 특정한 근로일로 대체할 수 있다. </t>
    <phoneticPr fontId="2" type="noConversion"/>
  </si>
  <si>
    <t xml:space="preserve">[신설 2018.3.20] [[시행일 2018.7.1]] [[시행일: 부칙참조(제15513호)]]
</t>
    <phoneticPr fontId="2" type="noConversion"/>
  </si>
  <si>
    <t>통상임금</t>
    <phoneticPr fontId="2" type="noConversion"/>
  </si>
  <si>
    <t>법정가산수당</t>
    <phoneticPr fontId="2" type="noConversion"/>
  </si>
  <si>
    <t>5인 미만 사업장 연차/퇴직금/추가 근무수당/연장근로시간 제한</t>
    <phoneticPr fontId="2" type="noConversion"/>
  </si>
  <si>
    <t>1. 부당해고 구제신청</t>
    <phoneticPr fontId="2" type="noConversion"/>
  </si>
  <si>
    <t>2. 휴업수당</t>
    <phoneticPr fontId="2" type="noConversion"/>
  </si>
  <si>
    <t xml:space="preserve">5인 이상 사업장 : </t>
    <phoneticPr fontId="2" type="noConversion"/>
  </si>
  <si>
    <t>부당해고 구제 신청 가능</t>
    <phoneticPr fontId="2" type="noConversion"/>
  </si>
  <si>
    <t xml:space="preserve">5인 미만 사업장 : </t>
    <phoneticPr fontId="2" type="noConversion"/>
  </si>
  <si>
    <t>부당해고 구제 신청 불가능</t>
    <phoneticPr fontId="2" type="noConversion"/>
  </si>
  <si>
    <t>평균임금의 70% 수당 지급 (사업자의 귀책사유로 휴업 시)</t>
    <phoneticPr fontId="2" type="noConversion"/>
  </si>
  <si>
    <t>해당사항 없음</t>
    <phoneticPr fontId="2" type="noConversion"/>
  </si>
  <si>
    <t>3. 추가근무수당</t>
    <phoneticPr fontId="2" type="noConversion"/>
  </si>
  <si>
    <t>해당사항 없다.</t>
    <phoneticPr fontId="2" type="noConversion"/>
  </si>
  <si>
    <t>통상임금의 1.5배 가산임금을 줘야 된다.</t>
    <phoneticPr fontId="2" type="noConversion"/>
  </si>
  <si>
    <t xml:space="preserve"> - 주 40시간 초과 / 1일 8시간 초과</t>
    <phoneticPr fontId="2" type="noConversion"/>
  </si>
  <si>
    <t xml:space="preserve"> - 야간근무 (22:00 ~ 06:00), 휴일근무</t>
    <phoneticPr fontId="2" type="noConversion"/>
  </si>
  <si>
    <t>4. 연장근로시간의 제한</t>
    <phoneticPr fontId="2" type="noConversion"/>
  </si>
  <si>
    <t>1주 최대 12시간 연장이 가능하다.</t>
    <phoneticPr fontId="2" type="noConversion"/>
  </si>
  <si>
    <t>5. 연차</t>
    <phoneticPr fontId="2" type="noConversion"/>
  </si>
  <si>
    <t xml:space="preserve"> - 1년간 80% 이상 출근자 : 15일의 유급휴가를 주어야 한다.</t>
    <phoneticPr fontId="2" type="noConversion"/>
  </si>
  <si>
    <t xml:space="preserve"> - 1년 미만 근로자 / 1년간 80%미만 근로자 : 1개월 개근 시 1일의 유급휴가를 주어야 한다.</t>
    <phoneticPr fontId="2" type="noConversion"/>
  </si>
  <si>
    <t>6. 퇴직금</t>
    <phoneticPr fontId="2" type="noConversion"/>
  </si>
  <si>
    <t>하지만 조건이 있다.</t>
    <phoneticPr fontId="2" type="noConversion"/>
  </si>
  <si>
    <t>1) 1년 이상 근무한 경우</t>
    <phoneticPr fontId="2" type="noConversion"/>
  </si>
  <si>
    <t>2) 중간에 휴직 등 없이 계속 근무한 경우</t>
    <phoneticPr fontId="2" type="noConversion"/>
  </si>
  <si>
    <t>3) 소정근로시간 주 15시간 이상 근무한 경우</t>
    <phoneticPr fontId="2" type="noConversion"/>
  </si>
  <si>
    <t>퇴직금은 모든 근로자(아르바이트나 계약직 포함)에게 지급된다.</t>
    <phoneticPr fontId="2" type="noConversion"/>
  </si>
  <si>
    <t>사업장의 규모와 관계없이 지급되어야 한다. (2013.1.1.부터는 5인 미만 사업장에서도 퇴직금이 전액(100%) 발생</t>
    <phoneticPr fontId="2" type="noConversion"/>
  </si>
  <si>
    <t>7. 근로계약서 작성</t>
    <phoneticPr fontId="2" type="noConversion"/>
  </si>
  <si>
    <t>작성시기 : 근로자를 채용할 때 바로 작성 교부</t>
    <phoneticPr fontId="2" type="noConversion"/>
  </si>
  <si>
    <t>근로계약서 미작성시 / 500만원 이하 벌금</t>
    <phoneticPr fontId="2" type="noConversion"/>
  </si>
  <si>
    <t>8. 주휴수당 지급</t>
    <phoneticPr fontId="2" type="noConversion"/>
  </si>
  <si>
    <t>한 주 소정근로일 개근이 조건</t>
    <phoneticPr fontId="2" type="noConversion"/>
  </si>
  <si>
    <t>지각.조퇴.외출은 결근이 아니므로 주휴수당 지급</t>
    <phoneticPr fontId="2" type="noConversion"/>
  </si>
  <si>
    <t>한주 소정근로시간 15시간(월60시간) 이상 발생</t>
    <phoneticPr fontId="2" type="noConversion"/>
  </si>
  <si>
    <t>예외) 주중 결근한 경우 '무급'으로 휴일 부여</t>
    <phoneticPr fontId="2" type="noConversion"/>
  </si>
  <si>
    <t>· 5인미만은 연장수당(연장,야간,휴일)에 대한 가산이 없습니다.</t>
    <phoneticPr fontId="2" type="noConversion"/>
  </si>
  <si>
    <t>· 연장한 시간 만큼만 계산</t>
    <phoneticPr fontId="2" type="noConversion"/>
  </si>
  <si>
    <t>5인미만 연장수당 지급</t>
    <phoneticPr fontId="2" type="noConversion"/>
  </si>
  <si>
    <t>② 사용자는 근로자에게 대통령령으로 정하는 휴일을 유급으로 보장하여야 한다.</t>
    <phoneticPr fontId="2" type="noConversion"/>
  </si>
  <si>
    <t>다만, 근로자대표와 서면으로 합의한 경우 특정한 근로일로 대체할 수 있다. [신설 2018.3.20] [[시행일 2018.7.1]] [[시행일: 부칙참조(제15513호)]]</t>
    <phoneticPr fontId="2" type="noConversion"/>
  </si>
  <si>
    <r>
      <t>3. 상시</t>
    </r>
    <r>
      <rPr>
        <b/>
        <u/>
        <sz val="11"/>
        <color rgb="FFFF0000"/>
        <rFont val="맑은 고딕"/>
        <family val="3"/>
        <charset val="129"/>
        <scheme val="minor"/>
      </rPr>
      <t xml:space="preserve"> 5인</t>
    </r>
    <r>
      <rPr>
        <b/>
        <u/>
        <sz val="11"/>
        <color theme="1"/>
        <rFont val="맑은 고딕"/>
        <family val="3"/>
        <charset val="129"/>
        <scheme val="minor"/>
      </rPr>
      <t xml:space="preserve"> </t>
    </r>
    <r>
      <rPr>
        <b/>
        <u/>
        <sz val="11"/>
        <color rgb="FFFF0000"/>
        <rFont val="맑은 고딕"/>
        <family val="3"/>
        <charset val="129"/>
        <scheme val="minor"/>
      </rPr>
      <t>이상</t>
    </r>
    <r>
      <rPr>
        <sz val="11"/>
        <color theme="1"/>
        <rFont val="맑은 고딕"/>
        <family val="2"/>
        <charset val="129"/>
        <scheme val="minor"/>
      </rPr>
      <t xml:space="preserve"> 30명 미만의 근로자를 사용하는 사업 또는 사업장: 2022년 1월 1일</t>
    </r>
    <phoneticPr fontId="2" type="noConversion"/>
  </si>
  <si>
    <t>④ 제55조 제2항의 개정규정은 다음 각 호의 구분에 따른 날부터 시행한다.</t>
    <phoneticPr fontId="2" type="noConversion"/>
  </si>
  <si>
    <t>3. 제30조제2항의 개정규정: 다음 각 목의 구분에 따른 날</t>
    <phoneticPr fontId="2" type="noConversion"/>
  </si>
  <si>
    <t>근로기준법 시행령 제30조(휴일)</t>
    <phoneticPr fontId="2" type="noConversion"/>
  </si>
  <si>
    <t>근로기준법 제55조(휴일)</t>
    <phoneticPr fontId="2" type="noConversion"/>
  </si>
  <si>
    <t xml:space="preserve">   [신설 2018.6.29] [[시행일 : 부칙참조(제29010호]] [본조제목개정 2018.6.29]</t>
    <phoneticPr fontId="2" type="noConversion"/>
  </si>
  <si>
    <t>① 사용자는 근로자에게 1주에 평균 1회 이상의 유급휴일을 보장하여야 한다. [개정 2018.3.20] [[시행일 2018.7.1]]</t>
    <phoneticPr fontId="2" type="noConversion"/>
  </si>
  <si>
    <t>② 사용자는 근로자에게 대통령령으로 정하는 휴일을 유급으로 보장하여야 한다. 다만, 근로자대표와 서면으로 합의한 경우 특정한 근로일로 대체할 수 있다.</t>
    <phoneticPr fontId="2" type="noConversion"/>
  </si>
  <si>
    <t xml:space="preserve">    [신설 2018.3.20] [[시행일 2018.7.1]] [[시행일: 부칙참조(제15513호)]]</t>
    <phoneticPr fontId="2" type="noConversion"/>
  </si>
  <si>
    <t>관공서의 공휴일에 관한 규정 제2조(공휴일)</t>
    <phoneticPr fontId="2" type="noConversion"/>
  </si>
  <si>
    <t>관공서의 공휴일은 다음 각 호와 같다. 다만, 재외공관의 공휴일은 우리나라의 국경일 중 공휴일과 주재국의 공휴일로 한다. [개정 98·12·18, 2005.6.30, 2006.9.6, 2012.12.28, 2017.10.17]</t>
    <phoneticPr fontId="2" type="noConversion"/>
  </si>
  <si>
    <t>1. 일요일</t>
    <phoneticPr fontId="2" type="noConversion"/>
  </si>
  <si>
    <t>2. 국경일 중 3·1절, 광복절, 개천절 및 한글날</t>
    <phoneticPr fontId="2" type="noConversion"/>
  </si>
  <si>
    <t>3. 1월 1일</t>
    <phoneticPr fontId="2" type="noConversion"/>
  </si>
  <si>
    <t>4. 설날 전날, 설날, 설날 다음날 (음력 12월 말일, 1월 1일, 2일)</t>
    <phoneticPr fontId="2" type="noConversion"/>
  </si>
  <si>
    <t>5. 삭제 [2005.6.30]</t>
    <phoneticPr fontId="2" type="noConversion"/>
  </si>
  <si>
    <t>6. 부처님오신날 (음력 4월 8일)</t>
    <phoneticPr fontId="2" type="noConversion"/>
  </si>
  <si>
    <t>7. 5월 5일 (어린이날)</t>
    <phoneticPr fontId="2" type="noConversion"/>
  </si>
  <si>
    <t>8. 6월 6일 (현충일)</t>
    <phoneticPr fontId="2" type="noConversion"/>
  </si>
  <si>
    <t>9. 추석 전날, 추석, 추석 다음날 (음력 8월 14일, 15일, 16일)</t>
    <phoneticPr fontId="2" type="noConversion"/>
  </si>
  <si>
    <t>10. 12월 25일 (기독탄신일)</t>
    <phoneticPr fontId="2" type="noConversion"/>
  </si>
  <si>
    <t>10의2. 「공직선거법」 제34조에 따른 임기만료에 의한 선거의 선거일</t>
    <phoneticPr fontId="2" type="noConversion"/>
  </si>
  <si>
    <t>11. 기타 정부에서 수시 지정하는 날</t>
    <phoneticPr fontId="2" type="noConversion"/>
  </si>
  <si>
    <t>② 법 제55조(휴일)제2항 본문에서 "대통령령으로 정하는 휴일"이란 「관공서의 공휴일에 관한 규정」 제2조(공휴일) 각 호(제1호는 제외한다)에 따른 공휴일 및 같은 영 제3조(대체공휴일)에 따른 대체공휴일을 말한다.</t>
    <phoneticPr fontId="2" type="noConversion"/>
  </si>
  <si>
    <t>관공서의 공휴일에 관한 규정 제3조(대체공휴일)</t>
    <phoneticPr fontId="2" type="noConversion"/>
  </si>
  <si>
    <t>① 제2조(공휴일)제4호 또는 제9호에 따른 공휴일이 다른 공휴일과 겹칠 경우 제2조(공휴일)제4호 또는 제9호에 따른 공휴일 다음의 첫 번째 비공휴일을 공휴일로 한다.</t>
    <phoneticPr fontId="2" type="noConversion"/>
  </si>
  <si>
    <t>② 제2조(공휴일)제7호에 따른 공휴일이 토요일이나 다른 공휴일과 겹칠 경우 제2조(공휴일)제7호에 따른 공휴일 다음의 첫 번째 비공휴일을 공휴일로 한다. [본조신설 2013.11.5]</t>
    <phoneticPr fontId="2" type="noConversion"/>
  </si>
  <si>
    <r>
      <t xml:space="preserve">다. 상시 </t>
    </r>
    <r>
      <rPr>
        <b/>
        <u/>
        <sz val="11"/>
        <color rgb="FFFF0000"/>
        <rFont val="맑은 고딕"/>
        <family val="3"/>
        <charset val="129"/>
        <scheme val="minor"/>
      </rPr>
      <t>5인 이상</t>
    </r>
    <r>
      <rPr>
        <sz val="11"/>
        <color theme="1"/>
        <rFont val="맑은 고딕"/>
        <family val="2"/>
        <charset val="129"/>
        <scheme val="minor"/>
      </rPr>
      <t xml:space="preserve"> 30명 미만의 근로자를 사용하는 사업 또는 사업장: 2022년 1월 1일</t>
    </r>
    <phoneticPr fontId="2" type="noConversion"/>
  </si>
  <si>
    <t>근로기준법 제11조(적용 범위)</t>
    <phoneticPr fontId="2" type="noConversion"/>
  </si>
  <si>
    <t xml:space="preserve">① 이 법은 상시 5명 이상의 근로자를 사용하는 모든 사업 또는 사업장에 적용한다. </t>
    <phoneticPr fontId="2" type="noConversion"/>
  </si>
  <si>
    <t xml:space="preserve">    다만, 동거하는 친족만을 사용하는 사업 또는 사업장과 가사(家事) 사용인에 대하여는 적용하지 아니한다.</t>
    <phoneticPr fontId="2" type="noConversion"/>
  </si>
  <si>
    <t>③ 이 법을 적용하는 경우에 상시 사용하는 근로자 수를 산정하는 방법은 대통령령으로 정한다. [신설 2008.3.21] [[시행일 2008.7.1]]</t>
    <phoneticPr fontId="2" type="noConversion"/>
  </si>
  <si>
    <r>
      <t xml:space="preserve">② </t>
    </r>
    <r>
      <rPr>
        <b/>
        <u/>
        <sz val="11"/>
        <color rgb="FFFF0000"/>
        <rFont val="맑은 고딕"/>
        <family val="3"/>
        <charset val="129"/>
        <scheme val="minor"/>
      </rPr>
      <t>상시 4명 이하의 근로자를 사용하는 사업 또는 사업장에 대하여는 대통령령으로 정하는 바에 따라 이 법의 일부 규정을 적용</t>
    </r>
    <r>
      <rPr>
        <sz val="11"/>
        <color theme="1"/>
        <rFont val="맑은 고딕"/>
        <family val="2"/>
        <charset val="129"/>
        <scheme val="minor"/>
      </rPr>
      <t>할 수 있다.</t>
    </r>
    <phoneticPr fontId="2" type="noConversion"/>
  </si>
  <si>
    <t>5인미만은 취업규칙서(상시 10명 이상 취업규칙 작성)가 따로 없기에 사용자 보호룔 위한 기재사항을 근로계약서에 명시하여 근거를 마련</t>
    <phoneticPr fontId="2" type="noConversion"/>
  </si>
  <si>
    <t>근로기준법 시행령 제7조(적용범위)</t>
    <phoneticPr fontId="2" type="noConversion"/>
  </si>
  <si>
    <t>법 제11조(적용 범위)제2항에 따라 상시 4명 이하의 근로자를 사용하는 사업 또는 사업장에 적용하는 법 규정은 별표 1과 같다.</t>
    <phoneticPr fontId="2" type="noConversion"/>
  </si>
  <si>
    <t>4인 이하 법 적용</t>
    <phoneticPr fontId="2" type="noConversion"/>
  </si>
  <si>
    <t>분</t>
    <phoneticPr fontId="2" type="noConversion"/>
  </si>
  <si>
    <t>근로계약서</t>
    <phoneticPr fontId="2" type="noConversion"/>
  </si>
  <si>
    <t>퇴직금 계산</t>
    <phoneticPr fontId="2" type="noConversion"/>
  </si>
  <si>
    <t>1.</t>
    <phoneticPr fontId="2" type="noConversion"/>
  </si>
  <si>
    <t>2.</t>
    <phoneticPr fontId="2" type="noConversion"/>
  </si>
  <si>
    <t>3.</t>
    <phoneticPr fontId="2" type="noConversion"/>
  </si>
  <si>
    <t>취업규칙</t>
    <phoneticPr fontId="2" type="noConversion"/>
  </si>
  <si>
    <t>(상시근로자 10인이상)</t>
    <phoneticPr fontId="2" type="noConversion"/>
  </si>
  <si>
    <t>제2장 근로계약 제15조~제42조</t>
    <phoneticPr fontId="2" type="noConversion"/>
  </si>
  <si>
    <t>사용자는 근로자 명부와 대통령령으로 정하는 근로계약에 관한 중요한 서류를 3년간 보존하여야 한다.</t>
    <phoneticPr fontId="2" type="noConversion"/>
  </si>
  <si>
    <t>근로기준법 제42조(계약 서류의 보존)</t>
    <phoneticPr fontId="2" type="noConversion"/>
  </si>
  <si>
    <t>근로기준법 제36조(금품 청산)</t>
    <phoneticPr fontId="2" type="noConversion"/>
  </si>
  <si>
    <t xml:space="preserve">사용자는 근로자가 사망 또는 퇴직한 경우에는 그 지급 사유가 발생한 때부터 14일 이내에 임금, 보상금, 그 밖의 모든 금품을 지급하여야 한다. </t>
    <phoneticPr fontId="2" type="noConversion"/>
  </si>
  <si>
    <t>다만, 특별한 사정이 있을 경우에는 당사자 사이의 합의에 의하여 기일을 연장할 수 있다. [개정 2020.5.26 제17326호(법률용어 정비를 위한 환경노동위원회 소관 65개 법률 일부개정을 위한 법률)]</t>
    <phoneticPr fontId="2" type="noConversion"/>
  </si>
  <si>
    <t>제109조(벌칙)</t>
    <phoneticPr fontId="2" type="noConversion"/>
  </si>
  <si>
    <t xml:space="preserve">위반한 자는 3년 이하의 징역 또는 3천만원 이하의 벌금에 처한다. </t>
    <phoneticPr fontId="2" type="noConversion"/>
  </si>
  <si>
    <t>근로기준법 제12장 벌칙</t>
    <phoneticPr fontId="2" type="noConversion"/>
  </si>
  <si>
    <t>제107조(벌칙)</t>
    <phoneticPr fontId="2" type="noConversion"/>
  </si>
  <si>
    <r>
      <t xml:space="preserve">제7조(강제 근로의 금지), 제8조(폭행의 금지), 제9조(중간착취의 배제), 제23조(해고 등의 제한)제2항 또는 제40조(취업 방해의 금지)를 위반한 자는 </t>
    </r>
    <r>
      <rPr>
        <b/>
        <u/>
        <sz val="11"/>
        <color rgb="FFC00000"/>
        <rFont val="맑은 고딕"/>
        <family val="3"/>
        <charset val="129"/>
        <scheme val="minor"/>
      </rPr>
      <t>5년 이하의 징역 또는 5천만원 이하의 벌금</t>
    </r>
    <r>
      <rPr>
        <sz val="11"/>
        <color theme="1"/>
        <rFont val="맑은 고딕"/>
        <family val="2"/>
        <charset val="129"/>
        <scheme val="minor"/>
      </rPr>
      <t>에 처한다. [개정 2017.11.28] [[시행일 2018.5.29]]</t>
    </r>
    <phoneticPr fontId="2" type="noConversion"/>
  </si>
  <si>
    <t>제108조(벌칙)</t>
    <phoneticPr fontId="2" type="noConversion"/>
  </si>
  <si>
    <t>근로감독관이 이 법을 위반한 사실을 고의로 묵과하면 3년 이하의 징역 또는 5년 이하의 자격정지에 처한다.</t>
    <phoneticPr fontId="2" type="noConversion"/>
  </si>
  <si>
    <t>[개정 2007.7.27, 2017.11.28, 2019.1.15, 2021.1.5] [[시행일: 부칙참조(제17862호)]]</t>
    <phoneticPr fontId="2" type="noConversion"/>
  </si>
  <si>
    <t>② 제36조, 제43조, 제44조, 제44조의2, 제46조, 제51조의3, 제52조제2항제2호 또는 제56조를 위반한 자에 대하여는 피해자의 명시적인 의사와 다르게 공소를 제기할 수 없다.</t>
    <phoneticPr fontId="2" type="noConversion"/>
  </si>
  <si>
    <t>[개정 2007.7.27, 2021.1.5] [[시행일: 부칙참조(제17862호)]]</t>
    <phoneticPr fontId="2" type="noConversion"/>
  </si>
  <si>
    <t xml:space="preserve">① 제36조(퇴직금 금품 청산), 제43조(임금 지급), 제44조(임금 지급), 제44조의2(건설업에서의 임금 지급 연대책임), 제46조(휴업수당), 제51조의3(근로한 기간이 단위기간보다 짧은 경우의 임금 정산), </t>
    <phoneticPr fontId="2" type="noConversion"/>
  </si>
  <si>
    <r>
      <t xml:space="preserve">    제52조(선택적 근로시간제)제2항제2호, 제56조(연장·야간 및 휴일 근로), 제65조(사용 금지), 제72조(갱내근로의 금지) 또는 제76조의3(직장 내 괴롭힘 발생 시 조치)제6항을 위반한 자는 </t>
    </r>
    <r>
      <rPr>
        <b/>
        <u/>
        <sz val="11"/>
        <color rgb="FFC00000"/>
        <rFont val="맑은 고딕"/>
        <family val="3"/>
        <charset val="129"/>
        <scheme val="minor"/>
      </rPr>
      <t>3년 이하의 징역 또는 3천만원 이하의 벌금</t>
    </r>
    <r>
      <rPr>
        <sz val="11"/>
        <color theme="1"/>
        <rFont val="맑은 고딕"/>
        <family val="2"/>
        <charset val="129"/>
        <scheme val="minor"/>
      </rPr>
      <t xml:space="preserve">에 처한다. </t>
    </r>
    <phoneticPr fontId="2" type="noConversion"/>
  </si>
  <si>
    <t>제110조(벌칙)</t>
    <phoneticPr fontId="2" type="noConversion"/>
  </si>
  <si>
    <t>[개정 2009.5.21, 2012.2.1, 2017.11.28, 2018.3.20, 2021.1.5] [[시행일 2021.7.1]] [[시행일: 부칙참조(제17862호)]]</t>
    <phoneticPr fontId="2" type="noConversion"/>
  </si>
  <si>
    <r>
      <t xml:space="preserve">다음 각 호의 어느 하나에 해당하는 자는 </t>
    </r>
    <r>
      <rPr>
        <b/>
        <u/>
        <sz val="11"/>
        <color rgb="FFC00000"/>
        <rFont val="맑은 고딕"/>
        <family val="3"/>
        <charset val="129"/>
        <scheme val="minor"/>
      </rPr>
      <t>2년 이하의 징역 또는 2천만원 이하의 벌금</t>
    </r>
    <r>
      <rPr>
        <sz val="11"/>
        <color theme="1"/>
        <rFont val="맑은 고딕"/>
        <family val="2"/>
        <charset val="129"/>
        <scheme val="minor"/>
      </rPr>
      <t>에 처한다.</t>
    </r>
    <phoneticPr fontId="2" type="noConversion"/>
  </si>
  <si>
    <t xml:space="preserve">1. 제10조(공민권 행사의 보장), 제22조(강제 저금의 금지)제1항, 제26조(해고의 예고), 제50조(근로시간), 제51조의2(3개월을 초과하는 탄력적 근로시간제)제2항, 제52조(선택적 근로시간제)제2항제1호, </t>
    <phoneticPr fontId="2" type="noConversion"/>
  </si>
  <si>
    <t xml:space="preserve">   제53조(연장 근로의 제한)제1항·제2항, 같은 조 제4항 본문·제7항, 제54조(휴게), 제55조(휴일), 제59조(근로시간 및 휴게시간의 특례)제2항, 제60조(연차 유급휴가)제1항·제2항·제4항 및 제5항, </t>
    <phoneticPr fontId="2" type="noConversion"/>
  </si>
  <si>
    <t>제78조(요양보상)</t>
    <phoneticPr fontId="2" type="noConversion"/>
  </si>
  <si>
    <t>제79조(휴업보상)</t>
    <phoneticPr fontId="2" type="noConversion"/>
  </si>
  <si>
    <t>제80조(장해보상)</t>
    <phoneticPr fontId="2" type="noConversion"/>
  </si>
  <si>
    <t xml:space="preserve">   제64조(최저 연령과 취직인허증)제1항, 제69조, 제70조(야간근로와 휴일근로의 제한)제1항·제2항, 제71조(시간외근로), 제74조(임산부의 보호)제1항부터 제5항까지, 제75조, 제78조부터 제80조까지, 제82조(유족보상), 제83조(장례비) 및 제104조(감독 기관에 대한 신고)제2항을 위반한 자</t>
    <phoneticPr fontId="2" type="noConversion"/>
  </si>
  <si>
    <t>2. 제53조(연장 근로의 제한)제5항에 따른 명령을 위반한 자</t>
    <phoneticPr fontId="2" type="noConversion"/>
  </si>
  <si>
    <t>제112조(고발)</t>
    <phoneticPr fontId="2" type="noConversion"/>
  </si>
  <si>
    <t>② 검사는 제1항에 따른 죄에 해당하는 위반행위가 있음을 노동위원회에 통보하여 고발을 요청할 수 있다.</t>
    <phoneticPr fontId="2" type="noConversion"/>
  </si>
  <si>
    <t>① 제111조(벌칙)의 죄는 노동위원회의 고발이 있어야 공소를 제기할 수 있다.</t>
    <phoneticPr fontId="2" type="noConversion"/>
  </si>
  <si>
    <t>근로기준법 제111조</t>
    <phoneticPr fontId="2" type="noConversion"/>
  </si>
  <si>
    <t>제31조(구제명령 등의 확정)제3항에 따라 확정되거나 행정소송을 제기하여 확정된 구제명령 또는 구제명령을 내용으로 하는 재심판정을 이행하지 아니한 자는 1년 이하의 징역 또는 1천만원 이하의 벌금에 처한다. [[시행일 2007.7.1]]</t>
    <phoneticPr fontId="2" type="noConversion"/>
  </si>
  <si>
    <t>제114조(벌칙)</t>
    <phoneticPr fontId="2" type="noConversion"/>
  </si>
  <si>
    <t>[개정 2007.7.27, 2008.3.28, 2009.5.21, 2012.2.1, 2018.3.20] [[시행일 2021.7.1]]</t>
    <phoneticPr fontId="2" type="noConversion"/>
  </si>
  <si>
    <r>
      <t>다음 각 호의 어느 하나에 해당하는 자는</t>
    </r>
    <r>
      <rPr>
        <b/>
        <u/>
        <sz val="11"/>
        <color rgb="FFC00000"/>
        <rFont val="맑은 고딕"/>
        <family val="3"/>
        <charset val="129"/>
        <scheme val="minor"/>
      </rPr>
      <t xml:space="preserve"> 500만원 이하의 벌금</t>
    </r>
    <r>
      <rPr>
        <sz val="11"/>
        <color theme="1"/>
        <rFont val="맑은 고딕"/>
        <family val="2"/>
        <charset val="129"/>
        <scheme val="minor"/>
      </rPr>
      <t>에 처한다.</t>
    </r>
    <phoneticPr fontId="2" type="noConversion"/>
  </si>
  <si>
    <t xml:space="preserve">1. 제6조(균등한 처우), 제16조(계약기간), 제17조(근로조건의 명시), 제20조(위약 예정의 금지), 제21조(전차금 상계의 금지), 제22조(강제 저금의 금지)제2항, 제47조(도급 근로자), 제53조(연장 근로의 제한)제4항 단서, </t>
    <phoneticPr fontId="2" type="noConversion"/>
  </si>
  <si>
    <t>근로기준법 제67조(근로계약)</t>
    <phoneticPr fontId="2" type="noConversion"/>
  </si>
  <si>
    <t>① 친권자나 후견인은 미성년자의 근로계약을 대리할 수 없다.</t>
    <phoneticPr fontId="2" type="noConversion"/>
  </si>
  <si>
    <t>② 친권자, 후견인 또는 고용노동부장관은 근로계약이 미성년자에게 불리하다고 인정하는 경우에는 이를 해지할 수 있다.[개정 2010.6.4 제10339호(정부조직법)] [[시행일 2010.7.5]]</t>
    <phoneticPr fontId="2" type="noConversion"/>
  </si>
  <si>
    <t xml:space="preserve">    [신설 2007.7.27, 2020.5.26 제17326호(법률용어 정비를 위한 환경노동위원회 소관 65개 법률 일부개정을 위한 법률), 2021.1.5]</t>
    <phoneticPr fontId="2" type="noConversion"/>
  </si>
  <si>
    <t xml:space="preserve">③ 사용자는 18세 미만인 사람과 근로계약을 체결하는 경우에는 제17조(근로조건의 명시)에 따른 근로조건을 서면(「전자문서 및 전자거래 기본법」 제2조제1호에 따른 전자문서를 포함한다)으로 명시하여 교부하여야 한다. </t>
    <phoneticPr fontId="2" type="noConversion"/>
  </si>
  <si>
    <t xml:space="preserve">근로기준법 제17조(근로조건의 명시) </t>
    <phoneticPr fontId="2" type="noConversion"/>
  </si>
  <si>
    <r>
      <t xml:space="preserve">   </t>
    </r>
    <r>
      <rPr>
        <b/>
        <u/>
        <sz val="11"/>
        <color rgb="FFC00000"/>
        <rFont val="맑은 고딕"/>
        <family val="3"/>
        <charset val="129"/>
        <scheme val="minor"/>
      </rPr>
      <t>제67조(근로계약)제1항·제3항</t>
    </r>
    <r>
      <rPr>
        <sz val="11"/>
        <color theme="1"/>
        <rFont val="맑은 고딕"/>
        <family val="2"/>
        <charset val="129"/>
        <scheme val="minor"/>
      </rPr>
      <t xml:space="preserve">, 제70조(야간근로와 휴일근로의 제한)제3항, 제73조(생리휴가), 제74조(임산부의 보호)제6항, 제77조(기능 습득자의 보호), 제94조(규칙의 작성, 변경 절차), 제95조(제재 규정의 제한), </t>
    </r>
    <phoneticPr fontId="2" type="noConversion"/>
  </si>
  <si>
    <t xml:space="preserve">   제100조(부속 기숙사의 설치·운영 기준) 및 제103조(근로감독관의 의무)를 위반한 자</t>
    <phoneticPr fontId="2" type="noConversion"/>
  </si>
  <si>
    <t>2. 제96조(단체협약의 준수)제2항에 따른 명령을 위반한 자</t>
    <phoneticPr fontId="2" type="noConversion"/>
  </si>
  <si>
    <t xml:space="preserve">제115조(양벌규정) </t>
    <phoneticPr fontId="2" type="noConversion"/>
  </si>
  <si>
    <t>그 행위자를 벌하는 외에 그 사업주에게도 해당 조문의 벌금형을 과(科)한다. 다만, 사업주가 그 위반행위를 방지하기 위하여 해당 업무에 관하여 상당한 주의와 감독을 게을리하지 아니한 경우에는 그러하지 아니하다.</t>
    <phoneticPr fontId="2" type="noConversion"/>
  </si>
  <si>
    <t>사업주의 대리인, 사용인, 그 밖의 종업원이 해당 사업의 근로자에 관한 사항에 대하여 제107조(벌칙), 제109조(벌칙)부터 제111조(벌칙)까지, 제113조(벌칙) 또는 제114조(벌칙)의 위반행위를 하면</t>
    <phoneticPr fontId="2" type="noConversion"/>
  </si>
  <si>
    <t>제116조(과태료)</t>
    <phoneticPr fontId="2" type="noConversion"/>
  </si>
  <si>
    <t xml:space="preserve">    [개정 2009.5.21, 2010.6.4 제10339호(정부조직법), 2014.3.24, 2017.11.28, 2021.1.5] [[시행일: 부칙참조(제17862호)]]</t>
    <phoneticPr fontId="2" type="noConversion"/>
  </si>
  <si>
    <r>
      <t xml:space="preserve">① 다음 각 호의 어느 하나에 해당하는 자에게는 </t>
    </r>
    <r>
      <rPr>
        <b/>
        <u/>
        <sz val="11"/>
        <color rgb="FFC00000"/>
        <rFont val="맑은 고딕"/>
        <family val="3"/>
        <charset val="129"/>
        <scheme val="minor"/>
      </rPr>
      <t>500만원 이하의 과태료</t>
    </r>
    <r>
      <rPr>
        <sz val="11"/>
        <color theme="1"/>
        <rFont val="맑은 고딕"/>
        <family val="2"/>
        <charset val="129"/>
        <scheme val="minor"/>
      </rPr>
      <t>를 부과한다.</t>
    </r>
    <phoneticPr fontId="2" type="noConversion"/>
  </si>
  <si>
    <t xml:space="preserve">  1. 제13조(보고, 출석의 의무)에 따른 고용노동부장관, 노동위원회 또는 근로감독관의 요구가 있는 경우에 보고 또는 출석을 하지 아니하거나 거짓된 보고를 한 자</t>
    <phoneticPr fontId="2" type="noConversion"/>
  </si>
  <si>
    <r>
      <t xml:space="preserve">  2. 제14조(법령 주요 내용 등의 게시), 제39조(사용증명서), </t>
    </r>
    <r>
      <rPr>
        <b/>
        <u/>
        <sz val="11"/>
        <color rgb="FFC00000"/>
        <rFont val="맑은 고딕"/>
        <family val="3"/>
        <charset val="129"/>
        <scheme val="minor"/>
      </rPr>
      <t>제41조(근로자의 명부)</t>
    </r>
    <r>
      <rPr>
        <sz val="11"/>
        <color theme="1"/>
        <rFont val="맑은 고딕"/>
        <family val="2"/>
        <charset val="129"/>
        <scheme val="minor"/>
      </rPr>
      <t xml:space="preserve">, 제42조(계약 서류의 보존), </t>
    </r>
    <r>
      <rPr>
        <b/>
        <u/>
        <sz val="11"/>
        <color rgb="FFC00000"/>
        <rFont val="맑은 고딕"/>
        <family val="3"/>
        <charset val="129"/>
        <scheme val="minor"/>
      </rPr>
      <t>제48조(임금대장 및 임금명세서)</t>
    </r>
    <r>
      <rPr>
        <sz val="11"/>
        <color theme="1"/>
        <rFont val="맑은 고딕"/>
        <family val="2"/>
        <charset val="129"/>
        <scheme val="minor"/>
      </rPr>
      <t xml:space="preserve">, 제66조(연소자 증명서), 제74조(임산부의 보호)제7항, 제91조(서류의 보존), </t>
    </r>
    <phoneticPr fontId="2" type="noConversion"/>
  </si>
  <si>
    <r>
      <t xml:space="preserve">     </t>
    </r>
    <r>
      <rPr>
        <b/>
        <u/>
        <sz val="11"/>
        <color rgb="FFC00000"/>
        <rFont val="맑은 고딕"/>
        <family val="3"/>
        <charset val="129"/>
        <scheme val="minor"/>
      </rPr>
      <t>제93조(취업규칙의 작성·신고)</t>
    </r>
    <r>
      <rPr>
        <sz val="11"/>
        <color theme="1"/>
        <rFont val="맑은 고딕"/>
        <family val="2"/>
        <charset val="129"/>
        <scheme val="minor"/>
      </rPr>
      <t>, 제98조(기숙사 생활의 보장)제2항 및 제99조(규칙의 작성과 변경)를 위반한 자</t>
    </r>
    <phoneticPr fontId="2" type="noConversion"/>
  </si>
  <si>
    <t xml:space="preserve">  3. 제51조의2(3개월을 초과하는 탄력적 근로시간제)제5항에 따른 임금보전방안을 신고하지 아니한 자</t>
    <phoneticPr fontId="2" type="noConversion"/>
  </si>
  <si>
    <t xml:space="preserve">     진술을 하지 아니하거나 거짓된 진술을 하며 장부·서류를 제출하지 아니하거나 거짓 장부·서류를 제출한 자</t>
    <phoneticPr fontId="2" type="noConversion"/>
  </si>
  <si>
    <t xml:space="preserve">  4. 제102조(근로감독관의 권한)에 따른 근로감독관 또는 그 위촉을 받은 의사의 현장조사나 검진을 거절, 방해 또는 기피하고 그 심문에 대하여 </t>
    <phoneticPr fontId="2" type="noConversion"/>
  </si>
  <si>
    <t>② 제1항에 따른 과태료는 대통령령으로 정하는 바에 따라 고용노동부장관이 부과·징수한다.</t>
    <phoneticPr fontId="2" type="noConversion"/>
  </si>
  <si>
    <t xml:space="preserve">    [개정 2010.6.4 제10339호(정부조직법)] [[시행일 2010.7.5]]</t>
    <phoneticPr fontId="2" type="noConversion"/>
  </si>
  <si>
    <t>③ 삭제 [2009.5.21] [[시행일 2009.8.22]]</t>
    <phoneticPr fontId="2" type="noConversion"/>
  </si>
  <si>
    <t>④ 삭제 [2009.5.21] [[시행일 2009.8.22]]</t>
    <phoneticPr fontId="2" type="noConversion"/>
  </si>
  <si>
    <t>⑤ 삭제 [2009.5.21] [[시행일 2009.8.22]]</t>
    <phoneticPr fontId="2" type="noConversion"/>
  </si>
  <si>
    <t>① 사용자는 근로계약을 체결할 때에 근로자에게 다음 각 호의 사항을 명시하여야 한다. 근로계약 체결 후 다음 각 호의 사항을 변경하는 경우에도 또한 같다. [개정 2010.5.25] [[시행일 2012.1.1]]</t>
    <phoneticPr fontId="2" type="noConversion"/>
  </si>
  <si>
    <t>위반시 : 500만원 이하의 벌금</t>
    <phoneticPr fontId="2" type="noConversion"/>
  </si>
  <si>
    <t>E-Mail</t>
    <phoneticPr fontId="2" type="noConversion"/>
  </si>
  <si>
    <t>표준근로계약서</t>
    <phoneticPr fontId="2" type="noConversion"/>
  </si>
  <si>
    <t>선우회계법인</t>
    <phoneticPr fontId="2" type="noConversion"/>
  </si>
  <si>
    <t>(이하 “사업주”라 함)과(와)</t>
    <phoneticPr fontId="2" type="noConversion"/>
  </si>
  <si>
    <t>주황규</t>
    <phoneticPr fontId="2" type="noConversion"/>
  </si>
  <si>
    <t>(이하 “근로자”라 함)은 다음</t>
    <phoneticPr fontId="2" type="noConversion"/>
  </si>
  <si>
    <t>과 같이 근로계약을 체결한다.</t>
    <phoneticPr fontId="2" type="noConversion"/>
  </si>
  <si>
    <t>근로개시일</t>
    <phoneticPr fontId="2" type="noConversion"/>
  </si>
  <si>
    <t>:</t>
    <phoneticPr fontId="2" type="noConversion"/>
  </si>
  <si>
    <t>부터</t>
    <phoneticPr fontId="2" type="noConversion"/>
  </si>
  <si>
    <t>* 근로계약기간을 정하는 경우</t>
    <phoneticPr fontId="2" type="noConversion"/>
  </si>
  <si>
    <t>까지</t>
    <phoneticPr fontId="2" type="noConversion"/>
  </si>
  <si>
    <t>근 무 장 소</t>
    <phoneticPr fontId="2" type="noConversion"/>
  </si>
  <si>
    <t>충남 천안시 서북구 오성로 103 , 6층 (두정동,청풍프라자)</t>
    <phoneticPr fontId="2" type="noConversion"/>
  </si>
  <si>
    <t>업무의 내용</t>
    <phoneticPr fontId="2" type="noConversion"/>
  </si>
  <si>
    <t>4.</t>
    <phoneticPr fontId="2" type="noConversion"/>
  </si>
  <si>
    <t>소정근로시간</t>
    <phoneticPr fontId="2" type="noConversion"/>
  </si>
  <si>
    <t>까지(휴게시간:</t>
    <phoneticPr fontId="2" type="noConversion"/>
  </si>
  <si>
    <t>~</t>
    <phoneticPr fontId="2" type="noConversion"/>
  </si>
  <si>
    <t>)</t>
    <phoneticPr fontId="2" type="noConversion"/>
  </si>
  <si>
    <t>5.</t>
    <phoneticPr fontId="2" type="noConversion"/>
  </si>
  <si>
    <t>근무일/휴일</t>
    <phoneticPr fontId="2" type="noConversion"/>
  </si>
  <si>
    <t>매주</t>
    <phoneticPr fontId="2" type="noConversion"/>
  </si>
  <si>
    <t xml:space="preserve">(또는 매일단위)근무  ,  </t>
    <phoneticPr fontId="2" type="noConversion"/>
  </si>
  <si>
    <t>주휴일 매주</t>
    <phoneticPr fontId="2" type="noConversion"/>
  </si>
  <si>
    <t>일</t>
    <phoneticPr fontId="2" type="noConversion"/>
  </si>
  <si>
    <t>요일</t>
    <phoneticPr fontId="2" type="noConversion"/>
  </si>
  <si>
    <t>6.</t>
    <phoneticPr fontId="2" type="noConversion"/>
  </si>
  <si>
    <t>임    금</t>
    <phoneticPr fontId="2" type="noConversion"/>
  </si>
  <si>
    <t>- 월(일, 시간)급</t>
    <phoneticPr fontId="2" type="noConversion"/>
  </si>
  <si>
    <t>(</t>
    <phoneticPr fontId="2" type="noConversion"/>
  </si>
  <si>
    <t>월급</t>
    <phoneticPr fontId="2" type="noConversion"/>
  </si>
  <si>
    <t>원</t>
    <phoneticPr fontId="2" type="noConversion"/>
  </si>
  <si>
    <t>- 상여금</t>
    <phoneticPr fontId="2" type="noConversion"/>
  </si>
  <si>
    <t>있음(</t>
    <phoneticPr fontId="2" type="noConversion"/>
  </si>
  <si>
    <t>),</t>
    <phoneticPr fontId="2" type="noConversion"/>
  </si>
  <si>
    <t>원,</t>
    <phoneticPr fontId="2" type="noConversion"/>
  </si>
  <si>
    <t>없음(</t>
    <phoneticPr fontId="2" type="noConversion"/>
  </si>
  <si>
    <t>√</t>
    <phoneticPr fontId="2" type="noConversion"/>
  </si>
  <si>
    <t>- 기타급여(제수당 등)</t>
    <phoneticPr fontId="2" type="noConversion"/>
  </si>
  <si>
    <t>- 임금지급일</t>
    <phoneticPr fontId="2" type="noConversion"/>
  </si>
  <si>
    <t>매월(매주 또는 매일)</t>
    <phoneticPr fontId="2" type="noConversion"/>
  </si>
  <si>
    <t>다음달 10</t>
    <phoneticPr fontId="2" type="noConversion"/>
  </si>
  <si>
    <t>일(휴일의 경우는 전일 지급)</t>
    <phoneticPr fontId="2" type="noConversion"/>
  </si>
  <si>
    <t>- 지급방법</t>
    <phoneticPr fontId="2" type="noConversion"/>
  </si>
  <si>
    <t>근로자에게 직접지급(</t>
    <phoneticPr fontId="2" type="noConversion"/>
  </si>
  <si>
    <t>)  , 근로자 명의 예금통장에 입금(</t>
    <phoneticPr fontId="2" type="noConversion"/>
  </si>
  <si>
    <t>7.</t>
    <phoneticPr fontId="2" type="noConversion"/>
  </si>
  <si>
    <t>연차유급휴가</t>
    <phoneticPr fontId="2" type="noConversion"/>
  </si>
  <si>
    <t>- 연차유급휴가는 근로기준법에서 정하는 바에 따라 부여함</t>
    <phoneticPr fontId="2" type="noConversion"/>
  </si>
  <si>
    <t>8. 사회보험 적용여부(해당란에 체크)</t>
    <phoneticPr fontId="2" type="noConversion"/>
  </si>
  <si>
    <t xml:space="preserve"> 고용보험</t>
    <phoneticPr fontId="2" type="noConversion"/>
  </si>
  <si>
    <t xml:space="preserve"> 산재보험</t>
    <phoneticPr fontId="2" type="noConversion"/>
  </si>
  <si>
    <t xml:space="preserve"> 국민연금</t>
    <phoneticPr fontId="2" type="noConversion"/>
  </si>
  <si>
    <t xml:space="preserve"> 건강보험</t>
    <phoneticPr fontId="2" type="noConversion"/>
  </si>
  <si>
    <t>9. 근로계약서 교부</t>
    <phoneticPr fontId="2" type="noConversion"/>
  </si>
  <si>
    <t>- 사업주는 근로계약을 체결함과 동시에 본 계약서를 사본하여 근로자의 교부</t>
    <phoneticPr fontId="2" type="noConversion"/>
  </si>
  <si>
    <t xml:space="preserve">  요구와 관계없이 근로자에게 교부함(근로기준법 제17조 이행)</t>
    <phoneticPr fontId="2" type="noConversion"/>
  </si>
  <si>
    <t>10. 근로계약, 취업규칙 등의 성실한 이행의무</t>
    <phoneticPr fontId="2" type="noConversion"/>
  </si>
  <si>
    <t>- 사업주와 근로자는 각자가 근로계약, 취업규칙, 단체협약을 지키고 성실하게</t>
    <phoneticPr fontId="2" type="noConversion"/>
  </si>
  <si>
    <t xml:space="preserve">  이행하여야 함</t>
    <phoneticPr fontId="2" type="noConversion"/>
  </si>
  <si>
    <t>11. 기  타</t>
    <phoneticPr fontId="2" type="noConversion"/>
  </si>
  <si>
    <t>- 이 계약에 정함이 없는 사항은 근로기준법령에 의함</t>
    <phoneticPr fontId="2" type="noConversion"/>
  </si>
  <si>
    <t>(사업주)</t>
    <phoneticPr fontId="2" type="noConversion"/>
  </si>
  <si>
    <t>사업체명</t>
    <phoneticPr fontId="2" type="noConversion"/>
  </si>
  <si>
    <t>(전화:</t>
    <phoneticPr fontId="2" type="noConversion"/>
  </si>
  <si>
    <t>041) 567-6764</t>
    <phoneticPr fontId="2" type="noConversion"/>
  </si>
  <si>
    <t>주     소</t>
    <phoneticPr fontId="2" type="noConversion"/>
  </si>
  <si>
    <t>대 표 자</t>
    <phoneticPr fontId="2" type="noConversion"/>
  </si>
  <si>
    <t>김수남</t>
    <phoneticPr fontId="2" type="noConversion"/>
  </si>
  <si>
    <t>(서명)</t>
    <phoneticPr fontId="2" type="noConversion"/>
  </si>
  <si>
    <t>(근로자)</t>
    <phoneticPr fontId="2" type="noConversion"/>
  </si>
  <si>
    <t>연 락 처</t>
    <phoneticPr fontId="2" type="noConversion"/>
  </si>
  <si>
    <t>070-7836-1641</t>
    <phoneticPr fontId="2" type="noConversion"/>
  </si>
  <si>
    <t>성     명</t>
    <phoneticPr fontId="2" type="noConversion"/>
  </si>
  <si>
    <t>일 근로 시간</t>
    <phoneticPr fontId="2" type="noConversion"/>
  </si>
  <si>
    <t>2일 이후 입사월 제외</t>
    <phoneticPr fontId="2" type="noConversion"/>
  </si>
  <si>
    <t>시급</t>
    <phoneticPr fontId="2" type="noConversion"/>
  </si>
  <si>
    <t>한달근무</t>
    <phoneticPr fontId="2" type="noConversion"/>
  </si>
  <si>
    <t>통상시급</t>
    <phoneticPr fontId="2" type="noConversion"/>
  </si>
  <si>
    <t>주휴수당의 통상임금성 및 월고정수당 포함 여부</t>
    <phoneticPr fontId="2" type="noConversion"/>
  </si>
  <si>
    <t>주휴수당의 통상임금성 및 월고정수당 포함 여부 BY 박소민 노무사 2020.09.15.</t>
    <phoneticPr fontId="2" type="noConversion"/>
  </si>
  <si>
    <t>【판결 요지】</t>
    <phoneticPr fontId="2" type="noConversion"/>
  </si>
  <si>
    <t xml:space="preserve">근무를 한 것으로 간주하여 지급되는 법정수당인 주휴수당이 포함되어 있지 않다. </t>
    <phoneticPr fontId="2" type="noConversion"/>
  </si>
  <si>
    <t>근로계약․단체협약 등에서 달리 정하지 않는 한 구 근로기준법 제55조에 따라 부여되는 유급휴일에 실제로 근무를 하지 않더라도</t>
    <phoneticPr fontId="2" type="noConversion"/>
  </si>
  <si>
    <t xml:space="preserve">따라서 시급제 또는 일급제 근로자로서는 근로기준법상 통상임금에 속하는 매월 또는 1개월을 초과하는 일정기간마다 지급되는 고정수당을 포함하여 </t>
    <phoneticPr fontId="2" type="noConversion"/>
  </si>
  <si>
    <t>새로이 산정한 시간급 통상임금을 기준으로 계산한 주휴수당액과 이미 지급받은 주휴수당액의 차액을 청구할 수 있고, 이를 주휴수당의 중복 청구라고 할 수 없다.</t>
    <phoneticPr fontId="2" type="noConversion"/>
  </si>
  <si>
    <t xml:space="preserve">다만 시급제 또는 일급제 근로자에게 매월 지급되는 이러한 고정수당에는 구 근로기준법 제55조에 따라 유급으로 처리되는 시간에 대응하는 부분이 포함되어 있으므로, </t>
    <phoneticPr fontId="2" type="noConversion"/>
  </si>
  <si>
    <t xml:space="preserve">매월 또는 1개월을 초과하는 일정기간마다 지급되는 고정수당액을 월의 소정근로시간과 이처럼 유급으로 처리되는 시간을 합한 총 근로시간 수로 나눈 금액을 </t>
    <phoneticPr fontId="2" type="noConversion"/>
  </si>
  <si>
    <t>기본 시급 또는 기본 일급의 시간급 금액에 더하는 방식에 의하여 시급제 또는 일급제 근로자의 시간급 통상임금을 산정하여도 무방하다.</t>
    <phoneticPr fontId="2" type="noConversion"/>
  </si>
  <si>
    <t xml:space="preserve">통상임금이란 근로자에게 정기적이고 일률적으로 소정근로 또는 총 근로에 대하여 지급하기로 정한 시간급 금액, 일급 금액, 주급 금액, 월급 금액 또는 도급 금액을 말하며, </t>
    <phoneticPr fontId="2" type="noConversion"/>
  </si>
  <si>
    <t xml:space="preserve">이는 근로의 양 및 질에 관계되는 근로의 대상으로서 실제 근무일수나 수령액에 구애됨이 없이 정기적/일률적으로 1임금 산정기간에 지급하기로 정하여진 고정급 임금을 의미한다(근로기준법 시행령 제6조 제1항 참조). </t>
    <phoneticPr fontId="2" type="noConversion"/>
  </si>
  <si>
    <t xml:space="preserve">2013년 통상임금에 대한 대법원 전원합의체 판결(대법원 2012다89399, 2013.12.18. 선고 / 대법원 2012다94643, 판결) 이후 몇 가지 주요 수당의 통상임금성이 인정되었으나 여타 수당의 통상임금에 대한 법적 분쟁은 현재에도 계속 진행 중이다. </t>
    <phoneticPr fontId="2" type="noConversion"/>
  </si>
  <si>
    <t xml:space="preserve">실무상 기업에서는 임금 지급 및 근로시간 산정의 편의성을 위해 근로자에게 기본급 외에 일정액의 고정수당을 지급하는 포괄임금제의 형태를 취하고 있는 경우가 많다. </t>
    <phoneticPr fontId="2" type="noConversion"/>
  </si>
  <si>
    <t>문제의 핵심은 월 단위로 지급되는 고정수당에 주휴수당(유급휴일에 관한 임금) 등 법정수당이 포함되는지의 여부이다.</t>
    <phoneticPr fontId="2" type="noConversion"/>
  </si>
  <si>
    <t xml:space="preserve">종래 대법원은 시급제 사원이 기본시급과 함께 매월 고정수당을 월급의 형태로 지급받는 경우, </t>
    <phoneticPr fontId="2" type="noConversion"/>
  </si>
  <si>
    <t xml:space="preserve">그 고정수당 중에는 근로기준법상 유급휴일에 대한 임금(주휴수당)의 성격을 갖는 부분도 포함되어 있는 것으로 봄이 상당하다는 입장을 취하고 있다(대법원 97다28421, 1998.4.24 선고 판결 등). </t>
    <phoneticPr fontId="2" type="noConversion"/>
  </si>
  <si>
    <t>그런데 최근 대법원은 “시급제 또는 일급제 근로자에게 매월 일정기간마다 지급되는 고정수당에 근로계약․단체협약 등에서 달리 정하지 않는 한</t>
    <phoneticPr fontId="2" type="noConversion"/>
  </si>
  <si>
    <t xml:space="preserve">                               근로기준법상 통상임금에 속하는 매월 또는 1개월을 초과하는 일정기간마다 지급되는 고정수당을 포함하여 </t>
    <phoneticPr fontId="2" type="noConversion"/>
  </si>
  <si>
    <t xml:space="preserve">                               새로이 산정한 시간급 통상임금을 기준으로 계산한 주휴수당액과 이미 지급받은 주휴수당액의 차액을 청구할 수 있고, </t>
    <phoneticPr fontId="2" type="noConversion"/>
  </si>
  <si>
    <t xml:space="preserve">                               이를 주휴수당의 중복 청구라고 할 수 없다”고 판시하였다(대법원 2016다39538, 2018.12.27. 선고 / 대법원 2016다39545, 판결. 이하 "대상판결").</t>
    <phoneticPr fontId="2" type="noConversion"/>
  </si>
  <si>
    <r>
      <t xml:space="preserve">                               법정수당인 주휴수당이 포함되어 있지 않다”는 점을 근거로 “</t>
    </r>
    <r>
      <rPr>
        <b/>
        <u/>
        <sz val="11"/>
        <color rgb="FFFF0000"/>
        <rFont val="맑은 고딕"/>
        <family val="3"/>
        <charset val="129"/>
        <scheme val="minor"/>
      </rPr>
      <t>시급제 또는 일급제 근로자</t>
    </r>
    <r>
      <rPr>
        <sz val="11"/>
        <color theme="1"/>
        <rFont val="맑은 고딕"/>
        <family val="2"/>
        <charset val="129"/>
        <scheme val="minor"/>
      </rPr>
      <t xml:space="preserve">의 경우 </t>
    </r>
    <phoneticPr fontId="2" type="noConversion"/>
  </si>
  <si>
    <t xml:space="preserve">이하에서는 현행 현행 근로기준법상 주휴수당 및 주휴수당이 통상임금에 해당되는지 여부를 간략히 살핀 후, </t>
    <phoneticPr fontId="2" type="noConversion"/>
  </si>
  <si>
    <t>고정수당에 주휴수당이 포함되어 있는지 여부를 종래 판례와 최근 판례(대상판결)의 경우를 비교하여 논의한다.</t>
    <phoneticPr fontId="2" type="noConversion"/>
  </si>
  <si>
    <t>즉, 대법원이 시급 또는 일급제 근로자에게 월 통상수당(고정수당)의 법적 실질을 두고 입장을 변경한 것인지에 대해 살펴보고,</t>
    <phoneticPr fontId="2" type="noConversion"/>
  </si>
  <si>
    <t xml:space="preserve">     만약 대법원이 입장을 변경한 것이 아니라면, 종래 판례와 대상 판결과의 차이점은 무엇인지에 대해 검토해보고자 한다.</t>
    <phoneticPr fontId="2" type="noConversion"/>
  </si>
  <si>
    <t>1. 주휴수당의 통상임금 여부</t>
    <phoneticPr fontId="2" type="noConversion"/>
  </si>
  <si>
    <t>근로기준법은 근로자에게 1주일에 1회 이상의 휴일을 보장하고,</t>
    <phoneticPr fontId="2" type="noConversion"/>
  </si>
  <si>
    <t xml:space="preserve">1주 동안의 소정근로일을 개근한 근로자에게는 8시간 기준의 임금에 해당하는 수당을 추가로 지급하도록 규정하고 있는데(동법 시행령 제30조 제1항 참고), </t>
    <phoneticPr fontId="2" type="noConversion"/>
  </si>
  <si>
    <t xml:space="preserve">이 수당을 가리켜 ‘주휴수당’이라 한다. </t>
    <phoneticPr fontId="2" type="noConversion"/>
  </si>
  <si>
    <t xml:space="preserve">즉 근로기준법은 사용자가 근로자에게 1주일에 평균 1회 이상의 유급휴일(주휴일)을 주도록 정하고 있으며, </t>
    <phoneticPr fontId="2" type="noConversion"/>
  </si>
  <si>
    <t xml:space="preserve">                       이에 따라 1주일 중 1일은 근로자가 실제 근로를 제공하지 않아도 당연히 1일의 소정근로시간을 근로한 것으로 간주해 그에 대한 기본임금을 지급한다.</t>
    <phoneticPr fontId="2" type="noConversion"/>
  </si>
  <si>
    <t>현행 주휴수당은 1주간 소정근로일의 개근을 주휴일의 부여요건으로 설정하고, 이를 유급으로 보장하고 있다는 점에 그 특징이 있다.</t>
    <phoneticPr fontId="2" type="noConversion"/>
  </si>
  <si>
    <t xml:space="preserve">현행 근로기준법은 통상임금에 관한 규정들을 두고 있으나, 어떤 수당이 통상임금인지에 관해서는 아무런 규정을 두고 있지 않다. </t>
    <phoneticPr fontId="2" type="noConversion"/>
  </si>
  <si>
    <t xml:space="preserve">이에 대해 대법원은 근로기준법 시행령상의 통상임금 정의 규정을 전제로 하면서도 </t>
    <phoneticPr fontId="2" type="noConversion"/>
  </si>
  <si>
    <t>통상임금을 “소정근로시간에 통상적으로 제공하는 근로인 소정근로의 대가로 근로자에게 지급되는 금품으로서 정기적/일률적/고정적으로 지급되는 임금”이라고 일관되게 정의하고 있다</t>
    <phoneticPr fontId="2" type="noConversion"/>
  </si>
  <si>
    <t>(대법원 2012다89399, 2013.12.18. 선고 / 대법원 2012다94643, 판결 등 참조).</t>
    <phoneticPr fontId="2" type="noConversion"/>
  </si>
  <si>
    <t xml:space="preserve">이러한 대법원 판례의 입장에 의하면 주휴수당은 고정성이 결여되어 통상임금이라 할 수 없다. </t>
    <phoneticPr fontId="2" type="noConversion"/>
  </si>
  <si>
    <t>즉, 판례는 “유급휴일에 대한 임금(주휴수당)은 원래 소정근로일수를 개근한 근로자에 대하여만 지급되는 것으로서,</t>
    <phoneticPr fontId="2" type="noConversion"/>
  </si>
  <si>
    <t xml:space="preserve">               정기적․일률적으로 지급되는 고정적인 임금이라고 할 수 없어 통상임금에 해당되지 않는다”고 판시(대법원 97다28421, 1998.4.24. 선고 판결/ 대법원 2006다81974, 2007.4.12. 선고 판결 등)하여 </t>
    <phoneticPr fontId="2" type="noConversion"/>
  </si>
  <si>
    <t xml:space="preserve">               주휴수당이 통상임금에 포함되지 않는다는 점을 분명히 했다.</t>
    <phoneticPr fontId="2" type="noConversion"/>
  </si>
  <si>
    <t xml:space="preserve"> 다만, 주휴수당 역시 법정수당으로서 근로자가 주휴일에 실제로 근무를 하지 않더라도 근무를 한 것으로 간주해 지급되는 임금이므로, </t>
    <phoneticPr fontId="2" type="noConversion"/>
  </si>
  <si>
    <t xml:space="preserve">         그 성질상 통상임금을 기초로 해서 산정할 수당으로 보아야 할 것이다</t>
    <phoneticPr fontId="2" type="noConversion"/>
  </si>
  <si>
    <t>(대법원 2009다74144, 2010.1.28. 선고 판결 / 대법원 2010다91046, 2012.3.29. 선고 판결 / 대법원 2015다9868, 2015.10.15. 선고 판결 등).</t>
    <phoneticPr fontId="2" type="noConversion"/>
  </si>
  <si>
    <t>2. 고정수당에 주휴수당이 포함되어 있는지 여부</t>
    <phoneticPr fontId="2" type="noConversion"/>
  </si>
  <si>
    <t>월 통상수당에 유급휴일에 대한 임금이 포함돼 있는지 여부에 대해 종래 판례는</t>
    <phoneticPr fontId="2" type="noConversion"/>
  </si>
  <si>
    <t>“근로자에게 임금을 월급으로 지급할 경우 그 월급에는 구 근로기준법 제45조 소정의 유급휴일에 대한 임금(주휴수당)도 포함된다”고 할 것이고,</t>
    <phoneticPr fontId="2" type="noConversion"/>
  </si>
  <si>
    <t xml:space="preserve"> “시급제 사원이 기본 시급과 함께 매월 고정수당을 월급의 형태로 지급받는 경우, 그 고정수당 중에는 구 근로기준법 제45조 소정의 유급휴일에 대한 임금의 성격을 갖는 부분도 포함되어 있는 것으로 봄이 상당하므로, </t>
    <phoneticPr fontId="2" type="noConversion"/>
  </si>
  <si>
    <t xml:space="preserve">통상임금을 산정함에 있어서는 유급휴일에 대한 임금(주휴수당)을 공제해야 한다”고 판시하고 있다 (대법원 97다28421, 1998.4.24. 선고 판결 등). </t>
    <phoneticPr fontId="2" type="noConversion"/>
  </si>
  <si>
    <t>이러한 판례의 태도는 월급근로자의 경우 특별한 규정이 없는 한 주휴일의 임금(주휴수당)은 당연히 월급에 포함돼 있다는 노동실무 및 관행(월소정근로시간수+주휴시간=월유급통상시간수)을 반영한 것으로</t>
    <phoneticPr fontId="2" type="noConversion"/>
  </si>
  <si>
    <t>일반적으로 월급제로 지급되는 임금 속에는 주휴일에 대해 유급으로 당연히 지급되는 임금(주휴수당)이 포함돼 있으므로,</t>
    <phoneticPr fontId="2" type="noConversion"/>
  </si>
  <si>
    <t>통상임금을 산정함에 있어서는 월급제 임금에서 주휴수당분을 제외할 필요가 있다는 것이다.</t>
    <phoneticPr fontId="2" type="noConversion"/>
  </si>
  <si>
    <t>이에 따라 다수의 하급심 판결에서도 상여금을 비롯한 고정수당에 이미 주휴수당이 포함돼 있으므로 주휴수당의 차액청구를 부정하고 있다.</t>
    <phoneticPr fontId="2" type="noConversion"/>
  </si>
  <si>
    <t>(* 예를 들어, 서울중앙지방법원 2014가합579273, 2017.8.31. 선고 판결에서는,</t>
    <phoneticPr fontId="2" type="noConversion"/>
  </si>
  <si>
    <t xml:space="preserve"> “생산직, 기술직 원고들이 지급받은 통상임금, 기타수당뿐만 아니라 상여금에는 근로기준법 제55조의 유급휴일에 대한 임금이 포함되어 있다고 할 것이므로, 
</t>
    <phoneticPr fontId="2" type="noConversion"/>
  </si>
  <si>
    <t xml:space="preserve">상여금을 추가로 반영함으로써, 피고가 생산직․기술직 원고들에게 미지급한 주휴수당이 존재하지 아니한다”고 봤고, </t>
    <phoneticPr fontId="2" type="noConversion"/>
  </si>
  <si>
    <t xml:space="preserve">대전고등법원 2014나3595, 2016.8.18. 선고 판결에서도 “피고는 원고들에 대한 임금을 월급 형태로 지급하면서, 이 사건 정기상여금도 1~2개월마다 정기적으로 해당 월에 지급되는 월급에 포함하여 지급하였다. </t>
    <phoneticPr fontId="2" type="noConversion"/>
  </si>
  <si>
    <t xml:space="preserve">따라서 피고가 월 단위로 원고들에게 지급한 각 임금 항목에 근로기준법이 정한 주휴일에 대한 부분이 포함되어 있고, </t>
    <phoneticPr fontId="2" type="noConversion"/>
  </si>
  <si>
    <t xml:space="preserve">1~2개월마다 정기적으로 지급한 이 사건 정기상여금에도 주휴일에 대한 유급휴일수당 부분이 이미 포함되어 있으므로, </t>
    <phoneticPr fontId="2" type="noConversion"/>
  </si>
  <si>
    <t xml:space="preserve">이 사건 정기상여금을 통상임금에 추가 반영한 주휴수당은 별도로 구할 수 없다고 봄이 타당하다”고 판시했다. </t>
    <phoneticPr fontId="2" type="noConversion"/>
  </si>
  <si>
    <t>이 밖에도 서울고등법원 2017.5.31. 선고 (춘천)2016나2135 판결, 부산고등법원 2017.11.15. 선고 2015나5422 판결 등에서도 주휴수당 차액 지급청구를 받아들이지 않았다. )</t>
    <phoneticPr fontId="2" type="noConversion"/>
  </si>
  <si>
    <t xml:space="preserve">                                   구 근로기준법 제55조에 따라 부여되는 유급휴일에 실제로 근무를 하지 않더라도 근무를 한 것으로 간주하여 지급되는 법정수당인 주휴수당이 포함되어 있지 않다”고 하면서</t>
    <phoneticPr fontId="2" type="noConversion"/>
  </si>
  <si>
    <t xml:space="preserve">                                  “매월 또는 1개월을 초과하는 일정기간마다 지급되는 고정수당을 포함하여 새로이 산정한 시간급 통상임금을 기준으로 계산한 주휴수당액과 이미 지급받은 주휴수당액의 차액을 청구할 수 있고, </t>
    <phoneticPr fontId="2" type="noConversion"/>
  </si>
  <si>
    <t xml:space="preserve">                                   이를 주휴수당의 중복 청구라고 할 수 없다”고 판시한 바 있다.</t>
    <phoneticPr fontId="2" type="noConversion"/>
  </si>
  <si>
    <r>
      <t>반면, 최근의 대상판결은 “</t>
    </r>
    <r>
      <rPr>
        <b/>
        <u/>
        <sz val="11"/>
        <color rgb="FFC00000"/>
        <rFont val="맑은 고딕"/>
        <family val="3"/>
        <charset val="129"/>
        <scheme val="minor"/>
      </rPr>
      <t>시급제 또는 일급제 근로자</t>
    </r>
    <r>
      <rPr>
        <sz val="11"/>
        <color theme="1"/>
        <rFont val="맑은 고딕"/>
        <family val="2"/>
        <charset val="129"/>
        <scheme val="minor"/>
      </rPr>
      <t>가 기본 시급 또는 기본 일급 외에 매월 또는 1개월을 초과하는 일정기간마다 지급받는 고정수당 중에는 근로계약․단체협약 등에서 달리 정하지 않는 한</t>
    </r>
    <phoneticPr fontId="2" type="noConversion"/>
  </si>
  <si>
    <t>대상판결은 종래 대법원이 취해온 입장과 사뭇 다른 입장을 취한 것으로 보일 수 있으나,</t>
    <phoneticPr fontId="2" type="noConversion"/>
  </si>
  <si>
    <t xml:space="preserve">대법원이 종전의 판례법리를 변경한 것으로 볼 수는 없다. </t>
    <phoneticPr fontId="2" type="noConversion"/>
  </si>
  <si>
    <t xml:space="preserve">이는 대법원이 법리적 판단을 달리했다기보다 원고의 임금체계에 관한 사실관계 확정을 달리한 것이기 때문이다. </t>
    <phoneticPr fontId="2" type="noConversion"/>
  </si>
  <si>
    <t xml:space="preserve"> 즉, 종래의 판례는 표면상 시․일급제 근로자로 보이지만 결국 월급제의 형태로 1개월 이상 일정기간마다 정기적으로 수당을 지급받는 경우 </t>
    <phoneticPr fontId="2" type="noConversion"/>
  </si>
  <si>
    <t xml:space="preserve">                          해당 수당이 통상임금에 사후적으로 포함되더라도 기존 월급 및 수당에 주휴수당 및 휴일수당 등은 이미 포함되어 있다고 보는 것이다.</t>
    <phoneticPr fontId="2" type="noConversion"/>
  </si>
  <si>
    <t xml:space="preserve">반면, 최근의 대상판결은 시․일급제 근로자에게 1개월 단위로 고정수당(상여금)을 지급한 것은 맞지만 그 고정수당의 법적 성질은 "월급"이 아니라 "일급"으로서의 실질을 가진 경우로 보아야 한다는 것이다. </t>
    <phoneticPr fontId="2" type="noConversion"/>
  </si>
  <si>
    <t>대상판결은 이 사건의 원심이 "월급의 형태로 임금을 지급한다"는 사실만을 가지고,</t>
    <phoneticPr fontId="2" type="noConversion"/>
  </si>
  <si>
    <t xml:space="preserve">                원고를 월급제 근로자로 단정하여 원고가 일급제 근로자임을 전제로 한 주휴수당 및 휴일수당에 대한 청구를 배척하고 말았다는 점을 지적하고 있다. </t>
    <phoneticPr fontId="2" type="noConversion"/>
  </si>
  <si>
    <t>다시 말해 대상판결은 고정수당이 1개월 또는 이를 넘어서는 기간을 단위로 하여 지급이 이루어졌다 하더라도,</t>
    <phoneticPr fontId="2" type="noConversion"/>
  </si>
  <si>
    <t xml:space="preserve">그 산정방식과 내용을 살펴 월급으로서의 실질을 가지는 것인지, 아니면 시․일급으로서 실질을 가지는 것인지를 판단하여야 한다는 것이다. </t>
    <phoneticPr fontId="2" type="noConversion"/>
  </si>
  <si>
    <t>따라서, 이는 종전의 판례와 대상판결이 법리적 판단을 달리했다기보다 근로자들의 임금체계에 관한 사실관계 확정을 달리한 데에서 온 판결의 차이라고 할 수 있다.</t>
    <phoneticPr fontId="2" type="noConversion"/>
  </si>
  <si>
    <t xml:space="preserve">결과적으로 대상판결은 이 사건 고정수당이 1개월 또는 이를 넘어서는 기간을 단위로 하여 지급이 이루어졌다 하더라도, </t>
    <phoneticPr fontId="2" type="noConversion"/>
  </si>
  <si>
    <t>그 실질이 월급이 아닌 일급의 형태일 수 있다고 보았다. 따라서 산정방식과 내용을 살펴 고정수당의 실질을 판단하여야 한다는 점을 지적하고 있다.</t>
    <phoneticPr fontId="2" type="noConversion"/>
  </si>
  <si>
    <t>3. 결 론</t>
    <phoneticPr fontId="2" type="noConversion"/>
  </si>
  <si>
    <t>대상판결은 고정수당이 월급이 아닌 일급으로서 실질을 가지고, 단지 지급만 1월 단위로 한 예외적인 경우에 대한 판결이며,</t>
    <phoneticPr fontId="2" type="noConversion"/>
  </si>
  <si>
    <t xml:space="preserve">시․일급제 근로자에 대해 월 단위로 고정수당이 지급되는 경우, </t>
    <phoneticPr fontId="2" type="noConversion"/>
  </si>
  <si>
    <t>원칙적으로 그 고정수당에는 주휴수당이 포함된 것으로 보아야 할 뿐 기존의 대법원 판례법리가 변경된 것은 아니다.</t>
    <phoneticPr fontId="2" type="noConversion"/>
  </si>
  <si>
    <t>그러나 실무적으로 근로자의 임금체계가 실질적으로 월급제인지, 일급제인지, 시급제인지에 대해 노동법률 전문가가 아닌 한 이를 정확히 구별하는 것은 매우 어려운 일이라 할 수 있다.</t>
    <phoneticPr fontId="2" type="noConversion"/>
  </si>
  <si>
    <t>또한 대상판결은 건설업체가 아닌 제조업(보쉬전장)에서 일하는 시․일급제 근로자의 경우 "일급"으로서의 실질을 가질 수 있다는 점을 전제로 한 의견으로 실제 업종의 특성과 부합되지 않는 측면이 있다.</t>
    <phoneticPr fontId="2" type="noConversion"/>
  </si>
  <si>
    <t>(* 건설업의 경우 기상 변화에 따라 시․일급제 근로자가 휴무하는 경우를 상정할 수 있지만, 일반 제조업에서는 시․일급제 근로자라도 기상 변화 등 사정에 따라 업무를 쉬게 하는 경우를 쉽게 상정하기 어렵다.)</t>
    <phoneticPr fontId="2" type="noConversion"/>
  </si>
  <si>
    <t>본 사안과 관련하여 그간의 관련 판례들을 혼란스럽게 만드는 본질적인 이유는 주휴수당의 유급성에 있다.</t>
    <phoneticPr fontId="2" type="noConversion"/>
  </si>
  <si>
    <t xml:space="preserve">그렇다면, 임금이 얼마의 기간 단위를 대상으로 산정되는가에 대한 고민보다는 주휴수당 자체에 초점을 맞추어 해결방안을 모색하는 것이 필요하다. </t>
    <phoneticPr fontId="2" type="noConversion"/>
  </si>
  <si>
    <t>따라서 입법적으로 주휴수당을 원칙적으로 무급화(시행령상 개근 요건을 삭제)하거나 주휴수당 문제를 노사자치(단체협약)에 맡겨 통상임금 산정 문제를 명확하게 하는 방향을 검토하는 것이 필요해 보인다.</t>
    <phoneticPr fontId="2" type="noConversion"/>
  </si>
  <si>
    <r>
      <rPr>
        <b/>
        <u/>
        <sz val="11"/>
        <color rgb="FFC00000"/>
        <rFont val="맑은 고딕"/>
        <family val="3"/>
        <charset val="129"/>
        <scheme val="minor"/>
      </rPr>
      <t>시급제 또는 일급제</t>
    </r>
    <r>
      <rPr>
        <sz val="11"/>
        <color theme="1"/>
        <rFont val="맑은 고딕"/>
        <family val="2"/>
        <charset val="129"/>
        <scheme val="minor"/>
      </rPr>
      <t xml:space="preserve"> 근로자가 기본 시급 또는 기본 일급 외에 매월 또는 1개월을 초과하는 일정기간마다 지급받는 고정수당 중에는</t>
    </r>
    <phoneticPr fontId="2" type="noConversion"/>
  </si>
  <si>
    <t>연소근로자(18세 미만인 자) 표준근로계약서</t>
    <phoneticPr fontId="2" type="noConversion"/>
  </si>
  <si>
    <t>8.</t>
    <phoneticPr fontId="2" type="noConversion"/>
  </si>
  <si>
    <t>가족관계증명서 및 동의서</t>
    <phoneticPr fontId="2" type="noConversion"/>
  </si>
  <si>
    <t>- 가족관계기록사항에 관한 증명서 제출 여부:</t>
    <phoneticPr fontId="2" type="noConversion"/>
  </si>
  <si>
    <t>여</t>
    <phoneticPr fontId="2" type="noConversion"/>
  </si>
  <si>
    <t>- 친권자 또는 후견인의 동의서 구비 여부 :</t>
    <phoneticPr fontId="2" type="noConversion"/>
  </si>
  <si>
    <t>9. 사회보험 적용여부(해당란에 체크)</t>
    <phoneticPr fontId="2" type="noConversion"/>
  </si>
  <si>
    <t>10. 근로계약서 교부</t>
    <phoneticPr fontId="2" type="noConversion"/>
  </si>
  <si>
    <t xml:space="preserve">  요구와 관계없이 근로자에게 교부함(근로기준법 제17조 이행,  제67조 이행)</t>
    <phoneticPr fontId="2" type="noConversion"/>
  </si>
  <si>
    <t>- 13세 이상 15세 미만인 자에 대해서는 고용노동부장관으로부터 취직인허증을 교부</t>
    <phoneticPr fontId="2" type="noConversion"/>
  </si>
  <si>
    <t xml:space="preserve">  받아야 하며, 이 계약에 정함이 없는 사항은 근로기준법령에 의함</t>
    <phoneticPr fontId="2" type="noConversion"/>
  </si>
  <si>
    <t>친권자(후견인) 동의서</t>
    <phoneticPr fontId="2" type="noConversion"/>
  </si>
  <si>
    <t>○ 친권자(후견인) 인적사항</t>
    <phoneticPr fontId="2" type="noConversion"/>
  </si>
  <si>
    <t xml:space="preserve">성    명 </t>
    <phoneticPr fontId="2" type="noConversion"/>
  </si>
  <si>
    <t>생년월일</t>
    <phoneticPr fontId="2" type="noConversion"/>
  </si>
  <si>
    <t>주      소</t>
    <phoneticPr fontId="2" type="noConversion"/>
  </si>
  <si>
    <t>연  락  처</t>
    <phoneticPr fontId="2" type="noConversion"/>
  </si>
  <si>
    <t>연소근로자와의 관계</t>
    <phoneticPr fontId="2" type="noConversion"/>
  </si>
  <si>
    <t>○ 연소근로자 인적사항</t>
    <phoneticPr fontId="2" type="noConversion"/>
  </si>
  <si>
    <t>(만</t>
    <phoneticPr fontId="2" type="noConversion"/>
  </si>
  <si>
    <t>세)</t>
    <phoneticPr fontId="2" type="noConversion"/>
  </si>
  <si>
    <t>○ 사업장 개요</t>
    <phoneticPr fontId="2" type="noConversion"/>
  </si>
  <si>
    <t>회 사 명</t>
    <phoneticPr fontId="2" type="noConversion"/>
  </si>
  <si>
    <t>회사주소</t>
    <phoneticPr fontId="2" type="noConversion"/>
  </si>
  <si>
    <t>대표자</t>
    <phoneticPr fontId="2" type="noConversion"/>
  </si>
  <si>
    <t>회사전화</t>
    <phoneticPr fontId="2" type="noConversion"/>
  </si>
  <si>
    <t>본인은 위 연소근로자</t>
    <phoneticPr fontId="2" type="noConversion"/>
  </si>
  <si>
    <t>가  위 사업장에서  근로를 하는 것에 대하</t>
    <phoneticPr fontId="2" type="noConversion"/>
  </si>
  <si>
    <t>여 동의합니다.</t>
    <phoneticPr fontId="2" type="noConversion"/>
  </si>
  <si>
    <t>년</t>
    <phoneticPr fontId="2" type="noConversion"/>
  </si>
  <si>
    <t>월</t>
    <phoneticPr fontId="2" type="noConversion"/>
  </si>
  <si>
    <t xml:space="preserve">친권자(후견인) </t>
    <phoneticPr fontId="2" type="noConversion"/>
  </si>
  <si>
    <t>(인)</t>
    <phoneticPr fontId="2" type="noConversion"/>
  </si>
  <si>
    <t>첨  부 : 가족관계증명서 1부</t>
    <phoneticPr fontId="2" type="noConversion"/>
  </si>
  <si>
    <t>건설일용근로자 표준근로계약서</t>
    <phoneticPr fontId="2" type="noConversion"/>
  </si>
  <si>
    <t>근로계약기간</t>
    <phoneticPr fontId="2" type="noConversion"/>
  </si>
  <si>
    <t>※ 근로계약기간을 정하지 않는 경우에는 “근로개시일”만 기재</t>
    <phoneticPr fontId="2" type="noConversion"/>
  </si>
  <si>
    <t>업무의 내용(직종)</t>
    <phoneticPr fontId="2" type="noConversion"/>
  </si>
  <si>
    <t>(또는 매일단위)근무,</t>
    <phoneticPr fontId="2" type="noConversion"/>
  </si>
  <si>
    <t>요일(해당자에 한함)</t>
    <phoneticPr fontId="2" type="noConversion"/>
  </si>
  <si>
    <t>※ 주휴일은 1주간 소정근로일을 모두 근로한 경우에 주당 1일을 유급으로 부여</t>
    <phoneticPr fontId="2" type="noConversion"/>
  </si>
  <si>
    <t>일급</t>
    <phoneticPr fontId="2" type="noConversion"/>
  </si>
  <si>
    <t>원 (해당사항에 ○표)</t>
    <phoneticPr fontId="2" type="noConversion"/>
  </si>
  <si>
    <t>- 기타 제수당(시간외․야간․휴일근로수당 등)</t>
    <phoneticPr fontId="2" type="noConversion"/>
  </si>
  <si>
    <t>원(내역별 기재)</t>
    <phoneticPr fontId="2" type="noConversion"/>
  </si>
  <si>
    <t xml:space="preserve">· </t>
    <phoneticPr fontId="2" type="noConversion"/>
  </si>
  <si>
    <t>시간외 근로수당</t>
    <phoneticPr fontId="2" type="noConversion"/>
  </si>
  <si>
    <t>원(월</t>
    <phoneticPr fontId="2" type="noConversion"/>
  </si>
  <si>
    <t>시간분)</t>
    <phoneticPr fontId="2" type="noConversion"/>
  </si>
  <si>
    <t>야  간 근로수당</t>
    <phoneticPr fontId="2" type="noConversion"/>
  </si>
  <si>
    <t>휴  일 근로수당</t>
    <phoneticPr fontId="2" type="noConversion"/>
  </si>
  <si>
    <t>- “사업주”는 근로계약을 체결함과 동시에 본 계약서를 사본하여 “근로자”의 교부</t>
    <phoneticPr fontId="2" type="noConversion"/>
  </si>
  <si>
    <t xml:space="preserve">   요구와 관계없이 “근로자”에게 교부함(근로기준법 제17조 이행)</t>
    <phoneticPr fontId="2" type="noConversion"/>
  </si>
  <si>
    <t>단시간근로자 표준근로계약서</t>
    <phoneticPr fontId="2" type="noConversion"/>
  </si>
  <si>
    <t xml:space="preserve">부터 </t>
    <phoneticPr fontId="2" type="noConversion"/>
  </si>
  <si>
    <t>※ 근로계약기간을 정하는 경우에는  “</t>
    <phoneticPr fontId="2" type="noConversion"/>
  </si>
  <si>
    <t>까지" 등으로 기재</t>
    <phoneticPr fontId="2" type="noConversion"/>
  </si>
  <si>
    <t>근무장소</t>
    <phoneticPr fontId="2" type="noConversion"/>
  </si>
  <si>
    <t>근로일 및 근로일별 근로시간</t>
    <phoneticPr fontId="2" type="noConversion"/>
  </si>
  <si>
    <t>)요일</t>
    <phoneticPr fontId="2" type="noConversion"/>
  </si>
  <si>
    <t>화</t>
    <phoneticPr fontId="2" type="noConversion"/>
  </si>
  <si>
    <t>수</t>
    <phoneticPr fontId="2" type="noConversion"/>
  </si>
  <si>
    <t>목</t>
    <phoneticPr fontId="2" type="noConversion"/>
  </si>
  <si>
    <t>금</t>
    <phoneticPr fontId="2" type="noConversion"/>
  </si>
  <si>
    <t>근로시간</t>
    <phoneticPr fontId="2" type="noConversion"/>
  </si>
  <si>
    <t>시업</t>
    <phoneticPr fontId="2" type="noConversion"/>
  </si>
  <si>
    <t>시</t>
    <phoneticPr fontId="2" type="noConversion"/>
  </si>
  <si>
    <t>종업</t>
    <phoneticPr fontId="2" type="noConversion"/>
  </si>
  <si>
    <t>휴게시간</t>
    <phoneticPr fontId="2" type="noConversion"/>
  </si>
  <si>
    <t>ㅇ 주휴일 :</t>
    <phoneticPr fontId="2" type="noConversion"/>
  </si>
  <si>
    <t>임   금</t>
    <phoneticPr fontId="2" type="noConversion"/>
  </si>
  <si>
    <t>- 시간(일, 월)급 :</t>
    <phoneticPr fontId="2" type="noConversion"/>
  </si>
  <si>
    <t>원(해당사항에 ○표)</t>
    <phoneticPr fontId="2" type="noConversion"/>
  </si>
  <si>
    <t>- 상여금 : 있음 (</t>
    <phoneticPr fontId="2" type="noConversion"/>
  </si>
  <si>
    <t>원, 없음 (</t>
    <phoneticPr fontId="2" type="noConversion"/>
  </si>
  <si>
    <t>○</t>
    <phoneticPr fontId="2" type="noConversion"/>
  </si>
  <si>
    <t>- 기타급여(제수당 등) : 있음 :</t>
    <phoneticPr fontId="2" type="noConversion"/>
  </si>
  <si>
    <t>원(내역별 기재, 없음 (</t>
    <phoneticPr fontId="2" type="noConversion"/>
  </si>
  <si>
    <t>- 초과근로에 대한 가산임금률:</t>
    <phoneticPr fontId="2" type="noConversion"/>
  </si>
  <si>
    <t>%</t>
    <phoneticPr fontId="2" type="noConversion"/>
  </si>
  <si>
    <t>※ 단시간근로자와 사용자 사이에 근로하기로 정한 시간을 초과하여 근로하면</t>
    <phoneticPr fontId="2" type="noConversion"/>
  </si>
  <si>
    <t>법정 근로시간 내라도 통상임금의 100분의 50%이상의 가산임금 지급(’14.9.19. 시행)</t>
    <phoneticPr fontId="2" type="noConversion"/>
  </si>
  <si>
    <t>- 임금지급일 : 매월(매주 또는 매일)</t>
    <phoneticPr fontId="2" type="noConversion"/>
  </si>
  <si>
    <t>익월 10</t>
    <phoneticPr fontId="2" type="noConversion"/>
  </si>
  <si>
    <t>- 지급방법 : 근로자에게 직접지급(</t>
    <phoneticPr fontId="2" type="noConversion"/>
  </si>
  <si>
    <t>),  근로자 명의 예금통장에 입금(</t>
    <phoneticPr fontId="2" type="noConversion"/>
  </si>
  <si>
    <t>6. 연차유급휴가: 통상근로자의 근로시간에 비례하여 연차유급휴가 부여</t>
    <phoneticPr fontId="2" type="noConversion"/>
  </si>
  <si>
    <t>7. 사회보험 적용여부(해당란에 체크)</t>
    <phoneticPr fontId="2" type="noConversion"/>
  </si>
  <si>
    <t>□</t>
    <phoneticPr fontId="2" type="noConversion"/>
  </si>
  <si>
    <t>산재보험</t>
    <phoneticPr fontId="2" type="noConversion"/>
  </si>
  <si>
    <t>8. 근로계약서 교부</t>
    <phoneticPr fontId="2" type="noConversion"/>
  </si>
  <si>
    <t xml:space="preserve">  - “사업주”는 근로계약을 체결함과 동시에 본 계약서를 사본하여 “근로자”의 교부</t>
    <phoneticPr fontId="2" type="noConversion"/>
  </si>
  <si>
    <t xml:space="preserve">     요구와 관계없이 “근로자”에게 교부함(근로기준법 제17조 이행)</t>
    <phoneticPr fontId="2" type="noConversion"/>
  </si>
  <si>
    <t>9. 근로계약, 취업규칙 등의 성실한 이행의무</t>
    <phoneticPr fontId="2" type="noConversion"/>
  </si>
  <si>
    <t xml:space="preserve">   - 사업주와 근로자는 각자가 근로계약, 취업규칙, 단체협약을 지키고 성실하게 이행하여야 함</t>
    <phoneticPr fontId="2" type="noConversion"/>
  </si>
  <si>
    <t>10. 기  타</t>
    <phoneticPr fontId="2" type="noConversion"/>
  </si>
  <si>
    <t xml:space="preserve">   - 이 계약에 정함이 없는 사항은 근로기준법령에 의함</t>
    <phoneticPr fontId="2" type="noConversion"/>
  </si>
  <si>
    <t>(전화 :</t>
    <phoneticPr fontId="2" type="noConversion"/>
  </si>
  <si>
    <t>주소</t>
    <phoneticPr fontId="2" type="noConversion"/>
  </si>
  <si>
    <t>연락처</t>
    <phoneticPr fontId="2" type="noConversion"/>
  </si>
  <si>
    <t>생년월일 / 사원번호</t>
    <phoneticPr fontId="2" type="noConversion"/>
  </si>
  <si>
    <t>※ 3년간 보관</t>
    <phoneticPr fontId="2" type="noConversion"/>
  </si>
  <si>
    <t>주휴수당 지급기준과 계산법</t>
    <phoneticPr fontId="2" type="noConversion"/>
  </si>
  <si>
    <t>주휴수당</t>
    <phoneticPr fontId="2" type="noConversion"/>
  </si>
  <si>
    <t>월</t>
    <phoneticPr fontId="2" type="noConversion"/>
  </si>
  <si>
    <t>화</t>
    <phoneticPr fontId="2" type="noConversion"/>
  </si>
  <si>
    <t>수</t>
    <phoneticPr fontId="2" type="noConversion"/>
  </si>
  <si>
    <t>목</t>
    <phoneticPr fontId="2" type="noConversion"/>
  </si>
  <si>
    <t>금</t>
    <phoneticPr fontId="2" type="noConversion"/>
  </si>
  <si>
    <t>토</t>
    <phoneticPr fontId="2" type="noConversion"/>
  </si>
  <si>
    <t>일</t>
    <phoneticPr fontId="2" type="noConversion"/>
  </si>
  <si>
    <t>유급휴일</t>
    <phoneticPr fontId="2" type="noConversion"/>
  </si>
  <si>
    <t>무급휴일</t>
    <phoneticPr fontId="2" type="noConversion"/>
  </si>
  <si>
    <t>계</t>
    <phoneticPr fontId="2" type="noConversion"/>
  </si>
  <si>
    <t>÷</t>
    <phoneticPr fontId="2" type="noConversion"/>
  </si>
  <si>
    <t>=</t>
    <phoneticPr fontId="2" type="noConversion"/>
  </si>
  <si>
    <t>×</t>
    <phoneticPr fontId="2" type="noConversion"/>
  </si>
  <si>
    <t>휴일유급</t>
    <phoneticPr fontId="2" type="noConversion"/>
  </si>
  <si>
    <t>Fix</t>
    <phoneticPr fontId="2" type="noConversion"/>
  </si>
  <si>
    <t>15시간이상</t>
    <phoneticPr fontId="2" type="noConversion"/>
  </si>
  <si>
    <t>① 시급제</t>
    <phoneticPr fontId="2" type="noConversion"/>
  </si>
  <si>
    <t>② 월급제</t>
    <phoneticPr fontId="2" type="noConversion"/>
  </si>
  <si>
    <t xml:space="preserve">    그래서 본인의 주휴수당을 알려면 월급을 시급으로 환산해야 한다.</t>
    <phoneticPr fontId="2" type="noConversion"/>
  </si>
  <si>
    <t>일(1)주일</t>
    <phoneticPr fontId="2" type="noConversion"/>
  </si>
  <si>
    <t>반올림</t>
    <phoneticPr fontId="2" type="noConversion"/>
  </si>
  <si>
    <t>ⓐ 월급</t>
    <phoneticPr fontId="2" type="noConversion"/>
  </si>
  <si>
    <t>ⓑ</t>
    <phoneticPr fontId="2" type="noConversion"/>
  </si>
  <si>
    <t>ⓐ ÷ ⓑ</t>
    <phoneticPr fontId="2" type="noConversion"/>
  </si>
  <si>
    <t>(1주)주휴(1일)수당</t>
    <phoneticPr fontId="2" type="noConversion"/>
  </si>
  <si>
    <t xml:space="preserve">    월급제 근로자는 본인의 기본급에 주휴수당이 포함되어 있다. (월급제의 경우에는 본인의 월급에 이미 주휴수당이 포함되어 있기 때문에 별도의 주휴수당을 계산하지 않습니다.)</t>
    <phoneticPr fontId="2" type="noConversion"/>
  </si>
  <si>
    <t>(통상)시급</t>
    <phoneticPr fontId="2" type="noConversion"/>
  </si>
  <si>
    <t>최저임금확인</t>
    <phoneticPr fontId="2" type="noConversion"/>
  </si>
  <si>
    <t>①연장근로시간수</t>
    <phoneticPr fontId="2" type="noConversion"/>
  </si>
  <si>
    <t>②휴일근로시간수</t>
    <phoneticPr fontId="2" type="noConversion"/>
  </si>
  <si>
    <t>총 근로시간수(①+②)</t>
    <phoneticPr fontId="2" type="noConversion"/>
  </si>
  <si>
    <t>연차휴가일수 계산 쉽다 쉬워. 연차휴가 계산기 받아가세요~</t>
    <phoneticPr fontId="2" type="noConversion"/>
  </si>
  <si>
    <r>
      <t>[</t>
    </r>
    <r>
      <rPr>
        <sz val="10"/>
        <rFont val="돋움"/>
        <family val="3"/>
        <charset val="129"/>
      </rPr>
      <t>별지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제</t>
    </r>
    <r>
      <rPr>
        <sz val="11"/>
        <color theme="1"/>
        <rFont val="맑은 고딕"/>
        <family val="2"/>
        <charset val="129"/>
        <scheme val="minor"/>
      </rPr>
      <t>17</t>
    </r>
    <r>
      <rPr>
        <sz val="10"/>
        <rFont val="돋움"/>
        <family val="3"/>
        <charset val="129"/>
      </rPr>
      <t>호서식</t>
    </r>
    <r>
      <rPr>
        <sz val="11"/>
        <color theme="1"/>
        <rFont val="맑은 고딕"/>
        <family val="2"/>
        <charset val="129"/>
        <scheme val="minor"/>
      </rPr>
      <t>]</t>
    </r>
    <phoneticPr fontId="69" type="noConversion"/>
  </si>
  <si>
    <t>직장명 :</t>
    <phoneticPr fontId="69" type="noConversion"/>
  </si>
  <si>
    <t>https://cafe.daum.net/transtax/6ax6/194</t>
    <phoneticPr fontId="69" type="noConversion"/>
  </si>
  <si>
    <r>
      <rPr>
        <b/>
        <sz val="12"/>
        <color indexed="56"/>
        <rFont val="돋움"/>
        <family val="3"/>
        <charset val="129"/>
      </rPr>
      <t>임</t>
    </r>
    <r>
      <rPr>
        <b/>
        <sz val="12"/>
        <color indexed="56"/>
        <rFont val="Arial"/>
        <family val="2"/>
      </rPr>
      <t xml:space="preserve"> </t>
    </r>
    <r>
      <rPr>
        <b/>
        <sz val="12"/>
        <color indexed="56"/>
        <rFont val="돋움"/>
        <family val="3"/>
        <charset val="129"/>
      </rPr>
      <t>금</t>
    </r>
    <r>
      <rPr>
        <b/>
        <sz val="12"/>
        <color indexed="56"/>
        <rFont val="Arial"/>
        <family val="2"/>
      </rPr>
      <t xml:space="preserve"> </t>
    </r>
    <r>
      <rPr>
        <b/>
        <sz val="12"/>
        <color indexed="56"/>
        <rFont val="돋움"/>
        <family val="3"/>
        <charset val="129"/>
      </rPr>
      <t>대</t>
    </r>
    <r>
      <rPr>
        <b/>
        <sz val="12"/>
        <color indexed="56"/>
        <rFont val="Arial"/>
        <family val="2"/>
      </rPr>
      <t xml:space="preserve"> </t>
    </r>
    <r>
      <rPr>
        <b/>
        <sz val="12"/>
        <color indexed="56"/>
        <rFont val="돋움"/>
        <family val="3"/>
        <charset val="129"/>
      </rPr>
      <t>장</t>
    </r>
    <phoneticPr fontId="69" type="noConversion"/>
  </si>
  <si>
    <r>
      <rPr>
        <sz val="8"/>
        <rFont val="돋움"/>
        <family val="3"/>
        <charset val="129"/>
      </rPr>
      <t>관리번호</t>
    </r>
    <r>
      <rPr>
        <sz val="8"/>
        <rFont val="Arial"/>
        <family val="2"/>
      </rPr>
      <t xml:space="preserve"> :</t>
    </r>
    <phoneticPr fontId="69" type="noConversion"/>
  </si>
  <si>
    <r>
      <rPr>
        <sz val="10"/>
        <rFont val="돋움"/>
        <family val="3"/>
        <charset val="129"/>
      </rPr>
      <t>★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최저임금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및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법정근로시간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준수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여부</t>
    </r>
    <r>
      <rPr>
        <sz val="11"/>
        <color theme="1"/>
        <rFont val="맑은 고딕"/>
        <family val="2"/>
        <charset val="129"/>
        <scheme val="minor"/>
      </rPr>
      <t xml:space="preserve"> check!! </t>
    </r>
    <r>
      <rPr>
        <sz val="10"/>
        <rFont val="돋움"/>
        <family val="3"/>
        <charset val="129"/>
      </rPr>
      <t>★</t>
    </r>
    <phoneticPr fontId="69" type="noConversion"/>
  </si>
  <si>
    <r>
      <rPr>
        <sz val="10"/>
        <rFont val="돋움"/>
        <family val="3"/>
        <charset val="129"/>
      </rPr>
      <t>성</t>
    </r>
    <r>
      <rPr>
        <sz val="11"/>
        <color theme="1"/>
        <rFont val="맑은 고딕"/>
        <family val="2"/>
        <charset val="129"/>
        <scheme val="minor"/>
      </rPr>
      <t xml:space="preserve">   </t>
    </r>
    <r>
      <rPr>
        <sz val="10"/>
        <rFont val="돋움"/>
        <family val="3"/>
        <charset val="129"/>
      </rPr>
      <t>명</t>
    </r>
    <phoneticPr fontId="69" type="noConversion"/>
  </si>
  <si>
    <t>생년월일</t>
    <phoneticPr fontId="69" type="noConversion"/>
  </si>
  <si>
    <r>
      <rPr>
        <sz val="10"/>
        <rFont val="돋움"/>
        <family val="3"/>
        <charset val="129"/>
      </rPr>
      <t>기능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및</t>
    </r>
    <r>
      <rPr>
        <sz val="11"/>
        <color theme="1"/>
        <rFont val="맑은 고딕"/>
        <family val="2"/>
        <charset val="129"/>
        <scheme val="minor"/>
      </rPr>
      <t xml:space="preserve"> 
</t>
    </r>
    <r>
      <rPr>
        <sz val="10"/>
        <rFont val="돋움"/>
        <family val="3"/>
        <charset val="129"/>
      </rPr>
      <t>자격</t>
    </r>
    <phoneticPr fontId="69" type="noConversion"/>
  </si>
  <si>
    <t>고용연월일</t>
    <phoneticPr fontId="69" type="noConversion"/>
  </si>
  <si>
    <t>종사업무</t>
    <phoneticPr fontId="69" type="noConversion"/>
  </si>
  <si>
    <r>
      <t>임금계산기초사항</t>
    </r>
    <r>
      <rPr>
        <sz val="10"/>
        <color indexed="23"/>
        <rFont val="돋움"/>
        <family val="3"/>
        <charset val="129"/>
      </rPr>
      <t xml:space="preserve"> (최저임금 준수)</t>
    </r>
    <phoneticPr fontId="69" type="noConversion"/>
  </si>
  <si>
    <r>
      <rPr>
        <sz val="10"/>
        <rFont val="돋움"/>
        <family val="3"/>
        <charset val="129"/>
      </rPr>
      <t>가족수당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계산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기초사항</t>
    </r>
    <phoneticPr fontId="69" type="noConversion"/>
  </si>
  <si>
    <r>
      <rPr>
        <sz val="10"/>
        <rFont val="돋움"/>
        <family val="3"/>
        <charset val="129"/>
      </rPr>
      <t>주</t>
    </r>
    <r>
      <rPr>
        <sz val="11"/>
        <color theme="1"/>
        <rFont val="맑은 고딕"/>
        <family val="2"/>
        <charset val="129"/>
        <scheme val="minor"/>
      </rPr>
      <t>40</t>
    </r>
    <r>
      <rPr>
        <sz val="10"/>
        <rFont val="돋움"/>
        <family val="3"/>
        <charset val="129"/>
      </rPr>
      <t>시간</t>
    </r>
    <phoneticPr fontId="69" type="noConversion"/>
  </si>
  <si>
    <t>주선우</t>
    <phoneticPr fontId="69" type="noConversion"/>
  </si>
  <si>
    <t>사무직</t>
    <phoneticPr fontId="69" type="noConversion"/>
  </si>
  <si>
    <t>기본시간급</t>
    <phoneticPr fontId="69" type="noConversion"/>
  </si>
  <si>
    <t>기본일급</t>
    <phoneticPr fontId="69" type="noConversion"/>
  </si>
  <si>
    <t>기본월급</t>
    <phoneticPr fontId="69" type="noConversion"/>
  </si>
  <si>
    <t>부양가족
수</t>
    <phoneticPr fontId="69" type="noConversion"/>
  </si>
  <si>
    <r>
      <t>1</t>
    </r>
    <r>
      <rPr>
        <sz val="10"/>
        <rFont val="돋움"/>
        <family val="3"/>
        <charset val="129"/>
      </rPr>
      <t>인당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지급액</t>
    </r>
    <phoneticPr fontId="69" type="noConversion"/>
  </si>
  <si>
    <t>계산시간</t>
    <phoneticPr fontId="69" type="noConversion"/>
  </si>
  <si>
    <t>일 기본시간</t>
    <phoneticPr fontId="69" type="noConversion"/>
  </si>
  <si>
    <t>월 기본시간</t>
    <phoneticPr fontId="69" type="noConversion"/>
  </si>
  <si>
    <t xml:space="preserve">     구분
월별</t>
    <phoneticPr fontId="69" type="noConversion"/>
  </si>
  <si>
    <t>근로
일수</t>
    <phoneticPr fontId="69" type="noConversion"/>
  </si>
  <si>
    <t>근로
시간
수</t>
    <phoneticPr fontId="69" type="noConversion"/>
  </si>
  <si>
    <t>연장
근로
시간
수</t>
    <phoneticPr fontId="69" type="noConversion"/>
  </si>
  <si>
    <t>휴일
근로
시간
수</t>
    <phoneticPr fontId="69" type="noConversion"/>
  </si>
  <si>
    <t>야간
근로
시간
수</t>
    <phoneticPr fontId="69" type="noConversion"/>
  </si>
  <si>
    <t>기본급</t>
    <phoneticPr fontId="69" type="noConversion"/>
  </si>
  <si>
    <r>
      <rPr>
        <sz val="10"/>
        <rFont val="돋움"/>
        <family val="3"/>
        <charset val="129"/>
      </rPr>
      <t>여러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가지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수당</t>
    </r>
    <phoneticPr fontId="69" type="noConversion"/>
  </si>
  <si>
    <t>현금</t>
    <phoneticPr fontId="69" type="noConversion"/>
  </si>
  <si>
    <r>
      <rPr>
        <sz val="10"/>
        <rFont val="돋움"/>
        <family val="3"/>
        <charset val="129"/>
      </rPr>
      <t>그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밖의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임금</t>
    </r>
    <phoneticPr fontId="69" type="noConversion"/>
  </si>
  <si>
    <t>총액</t>
    <phoneticPr fontId="69" type="noConversion"/>
  </si>
  <si>
    <t>공제액</t>
    <phoneticPr fontId="69" type="noConversion"/>
  </si>
  <si>
    <t>영수액</t>
    <phoneticPr fontId="69" type="noConversion"/>
  </si>
  <si>
    <t>영수인</t>
    <phoneticPr fontId="69" type="noConversion"/>
  </si>
  <si>
    <t>가족
수당</t>
    <phoneticPr fontId="69" type="noConversion"/>
  </si>
  <si>
    <t>연장근로
수당</t>
    <phoneticPr fontId="69" type="noConversion"/>
  </si>
  <si>
    <t>휴일근로
수당</t>
    <phoneticPr fontId="69" type="noConversion"/>
  </si>
  <si>
    <t>야간근로
수당</t>
    <phoneticPr fontId="69" type="noConversion"/>
  </si>
  <si>
    <t>주휴수당</t>
    <phoneticPr fontId="69" type="noConversion"/>
  </si>
  <si>
    <t>연차수당</t>
    <phoneticPr fontId="69" type="noConversion"/>
  </si>
  <si>
    <r>
      <rPr>
        <sz val="10"/>
        <rFont val="돋움"/>
        <family val="3"/>
        <charset val="129"/>
      </rPr>
      <t>현</t>
    </r>
    <r>
      <rPr>
        <sz val="11"/>
        <color theme="1"/>
        <rFont val="맑은 고딕"/>
        <family val="2"/>
        <charset val="129"/>
        <scheme val="minor"/>
      </rPr>
      <t xml:space="preserve">        </t>
    </r>
    <r>
      <rPr>
        <sz val="10"/>
        <rFont val="돋움"/>
        <family val="3"/>
        <charset val="129"/>
      </rPr>
      <t>물</t>
    </r>
    <phoneticPr fontId="69" type="noConversion"/>
  </si>
  <si>
    <t>법정근로시간</t>
    <phoneticPr fontId="69" type="noConversion"/>
  </si>
  <si>
    <t>PM10
AM06</t>
    <phoneticPr fontId="69" type="noConversion"/>
  </si>
  <si>
    <t>증빙</t>
    <phoneticPr fontId="69" type="noConversion"/>
  </si>
  <si>
    <t>수량
평가액</t>
    <phoneticPr fontId="69" type="noConversion"/>
  </si>
  <si>
    <r>
      <rPr>
        <sz val="10"/>
        <rFont val="돋움"/>
        <family val="3"/>
        <charset val="129"/>
      </rPr>
      <t>○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근로기준법상의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법정근로시간은</t>
    </r>
    <r>
      <rPr>
        <sz val="11"/>
        <color theme="1"/>
        <rFont val="맑은 고딕"/>
        <family val="2"/>
        <charset val="129"/>
        <scheme val="minor"/>
      </rPr>
      <t xml:space="preserve"> 1</t>
    </r>
    <r>
      <rPr>
        <sz val="10"/>
        <rFont val="돋움"/>
        <family val="3"/>
        <charset val="129"/>
      </rPr>
      <t>주</t>
    </r>
    <r>
      <rPr>
        <sz val="11"/>
        <color theme="1"/>
        <rFont val="맑은 고딕"/>
        <family val="2"/>
        <charset val="129"/>
        <scheme val="minor"/>
      </rPr>
      <t xml:space="preserve"> 40</t>
    </r>
    <r>
      <rPr>
        <sz val="10"/>
        <rFont val="돋움"/>
        <family val="3"/>
        <charset val="129"/>
      </rPr>
      <t>시간</t>
    </r>
    <r>
      <rPr>
        <sz val="11"/>
        <color theme="1"/>
        <rFont val="맑은 고딕"/>
        <family val="2"/>
        <charset val="129"/>
        <scheme val="minor"/>
      </rPr>
      <t>, 1</t>
    </r>
    <r>
      <rPr>
        <sz val="10"/>
        <rFont val="돋움"/>
        <family val="3"/>
        <charset val="129"/>
      </rPr>
      <t>일</t>
    </r>
    <r>
      <rPr>
        <sz val="11"/>
        <color theme="1"/>
        <rFont val="맑은 고딕"/>
        <family val="2"/>
        <charset val="129"/>
        <scheme val="minor"/>
      </rPr>
      <t xml:space="preserve"> 8</t>
    </r>
    <r>
      <rPr>
        <sz val="10"/>
        <rFont val="돋움"/>
        <family val="3"/>
        <charset val="129"/>
      </rPr>
      <t>시간이나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당사자간의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합의가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있는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경우에는</t>
    </r>
    <phoneticPr fontId="69" type="noConversion"/>
  </si>
  <si>
    <r>
      <t xml:space="preserve">    1</t>
    </r>
    <r>
      <rPr>
        <sz val="10"/>
        <rFont val="돋움"/>
        <family val="3"/>
        <charset val="129"/>
      </rPr>
      <t>주간에</t>
    </r>
    <r>
      <rPr>
        <sz val="11"/>
        <color theme="1"/>
        <rFont val="맑은 고딕"/>
        <family val="2"/>
        <charset val="129"/>
        <scheme val="minor"/>
      </rPr>
      <t xml:space="preserve"> 12</t>
    </r>
    <r>
      <rPr>
        <sz val="10"/>
        <rFont val="돋움"/>
        <family val="3"/>
        <charset val="129"/>
      </rPr>
      <t>시간을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한도로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근로시간을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연장할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있음</t>
    </r>
    <r>
      <rPr>
        <sz val="11"/>
        <color theme="1"/>
        <rFont val="맑은 고딕"/>
        <family val="2"/>
        <charset val="129"/>
        <scheme val="minor"/>
      </rPr>
      <t>.</t>
    </r>
    <phoneticPr fontId="69" type="noConversion"/>
  </si>
  <si>
    <r>
      <rPr>
        <sz val="10"/>
        <rFont val="돋움"/>
        <family val="3"/>
        <charset val="129"/>
      </rPr>
      <t>○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휴게시간은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근로시간이</t>
    </r>
    <r>
      <rPr>
        <sz val="11"/>
        <color theme="1"/>
        <rFont val="맑은 고딕"/>
        <family val="2"/>
        <charset val="129"/>
        <scheme val="minor"/>
      </rPr>
      <t xml:space="preserve"> 4</t>
    </r>
    <r>
      <rPr>
        <sz val="10"/>
        <rFont val="돋움"/>
        <family val="3"/>
        <charset val="129"/>
      </rPr>
      <t>시간인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경우에는</t>
    </r>
    <r>
      <rPr>
        <sz val="11"/>
        <color theme="1"/>
        <rFont val="맑은 고딕"/>
        <family val="2"/>
        <charset val="129"/>
        <scheme val="minor"/>
      </rPr>
      <t xml:space="preserve"> 30</t>
    </r>
    <r>
      <rPr>
        <sz val="10"/>
        <rFont val="돋움"/>
        <family val="3"/>
        <charset val="129"/>
      </rPr>
      <t>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이상</t>
    </r>
    <r>
      <rPr>
        <sz val="11"/>
        <color theme="1"/>
        <rFont val="맑은 고딕"/>
        <family val="2"/>
        <charset val="129"/>
        <scheme val="minor"/>
      </rPr>
      <t>, 8</t>
    </r>
    <r>
      <rPr>
        <sz val="10"/>
        <rFont val="돋움"/>
        <family val="3"/>
        <charset val="129"/>
      </rPr>
      <t>시간인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경우에는</t>
    </r>
    <r>
      <rPr>
        <sz val="11"/>
        <color theme="1"/>
        <rFont val="맑은 고딕"/>
        <family val="2"/>
        <charset val="129"/>
        <scheme val="minor"/>
      </rPr>
      <t xml:space="preserve"> 1</t>
    </r>
    <r>
      <rPr>
        <sz val="10"/>
        <rFont val="돋움"/>
        <family val="3"/>
        <charset val="129"/>
      </rPr>
      <t>시간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이상의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휴게시간을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근로시간중에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주도록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규정되어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잇음</t>
    </r>
    <r>
      <rPr>
        <sz val="11"/>
        <color theme="1"/>
        <rFont val="맑은 고딕"/>
        <family val="2"/>
        <charset val="129"/>
        <scheme val="minor"/>
      </rPr>
      <t>.</t>
    </r>
    <phoneticPr fontId="69" type="noConversion"/>
  </si>
  <si>
    <r>
      <rPr>
        <sz val="10"/>
        <rFont val="돋움"/>
        <family val="3"/>
        <charset val="129"/>
      </rPr>
      <t>고용노동부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최저임금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모의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계산기</t>
    </r>
    <phoneticPr fontId="69" type="noConversion"/>
  </si>
  <si>
    <t>http://www.moel.go.kr/miniWageMain.do</t>
    <phoneticPr fontId="69" type="noConversion"/>
  </si>
  <si>
    <r>
      <rPr>
        <sz val="10"/>
        <rFont val="돋움"/>
        <family val="3"/>
        <charset val="129"/>
      </rPr>
      <t>고용노동부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근로계약서</t>
    </r>
    <r>
      <rPr>
        <sz val="11"/>
        <color theme="1"/>
        <rFont val="맑은 고딕"/>
        <family val="2"/>
        <charset val="129"/>
        <scheme val="minor"/>
      </rPr>
      <t xml:space="preserve"> &amp; </t>
    </r>
    <r>
      <rPr>
        <sz val="10"/>
        <rFont val="돋움"/>
        <family val="3"/>
        <charset val="129"/>
      </rPr>
      <t>주휴수당</t>
    </r>
    <phoneticPr fontId="69" type="noConversion"/>
  </si>
  <si>
    <t>http://www.moel.go.kr/mainpop2.do;jsessionid=eghsqLS6ngVeZLEbO118eJU6royS9E6g6ebB7Mp6XVxsbngDprIJQBlv71eTd71o.moel_was_outside_servlet_www1</t>
    <phoneticPr fontId="69" type="noConversion"/>
  </si>
  <si>
    <r>
      <rPr>
        <sz val="10"/>
        <rFont val="돋움"/>
        <family val="3"/>
        <charset val="129"/>
      </rPr>
      <t>고용노동부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퇴직연금</t>
    </r>
    <r>
      <rPr>
        <sz val="11"/>
        <color theme="1"/>
        <rFont val="맑은 고딕"/>
        <family val="2"/>
        <charset val="129"/>
        <scheme val="minor"/>
      </rPr>
      <t>&amp;</t>
    </r>
    <r>
      <rPr>
        <sz val="10"/>
        <rFont val="돋움"/>
        <family val="3"/>
        <charset val="129"/>
      </rPr>
      <t>퇴직금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계산기</t>
    </r>
    <phoneticPr fontId="69" type="noConversion"/>
  </si>
  <si>
    <t>http://www.moel.go.kr/retirementpay.do;jsessionid=eghsqLS6ngVeZLEbO118eJU6royS9E6g6ebB7Mp6XVxsbngDprIJQBlv71eTd71o.moel_was_outside_servlet_www1</t>
    <phoneticPr fontId="69" type="noConversion"/>
  </si>
  <si>
    <r>
      <rPr>
        <sz val="10"/>
        <rFont val="돋움"/>
        <family val="3"/>
        <charset val="129"/>
      </rPr>
      <t>고용보험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실업급여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간편</t>
    </r>
    <r>
      <rPr>
        <sz val="11"/>
        <color theme="1"/>
        <rFont val="맑은 고딕"/>
        <family val="2"/>
        <charset val="129"/>
        <scheme val="minor"/>
      </rPr>
      <t xml:space="preserve"> </t>
    </r>
    <r>
      <rPr>
        <sz val="10"/>
        <rFont val="돋움"/>
        <family val="3"/>
        <charset val="129"/>
      </rPr>
      <t>모의계산</t>
    </r>
    <phoneticPr fontId="69" type="noConversion"/>
  </si>
  <si>
    <t>https://www.ei.go.kr/ei/eih/cm/hm/main.do</t>
    <phoneticPr fontId="69" type="noConversion"/>
  </si>
  <si>
    <t>[별지 제16호서식]</t>
    <phoneticPr fontId="2" type="noConversion"/>
  </si>
  <si>
    <t>근로자 명부</t>
    <phoneticPr fontId="2" type="noConversion"/>
  </si>
  <si>
    <t>⑭고용일(계약기간)</t>
    <phoneticPr fontId="2" type="noConversion"/>
  </si>
  <si>
    <t>이
력</t>
    <phoneticPr fontId="2" type="noConversion"/>
  </si>
  <si>
    <t>퇴
직</t>
    <phoneticPr fontId="2" type="noConversion"/>
  </si>
  <si>
    <t>&lt;16&gt;
근로계약조건</t>
    <phoneticPr fontId="2" type="noConversion"/>
  </si>
  <si>
    <r>
      <t>&lt;17&gt;</t>
    </r>
    <r>
      <rPr>
        <sz val="12"/>
        <color rgb="FF000000"/>
        <rFont val="맑은 고딕"/>
        <family val="3"/>
        <charset val="129"/>
        <scheme val="minor"/>
      </rPr>
      <t>특기사항</t>
    </r>
    <r>
      <rPr>
        <sz val="12"/>
        <color rgb="FF000000"/>
        <rFont val="한컴바탕"/>
        <family val="1"/>
        <charset val="129"/>
      </rPr>
      <t>(</t>
    </r>
    <r>
      <rPr>
        <sz val="12"/>
        <color rgb="FF000000"/>
        <rFont val="맑은 고딕"/>
        <family val="3"/>
        <charset val="129"/>
        <scheme val="minor"/>
      </rPr>
      <t>교육</t>
    </r>
    <r>
      <rPr>
        <sz val="12"/>
        <color rgb="FF000000"/>
        <rFont val="한컴바탕"/>
        <family val="1"/>
        <charset val="129"/>
      </rPr>
      <t xml:space="preserve">, </t>
    </r>
    <r>
      <rPr>
        <sz val="12"/>
        <color rgb="FF000000"/>
        <rFont val="맑은 고딕"/>
        <family val="3"/>
        <charset val="129"/>
        <scheme val="minor"/>
      </rPr>
      <t>건강</t>
    </r>
    <r>
      <rPr>
        <sz val="12"/>
        <color rgb="FF000000"/>
        <rFont val="한컴바탕"/>
        <family val="1"/>
        <charset val="129"/>
      </rPr>
      <t xml:space="preserve">, </t>
    </r>
    <r>
      <rPr>
        <sz val="12"/>
        <color rgb="FF000000"/>
        <rFont val="맑은 고딕"/>
        <family val="3"/>
        <charset val="129"/>
        <scheme val="minor"/>
      </rPr>
      <t>휴직등</t>
    </r>
    <r>
      <rPr>
        <sz val="12"/>
        <color rgb="FF000000"/>
        <rFont val="한컴바탕"/>
        <family val="1"/>
        <charset val="129"/>
      </rPr>
      <t>)</t>
    </r>
  </si>
  <si>
    <t>210mm×297mm[일반용지 60g/㎡(재활용품)]</t>
    <phoneticPr fontId="2" type="noConversion"/>
  </si>
  <si>
    <t>충남 천안시 서북구 오성로 103, 6층</t>
    <phoneticPr fontId="2" type="noConversion"/>
  </si>
  <si>
    <t>① 성명</t>
    <phoneticPr fontId="2" type="noConversion"/>
  </si>
  <si>
    <t>③ 주소</t>
    <phoneticPr fontId="2" type="noConversion"/>
  </si>
  <si>
    <t>② 생년월일</t>
    <phoneticPr fontId="2" type="noConversion"/>
  </si>
  <si>
    <t>⑤ 종사업무</t>
    <phoneticPr fontId="2" type="noConversion"/>
  </si>
  <si>
    <t>④ 부양가족</t>
    <phoneticPr fontId="2" type="noConversion"/>
  </si>
  <si>
    <t>⑥ 기능 및 자격</t>
    <phoneticPr fontId="2" type="noConversion"/>
  </si>
  <si>
    <t>⑦ 최종 학력</t>
    <phoneticPr fontId="2" type="noConversion"/>
  </si>
  <si>
    <t>⑧ 경력</t>
    <phoneticPr fontId="2" type="noConversion"/>
  </si>
  <si>
    <t>⑨ 병역</t>
    <phoneticPr fontId="2" type="noConversion"/>
  </si>
  <si>
    <t>⑩ 해고일</t>
    <phoneticPr fontId="2" type="noConversion"/>
  </si>
  <si>
    <t>⑪ 퇴직일</t>
    <phoneticPr fontId="2" type="noConversion"/>
  </si>
  <si>
    <t>⑫ 사유</t>
    <phoneticPr fontId="2" type="noConversion"/>
  </si>
  <si>
    <t>⑬ 금품청산 등</t>
    <phoneticPr fontId="2" type="noConversion"/>
  </si>
  <si>
    <t>⑮ 근로계약갱신일</t>
    <phoneticPr fontId="2" type="noConversion"/>
  </si>
  <si>
    <t>대졸</t>
    <phoneticPr fontId="2" type="noConversion"/>
  </si>
  <si>
    <t>4년</t>
    <phoneticPr fontId="2" type="noConversion"/>
  </si>
  <si>
    <t>정보처리기사</t>
    <phoneticPr fontId="2" type="noConversion"/>
  </si>
  <si>
    <t>경영관리</t>
    <phoneticPr fontId="2" type="noConversion"/>
  </si>
  <si>
    <t>근로시간 = 근무시간 - 휴게시간</t>
    <phoneticPr fontId="2" type="noConversion"/>
  </si>
  <si>
    <t>출근시간</t>
    <phoneticPr fontId="2" type="noConversion"/>
  </si>
  <si>
    <t>휴게시간</t>
    <phoneticPr fontId="2" type="noConversion"/>
  </si>
  <si>
    <t>퇴근시간</t>
    <phoneticPr fontId="2" type="noConversion"/>
  </si>
  <si>
    <t>근무시간</t>
    <phoneticPr fontId="2" type="noConversion"/>
  </si>
  <si>
    <t>근로시간</t>
    <phoneticPr fontId="2" type="noConversion"/>
  </si>
  <si>
    <t>시간</t>
    <phoneticPr fontId="2" type="noConversion"/>
  </si>
  <si>
    <t>분</t>
    <phoneticPr fontId="2" type="noConversion"/>
  </si>
  <si>
    <t>(실제)근로일수</t>
    <phoneticPr fontId="2" type="noConversion"/>
  </si>
  <si>
    <r>
      <t xml:space="preserve">① 사용자는 </t>
    </r>
    <r>
      <rPr>
        <b/>
        <u/>
        <sz val="11"/>
        <color rgb="FFFF0000"/>
        <rFont val="맑은 고딕"/>
        <family val="3"/>
        <charset val="129"/>
        <scheme val="minor"/>
      </rPr>
      <t>근로시간</t>
    </r>
    <r>
      <rPr>
        <sz val="11"/>
        <color theme="1"/>
        <rFont val="맑은 고딕"/>
        <family val="2"/>
        <charset val="129"/>
        <scheme val="minor"/>
      </rPr>
      <t>이 4시간인 경우에는 30분 이상, 8시간인 경우에는 1시간 이상의 휴게시간을 근로시간 도중에 주어야 한다.</t>
    </r>
    <phoneticPr fontId="2" type="noConversion"/>
  </si>
  <si>
    <t>★</t>
    <phoneticPr fontId="2" type="noConversion"/>
  </si>
  <si>
    <t>시간 ★</t>
    <phoneticPr fontId="2" type="noConversion"/>
  </si>
  <si>
    <t xml:space="preserve">이러한 위반행위가 5명의 단시간근로자 모두에 해당하므로 위반 행위 5건에 대한 과태료 부과 합계 금액은 1,200만원으로 산정한다. </t>
    <phoneticPr fontId="2" type="noConversion"/>
  </si>
  <si>
    <t xml:space="preserve">근로계약서를 작성하지 아니하였다면 「기간제법」제17조 제1호부터 제6호까지의 근로조건을 각 서면으로 명시하지 아니한 것이므로 
</t>
    <phoneticPr fontId="2" type="noConversion"/>
  </si>
  <si>
    <t>위반 행위 건별 1차 과태료 부과금액은 240만원이고 (500만원 이하),</t>
    <phoneticPr fontId="2" type="noConversion"/>
  </si>
  <si>
    <t>※ 단시간 근로자 - 근로계약서 미 작성 시 과태료 부과 실사례 안내</t>
    <phoneticPr fontId="2" type="noConversion"/>
  </si>
  <si>
    <t>근로기준법 제9장 취업규칙</t>
    <phoneticPr fontId="2" type="noConversion"/>
  </si>
  <si>
    <t>제93조(취업규칙의 작성·신고)</t>
    <phoneticPr fontId="2" type="noConversion"/>
  </si>
  <si>
    <t>이를 변경하는 경우에도 또한 같다. [개정 2008.3.28, 2010.6.4 제10339호(정부조직법), 2012.2.1, 2019.1.15] [[시행일 2019.7.16]]</t>
    <phoneticPr fontId="2" type="noConversion"/>
  </si>
  <si>
    <t>1. 업무의 시작과 종료 시각, 휴게시간, 휴일, 휴가 및 교대 근로에 관한 사항</t>
    <phoneticPr fontId="2" type="noConversion"/>
  </si>
  <si>
    <t xml:space="preserve">2. 임금의 결정·계산·지급 방법, 임금의 산정기간·지급시기 및 승급(昇給)에 관한 사항
</t>
    <phoneticPr fontId="2" type="noConversion"/>
  </si>
  <si>
    <t>3. 가족수당의 계산·지급 방법에 관한 사항</t>
    <phoneticPr fontId="2" type="noConversion"/>
  </si>
  <si>
    <t>4. 퇴직에 관한 사항</t>
    <phoneticPr fontId="2" type="noConversion"/>
  </si>
  <si>
    <t>5. 「근로자퇴직급여 보장법」 제4조(퇴직급여제도의 설정)에 따라 설정된 퇴직급여, 상여 및 최저임금에 관한 사항</t>
    <phoneticPr fontId="2" type="noConversion"/>
  </si>
  <si>
    <t>6. 근로자의 식비, 작업 용품 등의 부담에 관한 사항</t>
    <phoneticPr fontId="2" type="noConversion"/>
  </si>
  <si>
    <t>7. 근로자를 위한 교육시설에 관한 사항</t>
    <phoneticPr fontId="2" type="noConversion"/>
  </si>
  <si>
    <t>8. 출산전후휴가·육아휴직 등 근로자의 모성 보호 및 일·가정 양립 지원에 관한 사항</t>
    <phoneticPr fontId="2" type="noConversion"/>
  </si>
  <si>
    <t>9. 안전과 보건에 관한 사항</t>
    <phoneticPr fontId="2" type="noConversion"/>
  </si>
  <si>
    <t>9의2. 근로자의 성별·연령 또는 신체적 조건 등의 특성에 따른 사업장 환경의 개선에 관한 사항</t>
    <phoneticPr fontId="2" type="noConversion"/>
  </si>
  <si>
    <t>10. 업무상과 업무 외의 재해부조(災害扶助)에 관한 사항</t>
    <phoneticPr fontId="2" type="noConversion"/>
  </si>
  <si>
    <t>11. 직장 내 괴롭힘의 예방 및 발생 시 조치 등에 관한 사항</t>
    <phoneticPr fontId="2" type="noConversion"/>
  </si>
  <si>
    <t>12. 표창과 제재에 관한 사항</t>
    <phoneticPr fontId="2" type="noConversion"/>
  </si>
  <si>
    <t>13. 그 밖에 해당 사업 또는 사업장의 근로자 전체에 적용될 사항</t>
    <phoneticPr fontId="2" type="noConversion"/>
  </si>
  <si>
    <t>제94조(규칙의 작성, 변경 절차)</t>
    <phoneticPr fontId="2" type="noConversion"/>
  </si>
  <si>
    <t>① 사용자는 취업규칙의 작성 또는 변경에 관하여 해당 사업 또는 사업장에 근로자의 과반수로 조직된 노동조합이 있는 경우에는</t>
    <phoneticPr fontId="2" type="noConversion"/>
  </si>
  <si>
    <t>그 노동조합, 근로자의 과반수로 조직된 노동조합이 없는 경우에는 근로자의 과반수의 의견을 들어야 한다.</t>
    <phoneticPr fontId="2" type="noConversion"/>
  </si>
  <si>
    <t>다만, 취업규칙을 근로자에게 불리하게 변경하는 경우에는 그 동의를 받아야 한다.</t>
    <phoneticPr fontId="2" type="noConversion"/>
  </si>
  <si>
    <t>제95조(제재 규정의 제한)</t>
    <phoneticPr fontId="2" type="noConversion"/>
  </si>
  <si>
    <t xml:space="preserve">취업규칙에서 근로자에 대하여 감급(減給)의 제재를 정할 경우에 </t>
    <phoneticPr fontId="2" type="noConversion"/>
  </si>
  <si>
    <t xml:space="preserve">그 감액은 1회의 금액이 평균임금의 1일분의 2분의 1을, </t>
    <phoneticPr fontId="2" type="noConversion"/>
  </si>
  <si>
    <t>, 총액이 1임금지급기의 임금 총액의 10분의 1을 초과하지 못한다.</t>
    <phoneticPr fontId="2" type="noConversion"/>
  </si>
  <si>
    <t>제96조(단체협약의 준수)</t>
    <phoneticPr fontId="2" type="noConversion"/>
  </si>
  <si>
    <t>① 취업규칙은 법령이나 해당 사업 또는 사업장에 대하여 적용되는 단체협약과 어긋나서는 아니 된다.</t>
    <phoneticPr fontId="2" type="noConversion"/>
  </si>
  <si>
    <t>② 고용노동부장관은 법령이나 단체협약에 어긋나는 취업규칙의 변경을 명할 수 있다.</t>
    <phoneticPr fontId="2" type="noConversion"/>
  </si>
  <si>
    <t>[개정 2010.6.4 제10339호(정부조직법)] [[시행일 2010.7.5]]</t>
    <phoneticPr fontId="2" type="noConversion"/>
  </si>
  <si>
    <t>② 사용자는 제93조(취업규칙의 작성·신고)에 따라 취업규칙을 신고할 때에는 제1항의 의견을 적은 서면을 첨부하여야 한다.</t>
    <phoneticPr fontId="2" type="noConversion"/>
  </si>
  <si>
    <t>제97조(위반의 효력)</t>
    <phoneticPr fontId="2" type="noConversion"/>
  </si>
  <si>
    <t>취업규칙에서 정한 기준에 미달하는 근로조건을 정한 근로계약은 그 부분에 관하여는 무효로 한다</t>
    <phoneticPr fontId="2" type="noConversion"/>
  </si>
  <si>
    <t>이 경우 무효로 된 부분은 취업규칙에 정한 기준에 따른다.</t>
    <phoneticPr fontId="2" type="noConversion"/>
  </si>
  <si>
    <t>근로기준법 제17조(근로조건의 명시)</t>
    <phoneticPr fontId="2" type="noConversion"/>
  </si>
  <si>
    <t>1. 임금</t>
    <phoneticPr fontId="2" type="noConversion"/>
  </si>
  <si>
    <t>2. 소정근로시간</t>
    <phoneticPr fontId="2" type="noConversion"/>
  </si>
  <si>
    <t xml:space="preserve">① 사용자는 근로계약을 체결할 때에 근로자에게 다음 각 호의 사항을 명시하여야 한다. </t>
    <phoneticPr fontId="2" type="noConversion"/>
  </si>
  <si>
    <t>근로계약 체결 후 다음 각 호의 사항을 변경하는 경우에도 또한 같다. [개정 2010.5.25] [[시행일 2012.1.1]]</t>
    <phoneticPr fontId="2" type="noConversion"/>
  </si>
  <si>
    <t>3. 제55조(휴일)에 따른 휴일</t>
    <phoneticPr fontId="2" type="noConversion"/>
  </si>
  <si>
    <t>4. 제60조(연차 유급휴가)에 따른 연차 유급휴가</t>
    <phoneticPr fontId="2" type="noConversion"/>
  </si>
  <si>
    <t>5. 그 밖에 대통령령으로 정하는 근로조건</t>
    <phoneticPr fontId="2" type="noConversion"/>
  </si>
  <si>
    <t>② 사용자는 제1항제1호와 관련한 임금의 구성항목ㆍ계산방법ㆍ지급방법 및 제2호부터 제4호까지의 사항이 명시된 서면(「전자문서 및 전자거래 기본법」 제2조제1호에 따른 전자문서를 포함한다)을  근로자에게 교부하여야 한다.</t>
    <phoneticPr fontId="2" type="noConversion"/>
  </si>
  <si>
    <r>
      <t xml:space="preserve">다만, 본문에 따른 사항이 </t>
    </r>
    <r>
      <rPr>
        <b/>
        <u/>
        <sz val="11"/>
        <color rgb="FF7030A0"/>
        <rFont val="맑은 고딕"/>
        <family val="3"/>
        <charset val="129"/>
        <scheme val="minor"/>
      </rPr>
      <t>단체협약 또는 취업규칙의 변경</t>
    </r>
    <r>
      <rPr>
        <sz val="11"/>
        <color theme="1"/>
        <rFont val="맑은 고딕"/>
        <family val="2"/>
        <charset val="129"/>
        <scheme val="minor"/>
      </rPr>
      <t xml:space="preserve"> 등 대통령령으로 정하는 사유로 인하여 변경되는 경우에는 근로자의 요구가 있으면 그 근로자에게 교부하여야 한다. [신설 2010.5.25, 2021.1.5]</t>
    </r>
    <phoneticPr fontId="2" type="noConversion"/>
  </si>
  <si>
    <t>근로기준법 시행규칙 제15조(취업규칙의 신고 등)</t>
    <phoneticPr fontId="2" type="noConversion"/>
  </si>
  <si>
    <r>
      <t>제15조</t>
    </r>
    <r>
      <rPr>
        <u/>
        <sz val="11"/>
        <color theme="10"/>
        <rFont val="맑은 고딕"/>
        <family val="3"/>
        <charset val="129"/>
        <scheme val="minor"/>
      </rPr>
      <t>(취업규칙의 신고 등)</t>
    </r>
    <phoneticPr fontId="2" type="noConversion"/>
  </si>
  <si>
    <t xml:space="preserve">사용자는 법 제93조(취업규칙의 작성·신고)에 따라 취업규칙을 신고하거나 변경신고하려면 별지 제15호서식의 취업규칙 신고 또는 변경신고서에 다음 각 호의 서류를 첨부하여 관할 지방고용노동관서의 장에게 제출하여야 한다. </t>
    <phoneticPr fontId="2" type="noConversion"/>
  </si>
  <si>
    <t>1. 취업규칙(변경신고하는 경우에는 변경 전과 변경 후의 내용을 비교한 서류를 포함한다)</t>
    <phoneticPr fontId="2" type="noConversion"/>
  </si>
  <si>
    <t>2. 근로자의 과반수를 대표하는 노동조합 또는 근로자 과반수의 의견을 들었음을 증명하는 자료</t>
    <phoneticPr fontId="2" type="noConversion"/>
  </si>
  <si>
    <t>3. 근로자의 과반수를 대표하는 노동조합 또는 근로자 과반수의 동의를 받았음을 증명하는 자료(근로자에게 불리하게 변경하는 경우에만 첨부한다)</t>
    <phoneticPr fontId="2" type="noConversion"/>
  </si>
  <si>
    <t>[노동이슈] (5) 취업규칙관리 핵심포인트</t>
    <phoneticPr fontId="2" type="noConversion"/>
  </si>
  <si>
    <t>취업규칙 작성 및 변경</t>
    <phoneticPr fontId="2" type="noConversion"/>
  </si>
  <si>
    <r>
      <rPr>
        <b/>
        <u/>
        <sz val="11"/>
        <color rgb="FFC00000"/>
        <rFont val="맑은 고딕"/>
        <family val="3"/>
        <charset val="129"/>
        <scheme val="minor"/>
      </rPr>
      <t>상시 10명 이상(근로기준법 시행령 제7조의2)의 근로자를 사용하는 사용자</t>
    </r>
    <r>
      <rPr>
        <sz val="11"/>
        <color theme="1"/>
        <rFont val="맑은 고딕"/>
        <family val="2"/>
        <charset val="129"/>
        <scheme val="minor"/>
      </rPr>
      <t xml:space="preserve">는 다음 각 호의 사항에 관한 취업규칙을 작성하여 고용노동부장관에게 신고하여야 한다. </t>
    </r>
    <phoneticPr fontId="2" type="noConversion"/>
  </si>
  <si>
    <t xml:space="preserve"> - 매달 지급되는 상여금 중 월 환산액의 25%를 초과하는 금액</t>
    <phoneticPr fontId="2" type="noConversion"/>
  </si>
  <si>
    <t xml:space="preserve"> - 복리후생비 중 월환산액의 7%를 초과하는 금액</t>
    <phoneticPr fontId="2" type="noConversion"/>
  </si>
  <si>
    <t>월급 일할계산 방법</t>
  </si>
  <si>
    <t>월급제 근로자 중도퇴사시 일할계산방법</t>
    <phoneticPr fontId="2" type="noConversion"/>
  </si>
  <si>
    <t>1. 문제의식</t>
    <phoneticPr fontId="2" type="noConversion"/>
  </si>
  <si>
    <t>사용자가 일할계산을 잘못하여 임금을 지급할 경우 추가비용(임금)지출 또는 임금체불문제가 발생할 수 있습니다.</t>
    <phoneticPr fontId="2" type="noConversion"/>
  </si>
  <si>
    <t>2. 관련규정</t>
    <phoneticPr fontId="2" type="noConversion"/>
  </si>
  <si>
    <t>월급여의 일할계산방식에 대한 법률적 규정은 없습니다.</t>
    <phoneticPr fontId="2" type="noConversion"/>
  </si>
  <si>
    <t>따라서 해당 월 일수로 나누거나 월 30일을 기준으로 나누어 일할 계산하여 지급하는 등 회사의 취업규칙 등에 정하여진 바에 의거 일할 계산하여 지급하면 됩니다.</t>
    <phoneticPr fontId="2" type="noConversion"/>
  </si>
  <si>
    <t>다만, 일할 계산하여 지급한 금액이 근로기준법에 정한 기준에 미달할 경우에는 그 부분에 대하여 무효가 되어 체불이 발생할 수 있습니다.</t>
    <phoneticPr fontId="2" type="noConversion"/>
  </si>
  <si>
    <t>3. 일반적 일할계산방식</t>
    <phoneticPr fontId="2" type="noConversion"/>
  </si>
  <si>
    <t>1) 월급여의 일할계산방식과 관련하여 별도의 정한 규정이 없다면 해당 월의 총일수로 나누는 것이 통상적입니다.</t>
    <phoneticPr fontId="2" type="noConversion"/>
  </si>
  <si>
    <t xml:space="preserve">   그러나 만약 일할계산방식이 취업규칙 등에 규정되어 있다면 그에 따라 지급하게 됩니다.</t>
    <phoneticPr fontId="2" type="noConversion"/>
  </si>
  <si>
    <t>2) 예를들어 회사 내 별도의 일할계산 규정이 없을 경우 해당월의 총일수가 31일이라면 1일의 일할급여는 (월급여액/31일)이지만, 회사의 취업규칙 등에 “월급여액/30”으로 규정하고 있다면 1일의 일할급여는 (월급여액/30)으로 지급함이 타당합니다.</t>
    <phoneticPr fontId="2" type="noConversion"/>
  </si>
  <si>
    <t>3) 일부 사업장에서는 월 20일로 나누어 지급하는 경우가 발생하는데 이 경우에는 해당 월의 유급주휴(통상 일요일)수당금액을 제외한 실질적으로 출근한 날에 대해서만 임금을 일할 계산하여 지급하고 유급주휴수당은 누락하는 결과가 발생하므로 변경해야할 것으로 사료됩니다.</t>
    <phoneticPr fontId="2" type="noConversion"/>
  </si>
  <si>
    <t>4. 시간급으로 환산한 일할계산방식</t>
    <phoneticPr fontId="2" type="noConversion"/>
  </si>
  <si>
    <t>1) 주 40시간제가 적용되는 사업장은 일요일은 근무를 하지 않더라도 임금이 지급되는 유급입니다. 다만, 토요일의 경우 유급으로 할 것인지 여부에 대해서는 노사 간의 합의할 사항이고 만약 별도의 합의가 없다면 무급에 해당됩니다.</t>
    <phoneticPr fontId="2" type="noConversion"/>
  </si>
  <si>
    <t>2) 월급여액을 일할 계산할 경우 주 40시간제에서 방식은 ‘[월급여액/1개월의 소정근로시간(209시간)] × 8시간“입니다. 209시간/월에는 소정근로시간(월~금)에 대한 174시간/월과 유급주휴시간(일요일)에 대한 35시간/월이 반영되어 있습니다.</t>
    <phoneticPr fontId="2" type="noConversion"/>
  </si>
  <si>
    <t>3) 주중에 입사, 퇴사, 휴직 및 복직을 하는 경우에는 해당하는 주에 소정근로를 개근하지 않았으므로 그 주에는 8시간분의 유급주휴수당이 지급되지 않습니다. 따라서 일할계산 시 차감됩니다.</t>
    <phoneticPr fontId="2" type="noConversion"/>
  </si>
  <si>
    <t>5. 결어 및 시사점</t>
    <phoneticPr fontId="2" type="noConversion"/>
  </si>
  <si>
    <t xml:space="preserve">1) 근로자의 월 급여가 200만원일 경우 30일로 나눌 경우 66,667원, 31일로 나눌 경우 64,516원, 209시간으로 나눌 경우 76,555원의 상이한 일할계산 지급금액이 산출됩니다. 그 차액은 최고 12,039원에서 최저 9,888원이 발생하게 됩니다.
 </t>
    <phoneticPr fontId="2" type="noConversion"/>
  </si>
  <si>
    <t>2) 일할 계산하는 방식을 잘못 적용하여 임금을 지급할 경우 임금체불 문제가 발생할 수 있으므로 근로자에 불이익함이 없도록 주의하여 산정해야 합니다.</t>
    <phoneticPr fontId="2" type="noConversion"/>
  </si>
  <si>
    <t>소정근로의 대가로 정기적·일률적·고정적으로 지급돼 통상임금에 해당된다.</t>
    <phoneticPr fontId="2" type="noConversion"/>
  </si>
  <si>
    <t>근로기준법 제2조 (정의)</t>
    <phoneticPr fontId="2" type="noConversion"/>
  </si>
  <si>
    <t>① 이 법에서 사용하는 용어의 뜻은 다음과 같다.</t>
    <phoneticPr fontId="2" type="noConversion"/>
  </si>
  <si>
    <t>6. “평균임금”이란 이를 산정하여야 할 사유가 발생한 날 이전 3개월 동안에 그 근로자에게 지급된 임금의 총액을 그 기간의 총일수로 나눈 금액을 말한다. 근로자가 취업한 후 3개월 미만인 경우도 이에 준한다.</t>
    <phoneticPr fontId="2" type="noConversion"/>
  </si>
  <si>
    <t>②제1항제6호에 따라 산출된 금액이 그 근로자의 통상임금보다 적으면 그 통상임금액을 평균임금으로 한다.</t>
    <phoneticPr fontId="2" type="noConversion"/>
  </si>
  <si>
    <t>1. 통상임금이란?</t>
    <phoneticPr fontId="2" type="noConversion"/>
  </si>
  <si>
    <t>임금의 성격을 갖추지 못했으면 통상임금에서 제외가 되나 임금의 성격을 갖추었다면 그 임금이 통상임금에 해당하는지 검토하여야 한다.</t>
    <phoneticPr fontId="2" type="noConversion"/>
  </si>
  <si>
    <t>(1) 개념</t>
    <phoneticPr fontId="2" type="noConversion"/>
  </si>
  <si>
    <t>통상임금이란 근로계약에서 정한 근로를 제공하면 확정적으로 지급받게 되는 임금으로, 그 명칭과 상관없이 통상임금의 법적인 요건을 갖추면 모두 통상임금에 해당하게 된다. (대법원 전원합의체 판결).</t>
    <phoneticPr fontId="2" type="noConversion"/>
  </si>
  <si>
    <t>현행 근로기준법에서 통상임금의 개념은 '근로자에게 정기적이고 일률적으로 소정(所定)근로 또는 총근로에 대하여 지급하기로 정한 시간급금액, 일급금액, 주급금액, 월급금액 또는 도급금액'으로 규정하고 있다(영 제6조).</t>
    <phoneticPr fontId="2" type="noConversion"/>
  </si>
  <si>
    <t>여기서 '정기적'이란 '1임금산정기간 내'의 지급을(월급에의 경우 '매월'),</t>
    <phoneticPr fontId="2" type="noConversion"/>
  </si>
  <si>
    <t>(예를 들어, 보직을 관리자에게 보직수당을 지급하는 것)을 말한다(임금 68207-730,2002.10.4.).</t>
    <phoneticPr fontId="2" type="noConversion"/>
  </si>
  <si>
    <t>(2) 기능</t>
    <phoneticPr fontId="2" type="noConversion"/>
  </si>
  <si>
    <t>통상임금은 평균임금의 최저생계를 보장함과 아울러 각종 법정 수당(해고예고수당, 연장 · 야간 · 휴일근로수당, 연차유급휴가수당) 등을 산정할 때 기준이 되는 아주 중요한 도구적 개념이다.</t>
    <phoneticPr fontId="2" type="noConversion"/>
  </si>
  <si>
    <t>통상임금액의 변동은 통상임금을 기초로 산정되는 각종 법정수당의 변동을 가져오고, 뿐만 아니라 3월 이내 지급받은 임금총액을 기준으로 산정하는</t>
    <phoneticPr fontId="2" type="noConversion"/>
  </si>
  <si>
    <t>평균임금에도 변동을 초래하게 되어 3년간 체불된 임금을 전부 소급해줘야 하는 문제가 발생하게 된다.</t>
    <phoneticPr fontId="2" type="noConversion"/>
  </si>
  <si>
    <t>(3) 산정방법</t>
    <phoneticPr fontId="2" type="noConversion"/>
  </si>
  <si>
    <t>통상임금을 산정하기 위해서는 1임금산정기간 중에 해당 근로자에 지급되는 임금에서 정기적, 일률적, 고정적으로 지급되는 임금을 합산하고 이를 1임금산정기간의 소정근로시간로 나누게 된다.</t>
    <phoneticPr fontId="2" type="noConversion"/>
  </si>
  <si>
    <t>2. 통상임금의 요건</t>
    <phoneticPr fontId="2" type="noConversion"/>
  </si>
  <si>
    <t>(1) 정기성</t>
    <phoneticPr fontId="2" type="noConversion"/>
  </si>
  <si>
    <t>통상임금의 산정기초가 되는 임금은 「1임금지급기」인가에 대해 판례와 행정해석은 다른 차이를 보였다.</t>
    <phoneticPr fontId="2" type="noConversion"/>
  </si>
  <si>
    <t xml:space="preserve">판례는 1임금기간을 초과하는 기간마다 지급되는 임금이라도 그것이 정기적 · 일률적으로 지급되는 것이면 통상임금에 포함될 수 </t>
    <phoneticPr fontId="2" type="noConversion"/>
  </si>
  <si>
    <t>있다고 판시하였다. (대법 2012다89399, 2013.12.18; 대법 1995다56767,1996.3.22).</t>
    <phoneticPr fontId="2" type="noConversion"/>
  </si>
  <si>
    <t>매년 일정시기에 월 기본급에 대한 일정액을 체력단렬비로, 매년 1월에 월 기본급에 대한 일정액을 월동보조비로 원고들을 포함한</t>
    <phoneticPr fontId="2" type="noConversion"/>
  </si>
  <si>
    <t>전 직원에게 각 지급하여 온 사실을 인정할 수 있는바,</t>
    <phoneticPr fontId="2" type="noConversion"/>
  </si>
  <si>
    <t>지급되는 고정적인 임금이라 할 것이므로 통상임금에 속한다고 할 것이다.</t>
    <phoneticPr fontId="2" type="noConversion"/>
  </si>
  <si>
    <t>따라서 체력단력비와 월동보조비의 각 1/12이 월급 통상임금에 속한다(대법 1994다19501, 1996.2.9).</t>
    <phoneticPr fontId="2" type="noConversion"/>
  </si>
  <si>
    <t>(중략) 정기성을 갖추어야 한다는 것은 그 임금이 일정한 간격을 두고 계속적으로 지급되어야 함을 의미한다.(중략).</t>
    <phoneticPr fontId="2" type="noConversion"/>
  </si>
  <si>
    <t>소정근로시간에 통상적으로 제공하는 근로의 대가가 1개월을 넘는 기간마다 분할 지급되고 있는 것일 뿐,</t>
    <phoneticPr fontId="2" type="noConversion"/>
  </si>
  <si>
    <t>그러한 사정 때문에 갑자기 그 임금이 소정근로의 대가로서의 성질을 상실하거나 정기성을 상실하게 되는 것이 아님은 분명하다(대법 2012다 89399, 2013.12.18).</t>
    <phoneticPr fontId="2" type="noConversion"/>
  </si>
  <si>
    <t>(2) 일률성</t>
    <phoneticPr fontId="2" type="noConversion"/>
  </si>
  <si>
    <t xml:space="preserve">① 어떤 임금이 통상임금에 해당하려면 그것이 정기적 · 일률적으로 지급되는 고정적인 임금에 속하여야 하므로, 정기적 · 일률적으로 지급되는 것이 아니거나 실제의 근무성적에 따라 지급 여부 및 지급액이 달라지는 것과 같이 </t>
    <phoneticPr fontId="2" type="noConversion"/>
  </si>
  <si>
    <t xml:space="preserve">     고정적인 임금이 아닌 것은 통상임금에 해당하지 아니한다고 할 것인데, </t>
    <phoneticPr fontId="2" type="noConversion"/>
  </si>
  <si>
    <t>② 대법원 전원합의체 판결(2013.1.18)에서는 2) '일정한 조건 또는 기준'이 '소정근로의 가치평가와 관련이 있어야 한다'는 단서조항을 달았다.</t>
    <phoneticPr fontId="2" type="noConversion"/>
  </si>
  <si>
    <t xml:space="preserve">③ 휴직자나 복직자 또는 징계대상자 등에 대하여 특정한 임금의 지급이 제한되어 있더라도, 이는 해당 근로자의 개인적인 특수성을  고려한 것일 뿐이므로, </t>
    <phoneticPr fontId="2" type="noConversion"/>
  </si>
  <si>
    <t xml:space="preserve">    정상적인 근로관계를 유지하고 있는 근로자에 대하여 그 해당 임금의 일률성이 부정되지 않기 때문에  그 해당임금도 통상임금이 될 수 있다.</t>
    <phoneticPr fontId="2" type="noConversion"/>
  </si>
  <si>
    <t>(3) 고정성</t>
    <phoneticPr fontId="2" type="noConversion"/>
  </si>
  <si>
    <t>고정성은 명칭과 상관없이 소정근로시간을 근무한 근로자가 그 다음날 퇴직한다하더라도 근로의 대가로 당연하고도 확정적으로 지급받게 되는 것으로, 초과근로를 제공할 당시에 그 지급여부가 업적, 성과 기타 추가적인 조건과 관게없이 사전에 이미 확정되어 있는 것을 말하다.</t>
    <phoneticPr fontId="2" type="noConversion"/>
  </si>
  <si>
    <t>시간급 통상임금 유형별 산정방법</t>
    <phoneticPr fontId="2" type="noConversion"/>
  </si>
  <si>
    <t>통상임금은 시간급으로 산정하는데 통상임금을 기초로 법정수당이 시간단위로 계산되기 때문이다.</t>
    <phoneticPr fontId="2" type="noConversion"/>
  </si>
  <si>
    <t>예를 들어 일급금액인 경우 그 금액을 1일 소정근로시간수로 나눈 금액이 시간급 통상입금이다.</t>
    <phoneticPr fontId="2" type="noConversion"/>
  </si>
  <si>
    <t>월의 소정근로시간은 월의 소정근로일수에 1일의 소정근로시간수를 곱한 시간을 말하며, 이 때 주휴일 등 유급휴일 해당 시간을 
소정근로시간에 포함한다.</t>
    <phoneticPr fontId="2" type="noConversion"/>
  </si>
  <si>
    <t>(1) 일당 근로자의 시간급 통상임금 산정사례</t>
    <phoneticPr fontId="2" type="noConversion"/>
  </si>
  <si>
    <t xml:space="preserve">예를 들어 1일 임금이 </t>
    <phoneticPr fontId="2" type="noConversion"/>
  </si>
  <si>
    <t xml:space="preserve">인 근로자로서 1일 소정근로시간이 9시간인 경우 시간급 통상임금은 </t>
    <phoneticPr fontId="2" type="noConversion"/>
  </si>
  <si>
    <t xml:space="preserve">이며, 1일 통상임금은 </t>
    <phoneticPr fontId="2" type="noConversion"/>
  </si>
  <si>
    <t>(3) 단시간근로자 통상임금 산정사례</t>
    <phoneticPr fontId="2" type="noConversion"/>
  </si>
  <si>
    <t>① 주당 평균 소정근로시간이 15시간 미만인 경우</t>
    <phoneticPr fontId="2" type="noConversion"/>
  </si>
  <si>
    <t xml:space="preserve">    4주간의 소정근로시간의 합을 그 기간의 통상근로자의 총 근로일수로 나눈 시간수로 한다.</t>
    <phoneticPr fontId="2" type="noConversion"/>
  </si>
  <si>
    <t>예) 1주의 소정근로시간의 합계가</t>
    <phoneticPr fontId="2" type="noConversion"/>
  </si>
  <si>
    <t>x</t>
    <phoneticPr fontId="2" type="noConversion"/>
  </si>
  <si>
    <t xml:space="preserve">주 ÷ 24일    = </t>
    <phoneticPr fontId="2" type="noConversion"/>
  </si>
  <si>
    <t xml:space="preserve">      1일 통상임금 = </t>
    <phoneticPr fontId="2" type="noConversion"/>
  </si>
  <si>
    <t>시간 =</t>
    <phoneticPr fontId="2" type="noConversion"/>
  </si>
  <si>
    <t xml:space="preserve">  ※ 주 15시간 미만의 초단시간 근로자는 주휴일을 부여할 수 없기 때문에 유급으로 처리되는 시간을 합산할 수 없다.</t>
    <phoneticPr fontId="2" type="noConversion"/>
  </si>
  <si>
    <t>② 주당 평균 소정근로시간이 15시간 이상이 경우</t>
    <phoneticPr fontId="2" type="noConversion"/>
  </si>
  <si>
    <t>주휴 수당</t>
    <phoneticPr fontId="2" type="noConversion"/>
  </si>
  <si>
    <t>한 주에 5일 이상 일하면 휴일 수당으로 하루치 임금 지급</t>
    <phoneticPr fontId="2" type="noConversion"/>
  </si>
  <si>
    <t>소정근로시간의 합을 그 기간의 통상근로자의 총근로일수로 나눈 시간수로 하되 소정근로시간을 산출할 때는 유급으로 처리되는 주휴일 시간을 합산한다.</t>
    <phoneticPr fontId="2" type="noConversion"/>
  </si>
  <si>
    <t>이 유급휴일 조항은 4인 이하 기업체에도 적용되는 조항으로, 일주일에 15시간 이상 근로하는 모든 근로자에게 해당된다.</t>
    <phoneticPr fontId="2" type="noConversion"/>
  </si>
  <si>
    <t xml:space="preserve">     즉, 1일</t>
    <phoneticPr fontId="2" type="noConversion"/>
  </si>
  <si>
    <t>1주일간</t>
    <phoneticPr fontId="2" type="noConversion"/>
  </si>
  <si>
    <t xml:space="preserve">근무했을 경우 총 </t>
    <phoneticPr fontId="2" type="noConversion"/>
  </si>
  <si>
    <t>시간이다.</t>
    <phoneticPr fontId="2" type="noConversion"/>
  </si>
  <si>
    <t>7일} x 365일 / 12개월 =</t>
    <phoneticPr fontId="2" type="noConversion"/>
  </si>
  <si>
    <t xml:space="preserve">즉, 월급이 </t>
    <phoneticPr fontId="2" type="noConversion"/>
  </si>
  <si>
    <t>이 시급 통상임금이다.</t>
    <phoneticPr fontId="2" type="noConversion"/>
  </si>
  <si>
    <t>③ 주의 근로시간이 불규칙한 경우</t>
    <phoneticPr fontId="2" type="noConversion"/>
  </si>
  <si>
    <t>만약 주의 근로시간이 불규칙할 경우는 각주의 근로시간을 합하여 그 전체수를 통상근로자의 소정근로일(24일)로 나누면 될 것이다.</t>
    <phoneticPr fontId="2" type="noConversion"/>
  </si>
  <si>
    <t>예를 들어 1주 16시간 + 2주 18시간 + 3주 19시간 + 4주 20시간 = 73시간</t>
    <phoneticPr fontId="2" type="noConversion"/>
  </si>
  <si>
    <t>☞ 73시간 ÷ 24일 = 3시간</t>
    <phoneticPr fontId="2" type="noConversion"/>
  </si>
  <si>
    <t>유형별 · 근무형태별 소정근로시간 산정</t>
    <phoneticPr fontId="2" type="noConversion"/>
  </si>
  <si>
    <t>소정근로시간이란 법정근로시간의 범위 내에서 근로자와 사용자간에 약정한 근로시간을 말한다(근로기준법 제2조).</t>
    <phoneticPr fontId="2" type="noConversion"/>
  </si>
  <si>
    <t>근로자와 사용자가 법정근로시간 범위 내에서 소정근로시간을 약정한 경우에는 그 시간이 소정근로시간이 되며 약정하지 않은 경우</t>
    <phoneticPr fontId="2" type="noConversion"/>
  </si>
  <si>
    <t>에는 법정근로시간을 약정한 것으로 보아 소정근로시간을 산정한다.</t>
    <phoneticPr fontId="2" type="noConversion"/>
  </si>
  <si>
    <t>또한 월소정근로시간수 산정 시 유급휴일 해당 근로시간수도 포함된다(대법 1990다 카12493, 1990. 12. 26).</t>
    <phoneticPr fontId="2" type="noConversion"/>
  </si>
  <si>
    <t>월평균 소정근로시간 = {(주의 통상임금 산정 기준시간) x (1년 동안의 평균주의 수)} / 12개월</t>
    <phoneticPr fontId="2" type="noConversion"/>
  </si>
  <si>
    <t xml:space="preserve">소정근로시간은 평균개념으로 4주 동안을 평균하여 1주간 근로시간을 한 달로 환산하거나 1년의 근로시간을 한 달로 환산하여 계산할 수 있다.
</t>
    <phoneticPr fontId="2" type="noConversion"/>
  </si>
  <si>
    <t>① 주 6일(월~금 : 8시간, 토요일 4시간) 근로하고 1일 유급휴일인 경우</t>
    <phoneticPr fontId="2" type="noConversion"/>
  </si>
  <si>
    <t xml:space="preserve">  가. 1일 소정 근로시간수 : 44시간(월~토) + 8시간(유급휴일) ÷ 7일 = 7.43시간</t>
    <phoneticPr fontId="2" type="noConversion"/>
  </si>
  <si>
    <t xml:space="preserve">  나. 월평균 근로일수 : 365일 ÷12월 = 30.42일</t>
    <phoneticPr fontId="2" type="noConversion"/>
  </si>
  <si>
    <t xml:space="preserve">  다. 월평균 소정근로시간 : 7.43시간 x 30.42 ≒ 226시간</t>
    <phoneticPr fontId="2" type="noConversion"/>
  </si>
  <si>
    <t>② 주 5일(월~금 : 8시간) 근로하고 2일 유급휴일로 처리하는 경우</t>
    <phoneticPr fontId="2" type="noConversion"/>
  </si>
  <si>
    <t xml:space="preserve">  가. 1일 소정 근로시간수 : 40시간(월~금) + 16시간(유급휴일) ÷ 7일 = 8시간</t>
    <phoneticPr fontId="2" type="noConversion"/>
  </si>
  <si>
    <t xml:space="preserve">  나. 월평균 근로일수 : 365일 ÷ 12월 = 30.42일</t>
    <phoneticPr fontId="2" type="noConversion"/>
  </si>
  <si>
    <t xml:space="preserve">  다. 월평균 소정근로시간 : 8시간 x 30.42 ≒ 243시간</t>
    <phoneticPr fontId="2" type="noConversion"/>
  </si>
  <si>
    <t>③ 주 5일 근로(월~금 : 8시간)하고 1일 유급(일요일)휴일 +1일 무급(토요일)휴일로 처리하는 경우</t>
    <phoneticPr fontId="2" type="noConversion"/>
  </si>
  <si>
    <t>유급휴일(有給休日)</t>
    <phoneticPr fontId="2" type="noConversion"/>
  </si>
  <si>
    <t xml:space="preserve">   가. 1일 소정 근로시간수 : 40시간(월~금) + 8시간(유급휴일) ÷ 7일 = 6.86시간</t>
    <phoneticPr fontId="2" type="noConversion"/>
  </si>
  <si>
    <t>사용자가 근로자에게 1주일에 평균 1회 이상 주어야 하는 임금이 지불되는 휴일을 말한다(근로기준법 제55조).</t>
    <phoneticPr fontId="2" type="noConversion"/>
  </si>
  <si>
    <t xml:space="preserve">   나. 월평균 근로일수 : 365일 ÷ 12월 = 30.42일</t>
    <phoneticPr fontId="2" type="noConversion"/>
  </si>
  <si>
    <t>유급휴일(유급주휴일)은 소정의 근로일수를 개근한 자에 대해서만 주어야 하는 것이기 때문에(같은 법 시행령 제30조), 병고 기타로 소정 근로일수를 채우지 못한 자는 유급휴일의 혜택을 받지 못한다.</t>
    <phoneticPr fontId="2" type="noConversion"/>
  </si>
  <si>
    <r>
      <t xml:space="preserve">   다. 월평균 소정근로시간 : 6.86시간 x 30.42일 ≒ </t>
    </r>
    <r>
      <rPr>
        <b/>
        <sz val="11"/>
        <color rgb="FFC00000"/>
        <rFont val="맑은 고딕"/>
        <family val="3"/>
        <charset val="129"/>
        <scheme val="minor"/>
      </rPr>
      <t>209시간</t>
    </r>
    <phoneticPr fontId="2" type="noConversion"/>
  </si>
  <si>
    <t>유급휴일에 근무한 근로자에게 지급할 임금에는 유급으로 당연히 지급되는 임금과 그 유급휴일의 근로에 대한 통상임금이 포함되며,</t>
    <phoneticPr fontId="2" type="noConversion"/>
  </si>
  <si>
    <t>「근로기준법」 제56조의 휴일근무에 대한 가산지급규정(加算支給規程)은 적용되지 않는다.</t>
    <phoneticPr fontId="2" type="noConversion"/>
  </si>
  <si>
    <t>④ 주 5일 근로하고 2일을 유급처리하고 1달은 30일로 계산하는 경우</t>
    <phoneticPr fontId="2" type="noConversion"/>
  </si>
  <si>
    <t>사용자가 이 유급휴일을 주지 않았을 때에는 2년 이하의 징역 또는 1,000만원 이하의 벌금에 처해진다(근로기준법 제110조1호).</t>
    <phoneticPr fontId="2" type="noConversion"/>
  </si>
  <si>
    <t xml:space="preserve">   가. 1일 소정 근로시간수 : 40시간(월~금) + 16시간(유급휴일) ÷ 7일 = 8시간</t>
    <phoneticPr fontId="2" type="noConversion"/>
  </si>
  <si>
    <t xml:space="preserve">   나. 월평균 근로일수 : 30일(취업규칙에 1달은 30일로 정함)</t>
    <phoneticPr fontId="2" type="noConversion"/>
  </si>
  <si>
    <t>주휴수당(週休手當)</t>
    <phoneticPr fontId="2" type="noConversion"/>
  </si>
  <si>
    <t xml:space="preserve">   다. 월평균 소정근로시간 : 8시간 x 30일 ≒ 240시간</t>
    <phoneticPr fontId="2" type="noConversion"/>
  </si>
  <si>
    <t>한 주에 15시간 이상을 일하는 근로자가 유급휴일에 받는 돈</t>
    <phoneticPr fontId="2" type="noConversion"/>
  </si>
  <si>
    <t>주휴수당은 일주일간 소정의 근로일수를 개근한 노동자가 유급휴일에 받는 돈이다.</t>
    <phoneticPr fontId="2" type="noConversion"/>
  </si>
  <si>
    <t>⑤ 소정근로시간에서 일요일을 제외하는 경우</t>
    <phoneticPr fontId="2" type="noConversion"/>
  </si>
  <si>
    <t xml:space="preserve"> 근로기준법에서는 사용자가 근로자에게 일주일에 평균 1회 이상 유급휴일(주휴일)을 주어야 한다고 명시하고 있다.</t>
    <phoneticPr fontId="2" type="noConversion"/>
  </si>
  <si>
    <t xml:space="preserve">   가. 월평균 소정근로시간 : (40시간 ÷ 7일 ) x (365일 ÷ 12월) ≒ 174시간</t>
    <phoneticPr fontId="2" type="noConversion"/>
  </si>
  <si>
    <t xml:space="preserve">주휴일에 사용자는 근로일과 같은 하루 치 임금을 지급해야 하는데 이것을 주휴수당이라 한다. </t>
    <phoneticPr fontId="2" type="noConversion"/>
  </si>
  <si>
    <t>주휴일과 주휴수당은 아르바이트·임시직·계약직 등 근로 형태와는 관계없이 일주일에 15시간 이상 일하는 근로자라면 적용된다.</t>
    <phoneticPr fontId="2" type="noConversion"/>
  </si>
  <si>
    <t>⑥ 소정근로시간에서 일요일, 근로자의 날을 제외하는 경우</t>
    <phoneticPr fontId="2" type="noConversion"/>
  </si>
  <si>
    <t>5인 미만 사업장도 마찬가지로 적용 대상이다.</t>
    <phoneticPr fontId="2" type="noConversion"/>
  </si>
  <si>
    <t xml:space="preserve">   가. 월평균 소정근로시간 : (40시간 ÷ 7일 ) x (365일 ÷ 12월) - 8시간(근로자의 날) ≒ 166시간</t>
    <phoneticPr fontId="2" type="noConversion"/>
  </si>
  <si>
    <t>단, 주휴일은 반드시 일요일일 필요는 없으며 특정 요일을 정해 규칙적으로 시행할 수도 있다.</t>
    <phoneticPr fontId="2" type="noConversion"/>
  </si>
  <si>
    <t>⑦ 그 외 특수한 경우</t>
    <phoneticPr fontId="2" type="noConversion"/>
  </si>
  <si>
    <t xml:space="preserve">   가. 15세 이상 18세 미만인 자(근기법 제69조) : 1일 7시간, 1주 최대 40시간</t>
    <phoneticPr fontId="2" type="noConversion"/>
  </si>
  <si>
    <t xml:space="preserve">   나. 유해 · 위험작업자(산안법 제46조) : 1일 6시간, 1주 최대 34시간</t>
    <phoneticPr fontId="2" type="noConversion"/>
  </si>
  <si>
    <t>⑧ 근무형태에 따른 근로시간 산정 예시</t>
    <phoneticPr fontId="2" type="noConversion"/>
  </si>
  <si>
    <t xml:space="preserve">   가. 2조 격일제 (24시간 근무 - 휴무)</t>
    <phoneticPr fontId="2" type="noConversion"/>
  </si>
  <si>
    <t xml:space="preserve">     - 월평균근로시간 산식 : {[(24시간 - 휴게시간) x 365일] ÷ 2일} ÷ 12개월</t>
    <phoneticPr fontId="2" type="noConversion"/>
  </si>
  <si>
    <t xml:space="preserve">     - 월평균야간근로시간 산식 : {[(8시간 - 휴게시간) x 365일] ÷ 2일} ÷ 12개월</t>
    <phoneticPr fontId="2" type="noConversion"/>
  </si>
  <si>
    <t xml:space="preserve">     - 월평균휴일근로가산 산식 : [(2주당18시간 x 365일) ÷ 14일] x 0.5 ÷ 12개월</t>
    <phoneticPr fontId="2" type="noConversion"/>
  </si>
  <si>
    <t xml:space="preserve">   나. 3조 2교대 (주간 - 야간 - 휴무)</t>
    <phoneticPr fontId="2" type="noConversion"/>
  </si>
  <si>
    <t xml:space="preserve">     - 월평균근로시간 산식 : {[(24시간 - 휴게시간) x 365일] ÷ 3일} ÷ 12개월</t>
    <phoneticPr fontId="2" type="noConversion"/>
  </si>
  <si>
    <t xml:space="preserve">     - 월평균야간근로시간 산식 : {[(8시간 - 휴게시간) x 365일] ÷ 3일} ÷ 12개월</t>
    <phoneticPr fontId="2" type="noConversion"/>
  </si>
  <si>
    <t>일급/주급/월급 금액은 통상임금만이 해당된다.</t>
    <phoneticPr fontId="2" type="noConversion"/>
  </si>
  <si>
    <t>◆ 최저임금에 산입되는 임금</t>
    <phoneticPr fontId="2" type="noConversion"/>
  </si>
  <si>
    <t>월급제 근로자가 중간에 퇴사하는 경우 지급될 임금은 일할계산방법에 의해 산정합니다.</t>
    <phoneticPr fontId="2" type="noConversion"/>
  </si>
  <si>
    <r>
      <t>'일률적'이란  '모든 근로자에게 지급되는 것' 또는 '</t>
    </r>
    <r>
      <rPr>
        <b/>
        <u val="singleAccounting"/>
        <sz val="11"/>
        <color rgb="FFFF0000"/>
        <rFont val="맑은 고딕"/>
        <family val="3"/>
        <charset val="129"/>
        <scheme val="minor"/>
      </rPr>
      <t>일정한 조건이나 기준에 달한 모든 근로자에게 지급되는 것</t>
    </r>
    <r>
      <rPr>
        <sz val="11"/>
        <color theme="1"/>
        <rFont val="맑은 고딕"/>
        <family val="2"/>
        <charset val="129"/>
        <scheme val="minor"/>
      </rPr>
      <t xml:space="preserve">' </t>
    </r>
    <phoneticPr fontId="2" type="noConversion"/>
  </si>
  <si>
    <t>통상임금에 해당하기 위해서는 해당 근로자에 지급되는 임금이 정기성, 일률성, 고정성을 모두 갖추고 있어야 한다.</t>
    <phoneticPr fontId="2" type="noConversion"/>
  </si>
  <si>
    <t>이에 의하면 위 체력단련비나 월동보조비는 모두 소정 근로 또는 총 근로에 대하여 지급하기로 한 금품으로서 정기적, 일률적으로</t>
    <phoneticPr fontId="2" type="noConversion"/>
  </si>
  <si>
    <t>▶ 체력단련비와 월동보조비의 통상임금 여부</t>
    <phoneticPr fontId="2" type="noConversion"/>
  </si>
  <si>
    <t>▶ 임금의 정기성 여부</t>
    <phoneticPr fontId="2" type="noConversion"/>
  </si>
  <si>
    <t>■ 판례</t>
    <phoneticPr fontId="2" type="noConversion"/>
  </si>
  <si>
    <r>
      <rPr>
        <sz val="11"/>
        <color theme="1"/>
        <rFont val="맑은 고딕"/>
        <family val="3"/>
        <charset val="129"/>
        <scheme val="minor"/>
      </rPr>
      <t xml:space="preserve">    </t>
    </r>
    <r>
      <rPr>
        <sz val="11"/>
        <color theme="1"/>
        <rFont val="맑은 고딕"/>
        <family val="2"/>
        <charset val="129"/>
        <scheme val="minor"/>
      </rPr>
      <t>1) 여기서 '일률적' 으로 지급되는 것이라 함은 '모든 근로자'에게 지급되는 것뿐만 아니라 '</t>
    </r>
    <r>
      <rPr>
        <u val="singleAccounting"/>
        <sz val="11"/>
        <color theme="1"/>
        <rFont val="맑은 고딕"/>
        <family val="3"/>
        <charset val="129"/>
        <scheme val="minor"/>
      </rPr>
      <t>일정한 조건 또는 기준에 달한 모든 근로자</t>
    </r>
    <r>
      <rPr>
        <sz val="11"/>
        <color theme="1"/>
        <rFont val="맑은 고딕"/>
        <family val="2"/>
        <charset val="129"/>
        <scheme val="minor"/>
      </rPr>
      <t xml:space="preserve">'에게 지급되는 것도 포함되고, </t>
    </r>
    <phoneticPr fontId="2" type="noConversion"/>
  </si>
  <si>
    <t xml:space="preserve">         여기서 말하는 '일정한 조건'이란 '고정적이고 평균적인 임금'을 산출하려는 통상임금의 개념에 비추어 볼 때 '고정적인 조건'이어야 하고 일시적, 유동적인 조건은 제외된다고 하였다. (대법 2004다41217, 2005.9.9).</t>
    <phoneticPr fontId="2" type="noConversion"/>
  </si>
  <si>
    <t xml:space="preserve">    나. 작업내용이나 기술 등과 관련된 기술수당, 자격수당, 격오지수당, 직책수당, 품위유지비 같은 경우 통상임금에 해당될 수 있다.</t>
    <phoneticPr fontId="2" type="noConversion"/>
  </si>
  <si>
    <t xml:space="preserve">    다. 부양가족이 있는 근로자한테만 지급하는 가족수당은 소정근로의 가치와 무관한 사항을 조건으로 지급되기 때문에   통상임금성을 부정했다.</t>
    <phoneticPr fontId="2" type="noConversion"/>
  </si>
  <si>
    <t xml:space="preserve">          다만, 모든 근로자에게 가족수당을 매월 5만원 지급하면서 실제 부양가족이 있는 근로자에게 추가로 매월 3만원 지급하는 경우 매월 5만원은 모든 근로자에게 일률적으로 지급되는 근로의 대가이므로  통상임금에 해당된다고 판시했다.</t>
    <phoneticPr fontId="2" type="noConversion"/>
  </si>
  <si>
    <r>
      <t xml:space="preserve">    가. </t>
    </r>
    <r>
      <rPr>
        <b/>
        <u val="singleAccounting"/>
        <sz val="11"/>
        <color rgb="FFC00000"/>
        <rFont val="맑은 고딕"/>
        <family val="3"/>
        <charset val="129"/>
        <scheme val="minor"/>
      </rPr>
      <t>근속수당</t>
    </r>
    <r>
      <rPr>
        <b/>
        <sz val="11"/>
        <color rgb="FFC00000"/>
        <rFont val="맑은 고딕"/>
        <family val="3"/>
        <charset val="129"/>
        <scheme val="minor"/>
      </rPr>
      <t>의 경우 근속기간은 근로자의 숙련도와 밀접한 관계가 있으므로 근속기간을 '일정한 조건 또는 기준'인 일률성의 요건으로 보아 통상임금에 해당한다고 판결했다.</t>
    </r>
    <phoneticPr fontId="2" type="noConversion"/>
  </si>
  <si>
    <t xml:space="preserve">고정성은 통상임금을 판단하는데 있어 가장 중요한 잣대가 되는 것으로 '추가적인 조건'이란 야간근무, 휴일근무, 연장근무 등 초과근무를 하는 시점에서 판단해 보았을 때 성취 여부가 불분명한 조건을 의미한다. </t>
    <phoneticPr fontId="2" type="noConversion"/>
  </si>
  <si>
    <t xml:space="preserve">              초과근로 시 비용 또는 보상의 정도를 예측할 수 있어야 연장근로 여부를 결정할 수 있기 때문이다.</t>
    <phoneticPr fontId="2" type="noConversion"/>
  </si>
  <si>
    <t>통상임금의 산정기초가 되는 임금은 근로계약이나 취업규칙 또는 단체협약 등에 의하여 소정근로시간(소정근로시간이 없는 경우 법정근로시간)</t>
    <phoneticPr fontId="2" type="noConversion"/>
  </si>
  <si>
    <t>에 대하여 지급하기로 정해진 기본급 임금과 정기적 · 일률적으로 1임금산정기간에 지급하기로 정하여진 고정급 임금으로 한다.</t>
    <phoneticPr fontId="2" type="noConversion"/>
  </si>
  <si>
    <r>
      <rPr>
        <b/>
        <u val="singleAccounting"/>
        <sz val="11"/>
        <color rgb="FFC00000"/>
        <rFont val="맑은 고딕"/>
        <family val="3"/>
        <charset val="129"/>
        <scheme val="minor"/>
      </rPr>
      <t>월급금액인 경우 그 금액을 월 소정근로시간수(주40시간제 : 209시간)로 나누면 시간급 통상임금</t>
    </r>
    <r>
      <rPr>
        <b/>
        <sz val="11"/>
        <color rgb="FFC00000"/>
        <rFont val="맑은 고딕"/>
        <family val="3"/>
        <charset val="129"/>
        <scheme val="minor"/>
      </rPr>
      <t>이 된다.</t>
    </r>
    <phoneticPr fontId="2" type="noConversion"/>
  </si>
  <si>
    <r>
      <t xml:space="preserve">▶ 시간급 통상임금 = 일급/주급/월급 금액 / </t>
    </r>
    <r>
      <rPr>
        <b/>
        <sz val="11"/>
        <color rgb="FF7030A0"/>
        <rFont val="맑은 고딕"/>
        <family val="3"/>
        <charset val="129"/>
        <scheme val="minor"/>
      </rPr>
      <t>1일(주, 월)의 소정근로시간</t>
    </r>
    <phoneticPr fontId="2" type="noConversion"/>
  </si>
  <si>
    <r>
      <rPr>
        <u/>
        <sz val="11"/>
        <color theme="10"/>
        <rFont val="맑은 고딕"/>
        <family val="3"/>
        <charset val="129"/>
        <scheme val="minor"/>
      </rPr>
      <t>통상임금 노무법인 예성</t>
    </r>
    <phoneticPr fontId="2" type="noConversion"/>
  </si>
  <si>
    <t>최저임금 노무법인 예성</t>
    <phoneticPr fontId="2" type="noConversion"/>
  </si>
  <si>
    <t>주휴수당 및 연차휴가 관련 고용노동부 행정해석 변경_2021-08-04 노무법인 예성</t>
    <phoneticPr fontId="2" type="noConversion"/>
  </si>
  <si>
    <t>2020-03-31 연차휴가 개정법 노무법인 예성</t>
    <phoneticPr fontId="2" type="noConversion"/>
  </si>
  <si>
    <t>[속보] 2022년 최저임금 확정! 계산법&amp;주의사항 등 최저임금의 모든 것!</t>
    <phoneticPr fontId="2" type="noConversion"/>
  </si>
  <si>
    <t xml:space="preserve"> / (8시간 + (1시간 x 1.5)) </t>
    <phoneticPr fontId="2" type="noConversion"/>
  </si>
  <si>
    <t>연장근로 통상임금의 100분의 50이상을 가산 지급</t>
    <phoneticPr fontId="2" type="noConversion"/>
  </si>
  <si>
    <r>
      <t xml:space="preserve">② 제1항에도 불구하고 사용자는 </t>
    </r>
    <r>
      <rPr>
        <b/>
        <sz val="11"/>
        <color rgb="FF7030A0"/>
        <rFont val="맑은 고딕"/>
        <family val="3"/>
        <charset val="129"/>
        <scheme val="minor"/>
      </rPr>
      <t>휴일근로</t>
    </r>
    <r>
      <rPr>
        <sz val="11"/>
        <color theme="1"/>
        <rFont val="맑은 고딕"/>
        <family val="2"/>
        <charset val="129"/>
        <scheme val="minor"/>
      </rPr>
      <t xml:space="preserve">에 대하여는 다음 각 호의 기준에 따른 금액 이상을 </t>
    </r>
    <r>
      <rPr>
        <b/>
        <u/>
        <sz val="11"/>
        <color rgb="FFFF0000"/>
        <rFont val="맑은 고딕"/>
        <family val="3"/>
        <charset val="129"/>
        <scheme val="minor"/>
      </rPr>
      <t>가산하여</t>
    </r>
    <r>
      <rPr>
        <sz val="11"/>
        <color theme="1"/>
        <rFont val="맑은 고딕"/>
        <family val="2"/>
        <charset val="129"/>
        <scheme val="minor"/>
      </rPr>
      <t xml:space="preserve"> 근로자에게 지급하여야 한다. [신설 2018.3.20]</t>
    </r>
    <phoneticPr fontId="2" type="noConversion"/>
  </si>
  <si>
    <t>연장근로수당, 휴일근로수당, 야간근로수당(시간외수당)계산법</t>
    <phoneticPr fontId="2" type="noConversion"/>
  </si>
  <si>
    <t>야간가산근로수당</t>
    <phoneticPr fontId="2" type="noConversion"/>
  </si>
  <si>
    <r>
      <t>야간</t>
    </r>
    <r>
      <rPr>
        <b/>
        <sz val="11"/>
        <color theme="9" tint="-0.499984740745262"/>
        <rFont val="맑은 고딕"/>
        <family val="3"/>
        <charset val="129"/>
        <scheme val="minor"/>
      </rPr>
      <t>가산</t>
    </r>
    <r>
      <rPr>
        <sz val="11"/>
        <color theme="1"/>
        <rFont val="맑은 고딕"/>
        <family val="2"/>
        <charset val="129"/>
        <scheme val="minor"/>
      </rPr>
      <t>근로수당</t>
    </r>
  </si>
  <si>
    <r>
      <t xml:space="preserve">③ 사용자는 </t>
    </r>
    <r>
      <rPr>
        <b/>
        <sz val="11"/>
        <color rgb="FF7030A0"/>
        <rFont val="맑은 고딕"/>
        <family val="3"/>
        <charset val="129"/>
        <scheme val="minor"/>
      </rPr>
      <t>야간근로</t>
    </r>
    <r>
      <rPr>
        <sz val="11"/>
        <color theme="1"/>
        <rFont val="맑은 고딕"/>
        <family val="2"/>
        <charset val="129"/>
        <scheme val="minor"/>
      </rPr>
      <t>(</t>
    </r>
    <r>
      <rPr>
        <b/>
        <sz val="11"/>
        <color rgb="FF7030A0"/>
        <rFont val="맑은 고딕"/>
        <family val="3"/>
        <charset val="129"/>
        <scheme val="minor"/>
      </rPr>
      <t>오후 10시부터 다음 날 오전 6시 사이의 근로</t>
    </r>
    <r>
      <rPr>
        <sz val="11"/>
        <color theme="1"/>
        <rFont val="맑은 고딕"/>
        <family val="2"/>
        <charset val="129"/>
        <scheme val="minor"/>
      </rPr>
      <t xml:space="preserve">를 말한다)에 대하여는 </t>
    </r>
    <r>
      <rPr>
        <b/>
        <u/>
        <sz val="11"/>
        <color rgb="FF0070C0"/>
        <rFont val="맑은 고딕"/>
        <family val="3"/>
        <charset val="129"/>
        <scheme val="minor"/>
      </rPr>
      <t xml:space="preserve">통상임금의 100분의 50 이상을 </t>
    </r>
    <r>
      <rPr>
        <b/>
        <u/>
        <sz val="11"/>
        <color rgb="FFC00000"/>
        <rFont val="맑은 고딕"/>
        <family val="3"/>
        <charset val="129"/>
        <scheme val="minor"/>
      </rPr>
      <t>가산</t>
    </r>
    <r>
      <rPr>
        <u/>
        <sz val="11"/>
        <color rgb="FFC00000"/>
        <rFont val="맑은 고딕"/>
        <family val="3"/>
        <charset val="129"/>
        <scheme val="minor"/>
      </rPr>
      <t>하여</t>
    </r>
    <r>
      <rPr>
        <sz val="11"/>
        <color theme="1"/>
        <rFont val="맑은 고딕"/>
        <family val="2"/>
        <charset val="129"/>
        <scheme val="minor"/>
      </rPr>
      <t xml:space="preserve"> 근로자에게 지급하여야 한다. [신설 2018.3.20]</t>
    </r>
    <phoneticPr fontId="2" type="noConversion"/>
  </si>
  <si>
    <t>4.345주 = 365일÷12개월÷7일</t>
    <phoneticPr fontId="2" type="noConversion"/>
  </si>
  <si>
    <t>=</t>
    <phoneticPr fontId="2" type="noConversion"/>
  </si>
  <si>
    <t>반올림</t>
    <phoneticPr fontId="2" type="noConversion"/>
  </si>
  <si>
    <t>1.</t>
    <phoneticPr fontId="2" type="noConversion"/>
  </si>
  <si>
    <t>209시간</t>
    <phoneticPr fontId="2" type="noConversion"/>
  </si>
  <si>
    <t>2.</t>
    <phoneticPr fontId="2" type="noConversion"/>
  </si>
  <si>
    <t>209시간 보다 적게 일하는 경우</t>
    <phoneticPr fontId="2" type="noConversion"/>
  </si>
  <si>
    <t>월</t>
    <phoneticPr fontId="2" type="noConversion"/>
  </si>
  <si>
    <t>화</t>
    <phoneticPr fontId="2" type="noConversion"/>
  </si>
  <si>
    <t>수</t>
    <phoneticPr fontId="2" type="noConversion"/>
  </si>
  <si>
    <t>목</t>
    <phoneticPr fontId="2" type="noConversion"/>
  </si>
  <si>
    <t>금</t>
    <phoneticPr fontId="2" type="noConversion"/>
  </si>
  <si>
    <t>토</t>
    <phoneticPr fontId="2" type="noConversion"/>
  </si>
  <si>
    <t>일</t>
    <phoneticPr fontId="2" type="noConversion"/>
  </si>
  <si>
    <t>계</t>
    <phoneticPr fontId="2" type="noConversion"/>
  </si>
  <si>
    <t>무급휴무</t>
    <phoneticPr fontId="2" type="noConversion"/>
  </si>
  <si>
    <t>유급휴무</t>
    <phoneticPr fontId="2" type="noConversion"/>
  </si>
  <si>
    <t>연장근로 이해하기</t>
    <phoneticPr fontId="2" type="noConversion"/>
  </si>
  <si>
    <t>50% 5인미만 ↓ ×</t>
    <phoneticPr fontId="2" type="noConversion"/>
  </si>
  <si>
    <t>① 1일 8시간</t>
    <phoneticPr fontId="2" type="noConversion"/>
  </si>
  <si>
    <t>② 1주 40시간</t>
    <phoneticPr fontId="2" type="noConversion"/>
  </si>
  <si>
    <t>연장근로시간 max (①,②)</t>
    <phoneticPr fontId="2" type="noConversion"/>
  </si>
  <si>
    <t>※ 공식</t>
    <phoneticPr fontId="2" type="noConversion"/>
  </si>
  <si>
    <t>①</t>
    <phoneticPr fontId="2" type="noConversion"/>
  </si>
  <si>
    <t>1주 연장 확인 (8시간, 40시간)</t>
    <phoneticPr fontId="2" type="noConversion"/>
  </si>
  <si>
    <t>②</t>
    <phoneticPr fontId="2" type="noConversion"/>
  </si>
  <si>
    <t>③</t>
    <phoneticPr fontId="2" type="noConversion"/>
  </si>
  <si>
    <t>1주 기본 확인 (1주 총근로시간 - ①)</t>
    <phoneticPr fontId="2" type="noConversion"/>
  </si>
  <si>
    <t>1달 기본 계산 (② + 주휴 × 4.345)</t>
    <phoneticPr fontId="2" type="noConversion"/>
  </si>
  <si>
    <t>④</t>
    <phoneticPr fontId="2" type="noConversion"/>
  </si>
  <si>
    <t>1달 연장 계산 (① × 4.345 × 1.5)</t>
    <phoneticPr fontId="2" type="noConversion"/>
  </si>
  <si>
    <t>⑤</t>
    <phoneticPr fontId="2" type="noConversion"/>
  </si>
  <si>
    <t>1달 근로시간 = ③ + ④</t>
    <phoneticPr fontId="2" type="noConversion"/>
  </si>
  <si>
    <t>근로시간</t>
    <phoneticPr fontId="2" type="noConversion"/>
  </si>
  <si>
    <t>ⓐ</t>
    <phoneticPr fontId="2" type="noConversion"/>
  </si>
  <si>
    <t>ⓑ</t>
    <phoneticPr fontId="2" type="noConversion"/>
  </si>
  <si>
    <t>8시간기준</t>
    <phoneticPr fontId="2" type="noConversion"/>
  </si>
  <si>
    <t>40시간 기준</t>
    <phoneticPr fontId="2" type="noConversion"/>
  </si>
  <si>
    <t xml:space="preserve">⑤ × 최저임금 </t>
    <phoneticPr fontId="2" type="noConversion"/>
  </si>
  <si>
    <t>ex 1)</t>
    <phoneticPr fontId="2" type="noConversion"/>
  </si>
  <si>
    <t>ex 2)</t>
    <phoneticPr fontId="2" type="noConversion"/>
  </si>
  <si>
    <t>3.</t>
    <phoneticPr fontId="2" type="noConversion"/>
  </si>
  <si>
    <t>4.</t>
    <phoneticPr fontId="2" type="noConversion"/>
  </si>
  <si>
    <t>휴일근로 이해하기</t>
    <phoneticPr fontId="2" type="noConversion"/>
  </si>
  <si>
    <t>일 안하기로 한 날 일하면 휴일근로</t>
    <phoneticPr fontId="2" type="noConversion"/>
  </si>
  <si>
    <t>휴일</t>
    <phoneticPr fontId="2" type="noConversion"/>
  </si>
  <si>
    <t>5.</t>
    <phoneticPr fontId="2" type="noConversion"/>
  </si>
  <si>
    <t>야간근로 이해하기</t>
    <phoneticPr fontId="2" type="noConversion"/>
  </si>
  <si>
    <t>22:00 ~ 06:00 (8시간 구간)</t>
    <phoneticPr fontId="2" type="noConversion"/>
  </si>
  <si>
    <t>50% 할증</t>
    <phoneticPr fontId="2" type="noConversion"/>
  </si>
  <si>
    <t>야간근무</t>
    <phoneticPr fontId="2" type="noConversion"/>
  </si>
  <si>
    <t>출근</t>
    <phoneticPr fontId="2" type="noConversion"/>
  </si>
  <si>
    <t>휴게</t>
    <phoneticPr fontId="2" type="noConversion"/>
  </si>
  <si>
    <t>퇴근</t>
    <phoneticPr fontId="2" type="noConversion"/>
  </si>
  <si>
    <t>야간</t>
    <phoneticPr fontId="2" type="noConversion"/>
  </si>
  <si>
    <t>엑셀 - 시간 계산(근무시간 계산하기 )</t>
    <phoneticPr fontId="2" type="noConversion"/>
  </si>
  <si>
    <t>2020년 급여계산1 (근로시간) 왕노무사TV</t>
    <phoneticPr fontId="2" type="noConversion"/>
  </si>
  <si>
    <t>2020년 급여계산2 (통상임금) 왕노무사TV</t>
    <phoneticPr fontId="2" type="noConversion"/>
  </si>
  <si>
    <t>[라이브] #세무사 #임금명세서 #노무사 세무사는 임금명세서를 작성, 확인할 수 없습니다. (by 박사영 노무사)</t>
    <phoneticPr fontId="2" type="noConversion"/>
  </si>
  <si>
    <t>회계사 · 세무사는 임금명세서를 작성, 확인할 수 없습니다. (by 박사영 노무사)</t>
    <phoneticPr fontId="2" type="noConversion"/>
  </si>
  <si>
    <t>통상임금 자동계산기</t>
    <phoneticPr fontId="2" type="noConversion"/>
  </si>
  <si>
    <t>월급</t>
    <phoneticPr fontId="2" type="noConversion"/>
  </si>
  <si>
    <t>최저임금(시급)</t>
    <phoneticPr fontId="2" type="noConversion"/>
  </si>
  <si>
    <r>
      <t xml:space="preserve">209시간 보다 적게 일하는 경우 - </t>
    </r>
    <r>
      <rPr>
        <sz val="11"/>
        <color rgb="FFFF0000"/>
        <rFont val="맑은 고딕"/>
        <family val="3"/>
        <charset val="129"/>
        <scheme val="minor"/>
      </rPr>
      <t>입력 용</t>
    </r>
    <phoneticPr fontId="2" type="noConversion"/>
  </si>
  <si>
    <t>주유급시간</t>
    <phoneticPr fontId="2" type="noConversion"/>
  </si>
  <si>
    <t>ⓐ</t>
    <phoneticPr fontId="2" type="noConversion"/>
  </si>
  <si>
    <t>ⓑ</t>
    <phoneticPr fontId="2" type="noConversion"/>
  </si>
  <si>
    <t>=ⓑ/ⓐ</t>
    <phoneticPr fontId="2" type="noConversion"/>
  </si>
  <si>
    <t>가장 정확한 주휴수당 계산하는 방법 (복잡하지만 이게 정확한 계산방법입니다)</t>
    <phoneticPr fontId="2" type="noConversion"/>
  </si>
  <si>
    <t>나와 같은 종류의 일을 하면서 나보다 오래 일하는 근로자가 있다면 → 나는 단시간 근로자</t>
    <phoneticPr fontId="2" type="noConversion"/>
  </si>
  <si>
    <t>나와 같은 종류의 일을 하면서 나보다 오래 일하는 근로자가 없다면 → 나는 통상 근로자</t>
    <phoneticPr fontId="2" type="noConversion"/>
  </si>
  <si>
    <t>※ 행정해석 같은 종류의 일 : 업무의 수행방법 작업의 조건 업무의 난이도 등을 종합적으로 고려해서 판단하고 특히 업무의 이질성으로 인해 근로조건이 현저하게 차이가 나는지가 중요하다고 합니다.</t>
    <phoneticPr fontId="2" type="noConversion"/>
  </si>
  <si>
    <t>1. 통상근로자 &amp; 근로시간이 규칙적인 경우</t>
    <phoneticPr fontId="2" type="noConversion"/>
  </si>
  <si>
    <t>2. 통상근로자 &amp; 근로시간이 불규칙적인 경우</t>
    <phoneticPr fontId="2" type="noConversion"/>
  </si>
  <si>
    <t>3. 단시간근로자 : 통상근로자의 소정근로일수에 따라 달라짐</t>
    <phoneticPr fontId="2" type="noConversion"/>
  </si>
  <si>
    <t>: 규칙적인 근로시간을 주휴시간으로</t>
    <phoneticPr fontId="2" type="noConversion"/>
  </si>
  <si>
    <t>: 주 40시간 비례해서 주휴시간 계산 (일주소정근로시간 / 5)</t>
    <phoneticPr fontId="2" type="noConversion"/>
  </si>
  <si>
    <t>노동청에서는 1주 5일 이상 규칙적인 근로시간이 있으면 규칙적이라고 보고</t>
    <phoneticPr fontId="2" type="noConversion"/>
  </si>
  <si>
    <t>노동청에서는 1주 5일 미만이라면 불규칙적으로 보는 것 같습니다.</t>
    <phoneticPr fontId="2" type="noConversion"/>
  </si>
  <si>
    <t>주휴시간</t>
    <phoneticPr fontId="2" type="noConversion"/>
  </si>
  <si>
    <t>계</t>
    <phoneticPr fontId="2" type="noConversion"/>
  </si>
  <si>
    <t>정확하게 계산하자면 6시간이 맞습니다.</t>
    <phoneticPr fontId="2" type="noConversion"/>
  </si>
  <si>
    <t>7시간이 5일이상 있으니깐 정확한 주휴시간은</t>
    <phoneticPr fontId="2" type="noConversion"/>
  </si>
  <si>
    <t>8시간이 5일 미만이라 불규칙</t>
    <phoneticPr fontId="2" type="noConversion"/>
  </si>
  <si>
    <t>7시간이 4일 밖에 없어서 불규칙</t>
    <phoneticPr fontId="2" type="noConversion"/>
  </si>
  <si>
    <r>
      <t xml:space="preserve">1주 소정근로시간 × </t>
    </r>
    <r>
      <rPr>
        <strike/>
        <sz val="11"/>
        <color theme="1"/>
        <rFont val="맑은 고딕"/>
        <family val="3"/>
        <charset val="129"/>
        <scheme val="minor"/>
      </rPr>
      <t>4주</t>
    </r>
    <phoneticPr fontId="2" type="noConversion"/>
  </si>
  <si>
    <r>
      <t>통산근로자의 1주 소정근로일수 ×</t>
    </r>
    <r>
      <rPr>
        <strike/>
        <sz val="11"/>
        <color theme="1"/>
        <rFont val="맑은 고딕"/>
        <family val="3"/>
        <charset val="129"/>
        <scheme val="minor"/>
      </rPr>
      <t xml:space="preserve"> 4주</t>
    </r>
    <phoneticPr fontId="2" type="noConversion"/>
  </si>
  <si>
    <t>소정근로일수</t>
    <phoneticPr fontId="2" type="noConversion"/>
  </si>
  <si>
    <t>통상근로자의 소정근로일수 알아보기</t>
    <phoneticPr fontId="2" type="noConversion"/>
  </si>
  <si>
    <t>5일까지는 주 40시간</t>
    <phoneticPr fontId="2" type="noConversion"/>
  </si>
  <si>
    <t>6일째 8시간은 연장근로시간</t>
    <phoneticPr fontId="2" type="noConversion"/>
  </si>
  <si>
    <t>5일까지는주 35시간</t>
    <phoneticPr fontId="2" type="noConversion"/>
  </si>
  <si>
    <t>6일째는 5시간은 소정근로시간 나머지 2시간은 연장근로시간</t>
    <phoneticPr fontId="2" type="noConversion"/>
  </si>
  <si>
    <t>6일에도 소정근로시간이 있으니깐</t>
    <phoneticPr fontId="2" type="noConversion"/>
  </si>
  <si>
    <t>먼저 주휴수당 시트 tab 확인</t>
    <phoneticPr fontId="2" type="noConversion"/>
  </si>
  <si>
    <t>★ 정확한 주휴수당</t>
    <phoneticPr fontId="2" type="noConversion"/>
  </si>
  <si>
    <t>하단 소정근로시간이 주 40시간 일 경우</t>
    <phoneticPr fontId="2" type="noConversion"/>
  </si>
  <si>
    <t>2020년 급여계산2 (통상임금) 왕노무사TV</t>
    <phoneticPr fontId="2" type="noConversion"/>
  </si>
  <si>
    <t>근로소득 간이세액표(제189조 제1항 관련)</t>
    <phoneticPr fontId="105" type="noConversion"/>
  </si>
  <si>
    <t>(단위: 원)</t>
  </si>
  <si>
    <t>월급여액(천원)</t>
  </si>
  <si>
    <t>공제대상가족의 수</t>
  </si>
  <si>
    <t>[비과세 및 학자금 제외］</t>
  </si>
  <si>
    <t>이상</t>
  </si>
  <si>
    <t>미만</t>
  </si>
  <si>
    <t>+</t>
    <phoneticPr fontId="2" type="noConversion"/>
  </si>
  <si>
    <t>-</t>
    <phoneticPr fontId="2" type="noConversion"/>
  </si>
  <si>
    <t>10,000천원 초과</t>
  </si>
  <si>
    <t>(10,000천원인 경우의 해당 세액) + (10,000천원을 초과하는 금액에 98퍼센트를 곱한 금액의 35퍼센트 상당액)</t>
    <phoneticPr fontId="105" type="noConversion"/>
  </si>
  <si>
    <t>14,000천원 이하</t>
  </si>
  <si>
    <t>14,000천원 초과</t>
  </si>
  <si>
    <t xml:space="preserve">(10,000천원인 경우의 해당세액) + (1,372,000원) + (14,000천원을 초과하는 금액에 98퍼센트를 곱한 금액의 38퍼센트 상당액) </t>
    <phoneticPr fontId="105" type="noConversion"/>
  </si>
  <si>
    <t>28,000천원 이하</t>
  </si>
  <si>
    <t>28,000천원 초과</t>
    <phoneticPr fontId="105" type="noConversion"/>
  </si>
  <si>
    <t xml:space="preserve">(10,000천원인 경우의 해당세액) + (6,585,600원) + (28,000천원을 초과하는 금액에 98퍼센트를 곱한 금액의 40퍼센트 상당액) </t>
    <phoneticPr fontId="105" type="noConversion"/>
  </si>
  <si>
    <t>30,000천원 이하</t>
    <phoneticPr fontId="105" type="noConversion"/>
  </si>
  <si>
    <t>30,000천원 초과</t>
    <phoneticPr fontId="105" type="noConversion"/>
  </si>
  <si>
    <t xml:space="preserve">(10,000천원인 경우의 해당세액) + (7,369,600원) + (30,000천원을 초과하는 금액의 40퍼센트 상당액) </t>
    <phoneticPr fontId="105" type="noConversion"/>
  </si>
  <si>
    <t>45,000천원 이하</t>
  </si>
  <si>
    <t>45,000천원 초과</t>
    <phoneticPr fontId="105" type="noConversion"/>
  </si>
  <si>
    <t xml:space="preserve">(10,000천원인 경우의 해당세액) + (13,369,600원) + (45,000천원을 초과하는 금액의 42퍼센트 상당액) </t>
    <phoneticPr fontId="105" type="noConversion"/>
  </si>
  <si>
    <t>87,000천원 이하</t>
    <phoneticPr fontId="105" type="noConversion"/>
  </si>
  <si>
    <t>87,000천원 초과</t>
    <phoneticPr fontId="105" type="noConversion"/>
  </si>
  <si>
    <t xml:space="preserve">(10,000천원인 경우의 해당세액) + (31,009,600원) + (87,000천원을 초과하는 금액의 45퍼센트 상당액) </t>
    <phoneticPr fontId="105" type="noConversion"/>
  </si>
  <si>
    <t>`</t>
    <phoneticPr fontId="105" type="noConversion"/>
  </si>
  <si>
    <t>과세소득</t>
    <phoneticPr fontId="2" type="noConversion"/>
  </si>
  <si>
    <t>비과세소득</t>
    <phoneticPr fontId="2" type="noConversion"/>
  </si>
  <si>
    <t>지급액계</t>
    <phoneticPr fontId="2" type="noConversion"/>
  </si>
  <si>
    <t>공인노무사가 공개하는 내 급여 직접 계산하기(소정근로시간, 주휴수당, 최저임금)</t>
    <phoneticPr fontId="2" type="noConversion"/>
  </si>
  <si>
    <t>★ 시급· 일용직 주휴시간 주의사항</t>
    <phoneticPr fontId="2" type="noConversion"/>
  </si>
  <si>
    <t xml:space="preserve">   이런게 달라지기 때문에 매월에 급여가 달라질 수가 있습니다.</t>
    <phoneticPr fontId="2" type="noConversion"/>
  </si>
  <si>
    <t>1. 한달의 일수도 다르고 ,한달의 주휴일 (일요일)4번 포함되느냐(일요일)5번포함되느냐</t>
    <phoneticPr fontId="2" type="noConversion"/>
  </si>
  <si>
    <t>주휴일</t>
    <phoneticPr fontId="2" type="noConversion"/>
  </si>
  <si>
    <t>주</t>
    <phoneticPr fontId="2" type="noConversion"/>
  </si>
  <si>
    <t>차액</t>
    <phoneticPr fontId="2" type="noConversion"/>
  </si>
  <si>
    <t>월(평균)주휴수당</t>
    <phoneticPr fontId="2" type="noConversion"/>
  </si>
  <si>
    <t>실제지급책정액</t>
    <phoneticPr fontId="2" type="noConversion"/>
  </si>
  <si>
    <t>주 소정 실제 근로일수</t>
    <phoneticPr fontId="2" type="noConversion"/>
  </si>
  <si>
    <t>임금(일용직·시급직)명세서</t>
    <phoneticPr fontId="2" type="noConversion"/>
  </si>
  <si>
    <r>
      <t xml:space="preserve">① 당사자 간에 합의하면 </t>
    </r>
    <r>
      <rPr>
        <b/>
        <u/>
        <sz val="11"/>
        <color theme="5"/>
        <rFont val="맑은 고딕"/>
        <family val="3"/>
        <charset val="129"/>
        <scheme val="minor"/>
      </rPr>
      <t>1주 간에 12시간을 한도</t>
    </r>
    <r>
      <rPr>
        <sz val="11"/>
        <color theme="1"/>
        <rFont val="맑은 고딕"/>
        <family val="2"/>
        <charset val="129"/>
        <scheme val="minor"/>
      </rPr>
      <t>로 제50조(근로시간)의 근로시간을 연장할 수 있다.</t>
    </r>
    <phoneticPr fontId="2" type="noConversion"/>
  </si>
  <si>
    <r>
      <t>① 사용자는 근로시간이</t>
    </r>
    <r>
      <rPr>
        <b/>
        <u/>
        <sz val="11"/>
        <color theme="5"/>
        <rFont val="맑은 고딕"/>
        <family val="3"/>
        <charset val="129"/>
        <scheme val="minor"/>
      </rPr>
      <t xml:space="preserve"> 4시간인 경우에는 30분 이상</t>
    </r>
    <r>
      <rPr>
        <sz val="11"/>
        <color theme="1"/>
        <rFont val="맑은 고딕"/>
        <family val="2"/>
        <charset val="129"/>
        <scheme val="minor"/>
      </rPr>
      <t xml:space="preserve">, </t>
    </r>
    <r>
      <rPr>
        <b/>
        <u/>
        <sz val="11"/>
        <color theme="5"/>
        <rFont val="맑은 고딕"/>
        <family val="3"/>
        <charset val="129"/>
        <scheme val="minor"/>
      </rPr>
      <t>8시간인 경우에는 1시간 이상의 휴게시간</t>
    </r>
    <r>
      <rPr>
        <sz val="11"/>
        <color theme="1"/>
        <rFont val="맑은 고딕"/>
        <family val="2"/>
        <charset val="129"/>
        <scheme val="minor"/>
      </rPr>
      <t>을 근로시간 도중에 주어야 한다.</t>
    </r>
    <phoneticPr fontId="2" type="noConversion"/>
  </si>
  <si>
    <r>
      <t xml:space="preserve">① 사용자는 근로자에게 </t>
    </r>
    <r>
      <rPr>
        <b/>
        <u/>
        <sz val="11"/>
        <color theme="5"/>
        <rFont val="맑은 고딕"/>
        <family val="3"/>
        <charset val="129"/>
        <scheme val="minor"/>
      </rPr>
      <t>1주에 평균 1회 이상의 유급휴일을 보장</t>
    </r>
    <r>
      <rPr>
        <sz val="11"/>
        <color theme="1"/>
        <rFont val="맑은 고딕"/>
        <family val="2"/>
        <charset val="129"/>
        <scheme val="minor"/>
      </rPr>
      <t>하여야 한다. [개정 2018.3.20] [[시행일 2018.7.1]]</t>
    </r>
    <phoneticPr fontId="2" type="noConversion"/>
  </si>
  <si>
    <r>
      <rPr>
        <b/>
        <sz val="11"/>
        <color theme="5"/>
        <rFont val="맑은 고딕"/>
        <family val="3"/>
        <charset val="129"/>
        <scheme val="minor"/>
      </rPr>
      <t>근로시간</t>
    </r>
    <r>
      <rPr>
        <b/>
        <sz val="11"/>
        <color theme="5" tint="-0.499984740745262"/>
        <rFont val="맑은 고딕"/>
        <family val="3"/>
        <charset val="129"/>
        <scheme val="minor"/>
      </rPr>
      <t xml:space="preserve"> = 근무시간 </t>
    </r>
    <r>
      <rPr>
        <b/>
        <sz val="11"/>
        <color theme="5"/>
        <rFont val="맑은 고딕"/>
        <family val="3"/>
        <charset val="129"/>
        <scheme val="minor"/>
      </rPr>
      <t>- 휴게시간</t>
    </r>
    <phoneticPr fontId="2" type="noConversion"/>
  </si>
  <si>
    <t>주</t>
    <phoneticPr fontId="2" type="noConversion"/>
  </si>
  <si>
    <t>사회보험통합징수포털</t>
    <phoneticPr fontId="2" type="noConversion"/>
  </si>
  <si>
    <t>https://si4n.nhis.or.kr/</t>
    <phoneticPr fontId="2" type="noConversion"/>
  </si>
  <si>
    <t>4대보험 고지내역 확인</t>
    <phoneticPr fontId="2" type="noConversion"/>
  </si>
  <si>
    <t>고지 보수금액</t>
    <phoneticPr fontId="2" type="noConversion"/>
  </si>
  <si>
    <t>상기 급여(임금) 과세총액기준</t>
    <phoneticPr fontId="2" type="noConversion"/>
  </si>
  <si>
    <t>18세미만 or 60세이상(60세가 된때) 제외</t>
    <phoneticPr fontId="2" type="noConversion"/>
  </si>
  <si>
    <t>서식출처 다음카페 : 조세실</t>
    <phoneticPr fontId="2" type="noConversion"/>
  </si>
  <si>
    <t>http://café.daum.net/transtax</t>
    <phoneticPr fontId="2" type="noConversion"/>
  </si>
  <si>
    <t xml:space="preserve">주민등록번호(住民登錄番號, Resident Registration Number, RRN)는 주민등록법에 의해 부여되며, 대한민국에서 대한민국 이외에 거주하지 않는 모든 국민에게 발급하는 주민등록증에 적혀있는 식별 번호이다. </t>
    <phoneticPr fontId="2" type="noConversion"/>
  </si>
  <si>
    <t xml:space="preserve">1968년 11월 21일부터 간첩 식별 편의 등의 목적으로 주민등록증이 발급되면서 부여되기 시작했다.
</t>
    <phoneticPr fontId="2" type="noConversion"/>
  </si>
  <si>
    <r>
      <t>외국인등록번호(국내거소신고번호) 부여체계 개선 시행 -&gt;</t>
    </r>
    <r>
      <rPr>
        <b/>
        <sz val="11"/>
        <color rgb="FFFF0000"/>
        <rFont val="맑은 고딕"/>
        <family val="3"/>
        <charset val="129"/>
        <scheme val="minor"/>
      </rPr>
      <t xml:space="preserve"> 2012.6.1이후</t>
    </r>
    <r>
      <rPr>
        <sz val="11"/>
        <color theme="1"/>
        <rFont val="맑은 고딕"/>
        <family val="2"/>
        <charset val="129"/>
        <scheme val="minor"/>
      </rPr>
      <t>부터 신분 식별번호를 없애고 주민등록번호와 같이 맨 마지막 검증번호만을 관리하는 1인 1번호 체계로 시행</t>
    </r>
    <phoneticPr fontId="2" type="noConversion"/>
  </si>
  <si>
    <r>
      <rPr>
        <sz val="11"/>
        <color theme="1"/>
        <rFont val="맑은 고딕"/>
        <family val="3"/>
        <charset val="129"/>
        <scheme val="minor"/>
      </rPr>
      <t>=IF(OR(MID(A1,8,1)="1",MID(A1,81,1)="3")," 남","여")</t>
    </r>
    <phoneticPr fontId="2" type="noConversion"/>
  </si>
  <si>
    <t xml:space="preserve">현재 주민등록번호는 총 13자리의 숫자로, 다음과 같이 표기한다.
</t>
    <phoneticPr fontId="2" type="noConversion"/>
  </si>
  <si>
    <t xml:space="preserve">ㄱㄴㄷㄹㅁㅂ ‒ ㅅㅇㅈㅊㅋㅌㅍ 
</t>
    <phoneticPr fontId="2" type="noConversion"/>
  </si>
  <si>
    <t>ㄱㄴㄷㄹ ㅁ ㅂ</t>
    <phoneticPr fontId="2" type="noConversion"/>
  </si>
  <si>
    <t>ㅅ</t>
    <phoneticPr fontId="2" type="noConversion"/>
  </si>
  <si>
    <t>ㅇㅈㅊㅋ</t>
    <phoneticPr fontId="2" type="noConversion"/>
  </si>
  <si>
    <t>ㅇㅈ</t>
    <phoneticPr fontId="2" type="noConversion"/>
  </si>
  <si>
    <t>ㅊㅋ</t>
    <phoneticPr fontId="2" type="noConversion"/>
  </si>
  <si>
    <t>ㅌ</t>
    <phoneticPr fontId="2" type="noConversion"/>
  </si>
  <si>
    <t>ㅍ</t>
    <phoneticPr fontId="2" type="noConversion"/>
  </si>
  <si>
    <t>8 9 10 11</t>
    <phoneticPr fontId="2" type="noConversion"/>
  </si>
  <si>
    <t>8 9</t>
    <phoneticPr fontId="2" type="noConversion"/>
  </si>
  <si>
    <t>10 11</t>
    <phoneticPr fontId="2" type="noConversion"/>
  </si>
  <si>
    <t>12</t>
    <phoneticPr fontId="2" type="noConversion"/>
  </si>
  <si>
    <t>13</t>
    <phoneticPr fontId="2" type="noConversion"/>
  </si>
  <si>
    <t xml:space="preserve">‘ㅅ’은 성별을 나타낸다. </t>
    <phoneticPr fontId="2" type="noConversion"/>
  </si>
  <si>
    <t>출생등록지(신고한) 고유번호</t>
    <phoneticPr fontId="2" type="noConversion"/>
  </si>
  <si>
    <t>00~08:서울</t>
    <phoneticPr fontId="2" type="noConversion"/>
  </si>
  <si>
    <t>출생등록 읍명동사무소</t>
    <phoneticPr fontId="2" type="noConversion"/>
  </si>
  <si>
    <t>9-순수외국인</t>
    <phoneticPr fontId="2" type="noConversion"/>
  </si>
  <si>
    <t>검증숫자</t>
    <phoneticPr fontId="2" type="noConversion"/>
  </si>
  <si>
    <t>외국국적동포</t>
    <phoneticPr fontId="2" type="noConversion"/>
  </si>
  <si>
    <t xml:space="preserve">9: 1800 ~ 1899년에 태어난 남성 </t>
    <phoneticPr fontId="2" type="noConversion"/>
  </si>
  <si>
    <t>09~12:부산</t>
    <phoneticPr fontId="2" type="noConversion"/>
  </si>
  <si>
    <t>8-재외국민</t>
    <phoneticPr fontId="2" type="noConversion"/>
  </si>
  <si>
    <t>재외국민</t>
    <phoneticPr fontId="2" type="noConversion"/>
  </si>
  <si>
    <t xml:space="preserve">0: 1800 ~ 1899년에 태어난 여성 </t>
    <phoneticPr fontId="2" type="noConversion"/>
  </si>
  <si>
    <t>13~15:인천</t>
    <phoneticPr fontId="2" type="noConversion"/>
  </si>
  <si>
    <t>7-외국국적동포</t>
    <phoneticPr fontId="2" type="noConversion"/>
  </si>
  <si>
    <t>순수외국인</t>
    <phoneticPr fontId="2" type="noConversion"/>
  </si>
  <si>
    <t xml:space="preserve">1: 1900 ~ 1999년에 태어난 남성 </t>
    <phoneticPr fontId="2" type="noConversion"/>
  </si>
  <si>
    <t>16~18:경기주요도시</t>
    <phoneticPr fontId="2" type="noConversion"/>
  </si>
  <si>
    <t xml:space="preserve">2: 1900 ~ 1999년에 태어난 여성 </t>
    <phoneticPr fontId="2" type="noConversion"/>
  </si>
  <si>
    <t>19~25:그외경기도지역</t>
    <phoneticPr fontId="2" type="noConversion"/>
  </si>
  <si>
    <t xml:space="preserve">3: 2000 ~ 2099년에 태어난 남성 </t>
    <phoneticPr fontId="2" type="noConversion"/>
  </si>
  <si>
    <t>26~34:강원도</t>
    <phoneticPr fontId="2" type="noConversion"/>
  </si>
  <si>
    <t xml:space="preserve">4: 2000 ~ 2099년에 태어난 여성 </t>
    <phoneticPr fontId="2" type="noConversion"/>
  </si>
  <si>
    <t>35~39:충청북도</t>
    <phoneticPr fontId="2" type="noConversion"/>
  </si>
  <si>
    <t xml:space="preserve">5: 1900 ~ 1999년에 태어난 외국인 남성 </t>
    <phoneticPr fontId="2" type="noConversion"/>
  </si>
  <si>
    <t>40~47:충청남도</t>
    <phoneticPr fontId="2" type="noConversion"/>
  </si>
  <si>
    <t xml:space="preserve">6: 1900 ~ 1999년에 태어난 외국인 여성 </t>
    <phoneticPr fontId="2" type="noConversion"/>
  </si>
  <si>
    <t>44,96 : 세종특별자치시</t>
    <phoneticPr fontId="2" type="noConversion"/>
  </si>
  <si>
    <t>내국인</t>
    <phoneticPr fontId="2" type="noConversion"/>
  </si>
  <si>
    <t>if(((11 - (sum % 11)) % 10) == Number(ssn.substr(12,1)))</t>
    <phoneticPr fontId="2" type="noConversion"/>
  </si>
  <si>
    <t xml:space="preserve">7: 2000 ~ 2099년에 태어난 외국인 남성 </t>
    <phoneticPr fontId="2" type="noConversion"/>
  </si>
  <si>
    <t>48~54:전라북도</t>
    <phoneticPr fontId="2" type="noConversion"/>
  </si>
  <si>
    <t>외국인</t>
    <phoneticPr fontId="2" type="noConversion"/>
  </si>
  <si>
    <r>
      <t xml:space="preserve">if((((11 - (sum % 11)) % 10 </t>
    </r>
    <r>
      <rPr>
        <sz val="11"/>
        <color rgb="FFFF0000"/>
        <rFont val="맑은 고딕"/>
        <family val="3"/>
        <charset val="129"/>
        <scheme val="minor"/>
      </rPr>
      <t>+ 2) % 10</t>
    </r>
    <r>
      <rPr>
        <sz val="11"/>
        <color theme="1"/>
        <rFont val="맑은 고딕"/>
        <family val="2"/>
        <charset val="129"/>
        <scheme val="minor"/>
      </rPr>
      <t>) == Number(ssn.substr(12, 1)))</t>
    </r>
    <phoneticPr fontId="2" type="noConversion"/>
  </si>
  <si>
    <t xml:space="preserve">8: 2000 ~ 2099년에 태어난 외국인 여성 </t>
    <phoneticPr fontId="2" type="noConversion"/>
  </si>
  <si>
    <t>55~66:전라남도</t>
    <phoneticPr fontId="2" type="noConversion"/>
  </si>
  <si>
    <t xml:space="preserve">뒷자리 첫 번호가 5,6,7,8번으로 시작하면 주민등록번호가 아닌 외국인 등록번호이다 </t>
    <phoneticPr fontId="2" type="noConversion"/>
  </si>
  <si>
    <t>81~90:경상남도</t>
    <phoneticPr fontId="2" type="noConversion"/>
  </si>
  <si>
    <t>67~81경상북도</t>
    <phoneticPr fontId="2" type="noConversion"/>
  </si>
  <si>
    <t>65,66:광주</t>
    <phoneticPr fontId="2" type="noConversion"/>
  </si>
  <si>
    <t>67~70:대구</t>
    <phoneticPr fontId="2" type="noConversion"/>
  </si>
  <si>
    <t>85:울산</t>
    <phoneticPr fontId="2" type="noConversion"/>
  </si>
  <si>
    <t>91~95:제주특별자치도</t>
    <phoneticPr fontId="2" type="noConversion"/>
  </si>
  <si>
    <t>ㅇ. 일용직 반드시 사업용계좌 또는 법인계좌에서 이체시킬것.</t>
    <phoneticPr fontId="2" type="noConversion"/>
  </si>
  <si>
    <t>ㅇ. 일용직조사 - 일용직근로자 수령자 부인,군대,장기입원,해외,교도서 수감자</t>
    <phoneticPr fontId="2" type="noConversion"/>
  </si>
  <si>
    <t>ㅇ. 신분증복사본보관(학생은 학생증보관)</t>
    <phoneticPr fontId="2" type="noConversion"/>
  </si>
  <si>
    <t>ㅇ. 4대보험가입주의</t>
    <phoneticPr fontId="2" type="noConversion"/>
  </si>
  <si>
    <t>출입국관리사무소및 비자종류CHECK</t>
    <phoneticPr fontId="2" type="noConversion"/>
  </si>
  <si>
    <t>주민등록번호</t>
    <phoneticPr fontId="2" type="noConversion"/>
  </si>
  <si>
    <t>맨 끝검정코드</t>
    <phoneticPr fontId="2" type="noConversion"/>
  </si>
  <si>
    <t>오류체크</t>
    <phoneticPr fontId="2" type="noConversion"/>
  </si>
  <si>
    <t>만나이(오늘)</t>
    <phoneticPr fontId="2" type="noConversion"/>
  </si>
  <si>
    <t>만(기준일)</t>
    <phoneticPr fontId="2" type="noConversion"/>
  </si>
  <si>
    <t>만나이(기준일)</t>
    <phoneticPr fontId="2" type="noConversion"/>
  </si>
  <si>
    <t>성별</t>
    <phoneticPr fontId="2" type="noConversion"/>
  </si>
  <si>
    <t>내.외번호</t>
    <phoneticPr fontId="2" type="noConversion"/>
  </si>
  <si>
    <t>내,외</t>
    <phoneticPr fontId="2" type="noConversion"/>
  </si>
  <si>
    <t>고용허가</t>
    <phoneticPr fontId="2" type="noConversion"/>
  </si>
  <si>
    <t>ㅇㅈ-검증</t>
    <phoneticPr fontId="2" type="noConversion"/>
  </si>
  <si>
    <t>체크</t>
    <phoneticPr fontId="2" type="noConversion"/>
  </si>
  <si>
    <t>길이CHECK</t>
    <phoneticPr fontId="2" type="noConversion"/>
  </si>
  <si>
    <t>외국인구분</t>
    <phoneticPr fontId="2" type="noConversion"/>
  </si>
  <si>
    <t>가족수당 계산 기초사항</t>
    <phoneticPr fontId="2" type="noConversion"/>
  </si>
  <si>
    <t>관리직</t>
    <phoneticPr fontId="2" type="noConversion"/>
  </si>
  <si>
    <t>idtax@hanmail.net</t>
    <phoneticPr fontId="2" type="noConversion"/>
  </si>
  <si>
    <t>이체 은행/계좌번호</t>
    <phoneticPr fontId="2" type="noConversion"/>
  </si>
  <si>
    <t>단위: 원(KRW;WON)</t>
    <phoneticPr fontId="2" type="noConversion"/>
  </si>
  <si>
    <t>노무직(일용직)</t>
    <phoneticPr fontId="2" type="noConversion"/>
  </si>
  <si>
    <t>삼성전자천안캠퍼스</t>
    <phoneticPr fontId="2" type="noConversion"/>
  </si>
  <si>
    <t>부서(현장) / 직급</t>
    <phoneticPr fontId="2" type="noConversion"/>
  </si>
  <si>
    <t>용접</t>
    <phoneticPr fontId="2" type="noConversion"/>
  </si>
  <si>
    <t>X</t>
    <phoneticPr fontId="2" type="noConversion"/>
  </si>
  <si>
    <t>목표값 찾기</t>
    <phoneticPr fontId="2" type="noConversion"/>
  </si>
  <si>
    <t>기본급</t>
    <phoneticPr fontId="105" type="noConversion"/>
  </si>
  <si>
    <t>가족수당</t>
    <phoneticPr fontId="105" type="noConversion"/>
  </si>
  <si>
    <t>자녀보육(육아)수당(非)</t>
    <phoneticPr fontId="105" type="noConversion"/>
  </si>
  <si>
    <t>자가운전보조금(非)</t>
    <phoneticPr fontId="105" type="noConversion"/>
  </si>
  <si>
    <t>식대보조금(非)</t>
    <phoneticPr fontId="105" type="noConversion"/>
  </si>
  <si>
    <t>급여소급분(+,△)정산)</t>
    <phoneticPr fontId="105" type="noConversion"/>
  </si>
  <si>
    <t>배우자</t>
    <phoneticPr fontId="105" type="noConversion"/>
  </si>
  <si>
    <t>자녀</t>
    <phoneticPr fontId="105" type="noConversion"/>
  </si>
  <si>
    <t>매월
지급</t>
    <phoneticPr fontId="105" type="noConversion"/>
  </si>
  <si>
    <t>격월
또는
부정기
지급</t>
    <phoneticPr fontId="105" type="noConversion"/>
  </si>
  <si>
    <t>지급액 계</t>
    <phoneticPr fontId="105" type="noConversion"/>
  </si>
  <si>
    <t>통상임금 조정</t>
    <phoneticPr fontId="105" type="noConversion"/>
  </si>
  <si>
    <t>근로소득세</t>
    <phoneticPr fontId="105" type="noConversion"/>
  </si>
  <si>
    <t>https://cafe.daum.net/transtax/CUf2/286</t>
    <phoneticPr fontId="105" type="noConversion"/>
  </si>
  <si>
    <t>1. 무제한 연장근무 가능</t>
    <phoneticPr fontId="105" type="noConversion"/>
  </si>
  <si>
    <t>4. 연차휴가 ×</t>
    <phoneticPr fontId="105" type="noConversion"/>
  </si>
  <si>
    <t>5. 여성노동자 보건휴가·수유시간 ×</t>
    <phoneticPr fontId="105" type="noConversion"/>
  </si>
  <si>
    <t>6. '직장내 괴롭힘 금지' 미적용</t>
    <phoneticPr fontId="105" type="noConversion"/>
  </si>
  <si>
    <t>연장(기본)근로수당</t>
    <phoneticPr fontId="105" type="noConversion"/>
  </si>
  <si>
    <t>휴일(기본)근로수당</t>
    <phoneticPr fontId="105" type="noConversion"/>
  </si>
  <si>
    <t>야간근로수당</t>
    <phoneticPr fontId="105" type="noConversion"/>
  </si>
  <si>
    <t>'5인 미만 사업장' 적용 ×</t>
    <phoneticPr fontId="105" type="noConversion"/>
  </si>
  <si>
    <t>'5인 미만 사업장' 적용 ○</t>
    <phoneticPr fontId="105" type="noConversion"/>
  </si>
  <si>
    <t>1. 근로계약서 작성 교부</t>
    <phoneticPr fontId="2" type="noConversion"/>
  </si>
  <si>
    <t>2. 해고예고제도</t>
    <phoneticPr fontId="2" type="noConversion"/>
  </si>
  <si>
    <t>3. 최저임금</t>
    <phoneticPr fontId="2" type="noConversion"/>
  </si>
  <si>
    <t>4. 퇴직금</t>
    <phoneticPr fontId="2" type="noConversion"/>
  </si>
  <si>
    <t>5. 주휴수당</t>
    <phoneticPr fontId="2" type="noConversion"/>
  </si>
  <si>
    <t>2. 해고제한법리 (이유불문 부당해고 가능)</t>
    <phoneticPr fontId="105" type="noConversion"/>
  </si>
  <si>
    <t>7. 휴업수당 ×</t>
    <phoneticPr fontId="2" type="noConversion"/>
  </si>
  <si>
    <t>3. 연장야간·휴일 가산수당 ×</t>
    <phoneticPr fontId="105" type="noConversion"/>
  </si>
  <si>
    <t>근로기준법 시행령 제7조의2(상시 사용하는 근로자 수의 산정 방법)</t>
    <phoneticPr fontId="2" type="noConversion"/>
  </si>
  <si>
    <t xml:space="preserve">① 법 제11조(적용 범위)제3항에 따른 "상시 사용하는 근로자 수"는 해당 사업 또는 사업장에서 법 적용 사유(휴업수당 지급, 근로시간 적용 등 법 또는 이 영의 적용 여부를 판단하여야 하는 사유를 말한다. 이하 이 조에서 같다) </t>
    <phoneticPr fontId="2" type="noConversion"/>
  </si>
  <si>
    <t xml:space="preserve">    발생일 전 1개월(사업이 성립한 날부터 1개월 미만인 경우에는 그 사업이 성립한 날 이후의 기간을 말한다. 이하 "산정기간"이라 한다) 동안 사용한 근로자의 연인원을 같은 기간 중의 가동 일수로 나누어 산정한다.</t>
    <phoneticPr fontId="2" type="noConversion"/>
  </si>
  <si>
    <t xml:space="preserve">② 제1항에도 불구하고 다음 각 호의 구분에 따라 그 사업 또는 사업장에 대하여 5명(법 제93조의 적용 여부를 판단하는 경우에는 10명을 말한다. 이하 이 조에서 "법 적용 기준"이라 한다) 이상의 근로자를 </t>
    <phoneticPr fontId="2" type="noConversion"/>
  </si>
  <si>
    <t xml:space="preserve">    사용하는 사업 또는 사업장(이하 이 조에서 "법 적용 사업 또는 사업장"이라 한다)으로 보거나 법 적용 사업 또는 사업장으로 보지 않는다. </t>
    <phoneticPr fontId="2" type="noConversion"/>
  </si>
  <si>
    <t xml:space="preserve">1. 법 적용 사업 또는 사업장으로 보는 경우: 제1항에 따라 해당 사업 또는 사업장의 근로자 수를 산정한 결과 법 적용 사업 또는 사업장에 해당하지 않는 경우에도 산정기간에 속하는 일(日)별로 근로자 수를 파악하였을 때 </t>
    <phoneticPr fontId="2" type="noConversion"/>
  </si>
  <si>
    <t xml:space="preserve">   법 적용 기준에 미달한 일수(日數)가 2분의 1 미만인 경우</t>
    <phoneticPr fontId="2" type="noConversion"/>
  </si>
  <si>
    <t xml:space="preserve">2. 법 적용 사업 또는 사업장으로 보지 않는 경우: 제1항에 따라 해당 사업 또는 사업장의 근로자 수를 산정한 결과 법 적용 사업 또는 사업장에 해당하는 경우에도 산정기간에 속하는 일별로 근로자 수를 파악하였을 때 </t>
    <phoneticPr fontId="2" type="noConversion"/>
  </si>
  <si>
    <t xml:space="preserve">   법 적용 기준에 미달한 일수가 2분의 1 이상인 경우</t>
    <phoneticPr fontId="2" type="noConversion"/>
  </si>
  <si>
    <t xml:space="preserve">③ 법 제60조부터 제62조까지의 규정(제60조제2항에 따른 연차유급휴가에 관한 부분은 제외한다)의 적용 여부를 판단하는 경우에 해당 사업 또는 사업장에 대하여 </t>
    <phoneticPr fontId="2" type="noConversion"/>
  </si>
  <si>
    <t xml:space="preserve">   제1항 및 제2항에 따라 월 단위로 근로자 수를 산정한 결과 법 적용 사유 발생일 전 1년 동안 계속하여 5명 이상의 근로자를 사용하는 사업 또는 사업장은 법 적용 사업 또는 사업장으로 본다.</t>
    <phoneticPr fontId="2" type="noConversion"/>
  </si>
  <si>
    <t>④ 제1항의 연인원에는 「파견근로자보호 등에 관한 법률」 제2조(정의)제5호에 따른 파견근로자를 제외한 다음 각 호의 근로자 모두를 포함한다. [개정 2018.6.29]</t>
    <phoneticPr fontId="2" type="noConversion"/>
  </si>
  <si>
    <t xml:space="preserve">   2. 해당 사업 또는 사업장에 동거하는 친족과 함께 제1호에 해당하는 근로자가 1명이라도 있으면 동거하는 친족인 근로자</t>
    <phoneticPr fontId="2" type="noConversion"/>
  </si>
  <si>
    <t>10명 미만</t>
    <phoneticPr fontId="2" type="noConversion"/>
  </si>
  <si>
    <t>1. 취업규칙 ×</t>
    <phoneticPr fontId="2" type="noConversion"/>
  </si>
  <si>
    <t>10명 이상</t>
    <phoneticPr fontId="2" type="noConversion"/>
  </si>
  <si>
    <t>1. 취업규칙 ○</t>
    <phoneticPr fontId="2" type="noConversion"/>
  </si>
  <si>
    <t xml:space="preserve">    1. 해당 사업 또는 사업장에서 사용하는 통상 근로자, 「기간제 및 단시간근로자 보호 등에 관한 법률」 제2조제1호에 따른 기간제근로자, 단시간근로자 등 고용형태를 불문하고 하나의 사업 또는 사업장에서 근로하는 모든 근로자</t>
    <phoneticPr fontId="2" type="noConversion"/>
  </si>
  <si>
    <r>
      <t xml:space="preserve">근로기준법 제56조(연장ㆍ야간 및 휴일 근로) </t>
    </r>
    <r>
      <rPr>
        <b/>
        <sz val="11"/>
        <color indexed="10"/>
        <rFont val="맑은 고딕"/>
        <family val="3"/>
        <charset val="129"/>
      </rPr>
      <t>(상시근로자 5인미만 가산수당 제외)</t>
    </r>
    <phoneticPr fontId="105" type="noConversion"/>
  </si>
  <si>
    <t xml:space="preserve">① 사용자는 연장근로(제53조ㆍ제59조 및 제69조 단서에 따라 연장된 시간의 근로를 말한다)에 대하여는 </t>
    <phoneticPr fontId="105" type="noConversion"/>
  </si>
  <si>
    <t xml:space="preserve">    통상임금의 100분의 50 이상을 가산하여 근로자에게 지급하여야 한다. &lt;개정 2018.3.20&gt;</t>
    <phoneticPr fontId="105" type="noConversion"/>
  </si>
  <si>
    <t xml:space="preserve">② 제1항에도 불구하고 사용자는 휴일근로에 대하여는 </t>
    <phoneticPr fontId="105" type="noConversion"/>
  </si>
  <si>
    <t xml:space="preserve">    다음 각 호의 기준에 따른 금액 이상을 가산하여 근로자에게 지급하여야 한다. &lt;신설 2018.3.20&gt;</t>
    <phoneticPr fontId="105" type="noConversion"/>
  </si>
  <si>
    <t>1. 8시간 이내의 휴일근로: 통상임금의 100분의 50</t>
    <phoneticPr fontId="105" type="noConversion"/>
  </si>
  <si>
    <t>2. 8시간을 초과한 휴일근로: 통상임금의 100분의 100</t>
    <phoneticPr fontId="105" type="noConversion"/>
  </si>
  <si>
    <t xml:space="preserve"> ③ 사용자는 야간근로(오후 10시부터 다음 날 오전 6시 사이의 근로를 말한다)에 대하여는 </t>
    <phoneticPr fontId="105" type="noConversion"/>
  </si>
  <si>
    <t xml:space="preserve">  통상임금의 100분의 50 이상을 가산하여 근로자에게 지급하여야 한다. &lt;신설 2018.3.20&gt;</t>
    <phoneticPr fontId="105" type="noConversion"/>
  </si>
  <si>
    <t>상여</t>
    <phoneticPr fontId="2" type="noConversion"/>
  </si>
  <si>
    <t>차량보조</t>
    <phoneticPr fontId="2" type="noConversion"/>
  </si>
  <si>
    <t>격월 또는
부정기
지급</t>
    <phoneticPr fontId="2" type="noConversion"/>
  </si>
  <si>
    <t>청소</t>
    <phoneticPr fontId="2" type="noConversion"/>
  </si>
  <si>
    <t>환경미화</t>
    <phoneticPr fontId="2" type="noConversion"/>
  </si>
  <si>
    <t>주 실제근로시간</t>
    <phoneticPr fontId="2" type="noConversion"/>
  </si>
  <si>
    <t>데이터</t>
    <phoneticPr fontId="2" type="noConversion"/>
  </si>
  <si>
    <t>가상분석</t>
    <phoneticPr fontId="2" type="noConversion"/>
  </si>
  <si>
    <t>목표값 찾기(G)</t>
    <phoneticPr fontId="2" type="noConversion"/>
  </si>
  <si>
    <t>간이세액표 100%적용</t>
    <phoneticPr fontId="2" type="noConversion"/>
  </si>
  <si>
    <t>연장수당</t>
    <phoneticPr fontId="105" type="noConversion"/>
  </si>
  <si>
    <t>야간수당</t>
    <phoneticPr fontId="105" type="noConversion"/>
  </si>
  <si>
    <t>휴일수당</t>
    <phoneticPr fontId="105" type="noConversion"/>
  </si>
  <si>
    <t>수</t>
  </si>
  <si>
    <t>목</t>
  </si>
  <si>
    <t>금</t>
  </si>
  <si>
    <t>토</t>
  </si>
  <si>
    <t>점심시간
(휴게시간)</t>
    <phoneticPr fontId="2" type="noConversion"/>
  </si>
  <si>
    <t>1. 근무시간이 4시간 이하라면 휴게시간은 0</t>
    <phoneticPr fontId="2" type="noConversion"/>
  </si>
  <si>
    <t>2. 근무시간이 4시간~8시간 사이라면 휴게시간은 0.5 (30분)</t>
    <phoneticPr fontId="2" type="noConversion"/>
  </si>
  <si>
    <t>3. 근무시간이 8시간 이상이라면 휴게시간은 1시간 (60분)</t>
    <phoneticPr fontId="2" type="noConversion"/>
  </si>
  <si>
    <t>근로기준법</t>
    <phoneticPr fontId="2" type="noConversion"/>
  </si>
  <si>
    <t>제4장 근로시간과 휴식</t>
    <phoneticPr fontId="2" type="noConversion"/>
  </si>
  <si>
    <t>제50조(근로시간)</t>
    <phoneticPr fontId="2" type="noConversion"/>
  </si>
  <si>
    <t>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</t>
    <phoneticPr fontId="2" type="noConversion"/>
  </si>
  <si>
    <t xml:space="preserve">제54조(휴게) </t>
    <phoneticPr fontId="2" type="noConversion"/>
  </si>
  <si>
    <r>
      <t xml:space="preserve">① 사용자는 근로시간이 4시간인 경우에는 30분 이상, 8시간인 경우에는 1시간 이상의 휴게시간을 </t>
    </r>
    <r>
      <rPr>
        <b/>
        <sz val="11"/>
        <color rgb="FFFF0000"/>
        <rFont val="맑은 고딕"/>
        <family val="3"/>
        <charset val="129"/>
        <scheme val="minor"/>
      </rPr>
      <t>근로시간 도중</t>
    </r>
    <r>
      <rPr>
        <sz val="11"/>
        <color theme="1"/>
        <rFont val="맑은 고딕"/>
        <family val="2"/>
        <charset val="129"/>
        <scheme val="minor"/>
      </rPr>
      <t>에 주어야 한다.</t>
    </r>
    <phoneticPr fontId="2" type="noConversion"/>
  </si>
  <si>
    <t>토요일 근무자는 평일 하루 쉰다.</t>
    <phoneticPr fontId="2" type="noConversion"/>
  </si>
  <si>
    <t>짝수월 상여금, 명절상여금, 성과금, 보전수당은 통상임금에 해당한다 [울산지법2015가합23143]</t>
    <phoneticPr fontId="2" type="noConversion"/>
  </si>
  <si>
    <t>△△대병원에서 간호사,임상병리사,방사선사로 근무(원고 1내지 16)하거나 계약직으로 어린이집교사로 근무(원고17 내지21)한</t>
    <phoneticPr fontId="2" type="noConversion"/>
  </si>
  <si>
    <t>원고들이 △△대병원을 운영하는 피고 학교법인을 상대로 제기한 임금청구소송에서</t>
    <phoneticPr fontId="2" type="noConversion"/>
  </si>
  <si>
    <t xml:space="preserve">    피고는 원고 1내지 16에게 상여금,성과금,보전수당을 더하여 산정한 통상임금을 기초로 한 추가 연장 · 야간 · 휴일근로수당 및 연차수당을 지급해야 하고</t>
    <phoneticPr fontId="2" type="noConversion"/>
  </si>
  <si>
    <t xml:space="preserve">② 계약직인 원고 17 내지 21에게도 피고의 보수규정, 상여금 지급규정이 적용되고 달리 제외하거나 차별하는 내용이 없는 점에 비추어 피고는 원고 17 내지 21에게 </t>
    <phoneticPr fontId="2" type="noConversion"/>
  </si>
  <si>
    <t xml:space="preserve">    미지급한 상여금, 근속수당, 중식수당, 위험수당과 더불어 상여금, 성과금, 보전수당을 더하여 산정한 통상임금을 기초로 한 추가 연장 · 야간 · 휴일근로수당 및 연차수당을 지급해야 하며</t>
    <phoneticPr fontId="2" type="noConversion"/>
  </si>
  <si>
    <t xml:space="preserve">③ 피고의 신의칙 항변에 대하여는 그 동안의 피고 운영 병원의 매출실직과 재정 및 경영 상태, 추가로 부담하는 임금의 규모 등에 비추어 볼 때 </t>
    <phoneticPr fontId="2" type="noConversion"/>
  </si>
  <si>
    <t xml:space="preserve">    그부담이 피고 병원이 감당할 수 없을 정도의 경영상 어려움을 초래한다고 보기 어렵다고 보아 그 항변을 배척하고, 사실상 원들 청구를 인용한 사례.</t>
    <phoneticPr fontId="2" type="noConversion"/>
  </si>
  <si>
    <t>휴가감소분에 대하여 휴가보전수당</t>
    <phoneticPr fontId="2" type="noConversion"/>
  </si>
  <si>
    <t>연차·월차휴가 중 미사용분  연차휴가수당</t>
    <phoneticPr fontId="2" type="noConversion"/>
  </si>
  <si>
    <t xml:space="preserve">    다만, 근로자가 청구한 시기에 휴가를 주는 것이 사업 운영에 막대한 지장이 있는 경우에는 그 시기를 변경할 수 있다.</t>
    <phoneticPr fontId="2" type="noConversion"/>
  </si>
  <si>
    <t xml:space="preserve">⑦ 제1항ㆍ제2항 및 제4항에 따른 휴가는 1년간(계속하여 근로한 기간이 1년 미만인 근로자의 제2항에 따른 유급휴가는 최초 1년의 근로가 끝날 때까지의 기간을 말한다) 행사하지 아니하면 소멸된다. </t>
    <phoneticPr fontId="2" type="noConversion"/>
  </si>
  <si>
    <t xml:space="preserve">    다만, 사용자의 귀책사유로 사용하지 못한 경우에는 그러하지 아니하다. [개정 2020.3.31]</t>
    <phoneticPr fontId="2" type="noConversion"/>
  </si>
  <si>
    <t>연차휴가수당</t>
    <phoneticPr fontId="2" type="noConversion"/>
  </si>
  <si>
    <t xml:space="preserve">④ 사용자는 3년 이상 계속하여 근로한 근로자에게는 제1항에 따른 휴가에 최초 1년을 초과하는 계속 근로 연수 매 2년에 대하여 1일을 가산한 유급휴가를 주어야 한다. </t>
    <phoneticPr fontId="2" type="noConversion"/>
  </si>
  <si>
    <t xml:space="preserve">   이 경우 가산휴가를 포함한 총 휴가 일수는 25일을 한도로 한다.</t>
    <phoneticPr fontId="2" type="noConversion"/>
  </si>
  <si>
    <t>https://cafe.daum.net/transtax/R96D/62</t>
    <phoneticPr fontId="2" type="noConversion"/>
  </si>
  <si>
    <t>&lt;= 엑셀 연차계산</t>
    <phoneticPr fontId="2" type="noConversion"/>
  </si>
  <si>
    <r>
      <t xml:space="preserve">안타깝게도 </t>
    </r>
    <r>
      <rPr>
        <b/>
        <sz val="11"/>
        <color rgb="FFFF0000"/>
        <rFont val="맑은 고딕"/>
        <family val="3"/>
        <charset val="129"/>
        <scheme val="minor"/>
      </rPr>
      <t>상시 5인미만 사업장</t>
    </r>
    <r>
      <rPr>
        <b/>
        <sz val="11"/>
        <color rgb="FF0070C0"/>
        <rFont val="맑은 고딕"/>
        <family val="3"/>
        <charset val="129"/>
        <scheme val="minor"/>
      </rPr>
      <t>은 법정 연차휴가가 발생하지 않습니다. 근로기준법 제60조의 연차유급휴가 규정을 적용하지 않습니다. 다만, 회사에서 연차휴가를 지급하기로 약정했다면 지급해야 합니다.</t>
    </r>
    <phoneticPr fontId="2" type="noConversion"/>
  </si>
  <si>
    <r>
      <t>① 상여금,</t>
    </r>
    <r>
      <rPr>
        <sz val="11"/>
        <color rgb="FFFF0000"/>
        <rFont val="맑은 고딕"/>
        <family val="3"/>
        <charset val="129"/>
        <scheme val="minor"/>
      </rPr>
      <t>성과금</t>
    </r>
    <r>
      <rPr>
        <sz val="11"/>
        <color theme="1"/>
        <rFont val="맑은 고딕"/>
        <family val="2"/>
        <charset val="129"/>
        <scheme val="minor"/>
      </rPr>
      <t>,보전수당은 근로의 대가로 정기적, 일률적, 계속적으로 지급하기로 정해진 고정적 임금에 해당하여 통상임금 산정에 있어 포함되어야 하므로,</t>
    </r>
    <phoneticPr fontId="2" type="noConversion"/>
  </si>
  <si>
    <t>실적평가 지난 후 불확실하면 통상임금이 아니다.</t>
    <phoneticPr fontId="2" type="noConversion"/>
  </si>
  <si>
    <t>지급시기 조건이 명확하면 도래전 명확히 알수 있으면 통상임금</t>
    <phoneticPr fontId="2" type="noConversion"/>
  </si>
  <si>
    <t>(실적)성과급</t>
    <phoneticPr fontId="2" type="noConversion"/>
  </si>
  <si>
    <t>선우</t>
    <phoneticPr fontId="2" type="noConversion"/>
  </si>
  <si>
    <t>탁재훈</t>
    <phoneticPr fontId="2" type="noConversion"/>
  </si>
  <si>
    <t>이름</t>
    <phoneticPr fontId="2" type="noConversion"/>
  </si>
  <si>
    <t>홍길동</t>
    <phoneticPr fontId="2" type="noConversion"/>
  </si>
  <si>
    <t>임꺽정</t>
    <phoneticPr fontId="2" type="noConversion"/>
  </si>
  <si>
    <t>출근</t>
    <phoneticPr fontId="2" type="noConversion"/>
  </si>
  <si>
    <t>퇴근</t>
    <phoneticPr fontId="2" type="noConversion"/>
  </si>
  <si>
    <t>1. 근무시간 4시간 이하라면 휴게시간은 0</t>
    <phoneticPr fontId="2" type="noConversion"/>
  </si>
  <si>
    <t>2. 근무시간 4시간~8시간 사이라면 휴게시간은 0.5 (30분)</t>
    <phoneticPr fontId="2" type="noConversion"/>
  </si>
  <si>
    <t>3. 근무시간 8시간 이상이라면 휴게시간은 1 (60분)</t>
    <phoneticPr fontId="2" type="noConversion"/>
  </si>
  <si>
    <t>총근무시간</t>
    <phoneticPr fontId="2" type="noConversion"/>
  </si>
  <si>
    <t>근로시간</t>
    <phoneticPr fontId="2" type="noConversion"/>
  </si>
  <si>
    <t>최소
휴게시간</t>
    <phoneticPr fontId="2" type="noConversion"/>
  </si>
  <si>
    <t>월~토</t>
    <phoneticPr fontId="2" type="noConversion"/>
  </si>
  <si>
    <t>주 실제 근로시간 (5인미만)</t>
    <phoneticPr fontId="2" type="noConversion"/>
  </si>
  <si>
    <t>연장근로시간</t>
    <phoneticPr fontId="2" type="noConversion"/>
  </si>
  <si>
    <t xml:space="preserve">상시근로자 5인이상 연차수당 </t>
    <phoneticPr fontId="2" type="noConversion"/>
  </si>
  <si>
    <t>당월 연차사용일수</t>
    <phoneticPr fontId="2" type="noConversion"/>
  </si>
  <si>
    <t>외국인 체류자격별 고용보험적용</t>
    <phoneticPr fontId="2" type="noConversion"/>
  </si>
  <si>
    <t>&lt;일용근로자의 주휴수당과 연차수당&gt;</t>
    <phoneticPr fontId="2" type="noConversion"/>
  </si>
  <si>
    <t>방랑시인 2020. 10. 12. 11:18</t>
    <phoneticPr fontId="2" type="noConversion"/>
  </si>
  <si>
    <t>○ 일용근로자의 두 유형은 크게 다음과 같습니다.</t>
    <phoneticPr fontId="2" type="noConversion"/>
  </si>
  <si>
    <t>- 순수 일용근로자 : 보일러 수리 등 집안일이 생겨서 당일만 고용하는 일용근로자</t>
    <phoneticPr fontId="2" type="noConversion"/>
  </si>
  <si>
    <t>- 기간제 일용근로자 : 형식은 일용근로자이지만, 건설일용근로자처럼 공사기간동안 지속적으로 고용하는 일용근로자</t>
    <phoneticPr fontId="2" type="noConversion"/>
  </si>
  <si>
    <r>
      <t xml:space="preserve">○ 순수일용근로자의 경우에는 주휴수당이나 연차수당의 가능성이 없으며, </t>
    </r>
    <r>
      <rPr>
        <b/>
        <u/>
        <sz val="11"/>
        <color rgb="FF7030A0"/>
        <rFont val="맑은 고딕"/>
        <family val="3"/>
        <charset val="129"/>
        <scheme val="minor"/>
      </rPr>
      <t>현실적인 문제는 건설일용근로자로 대표되는 기간제 일용근로자</t>
    </r>
    <r>
      <rPr>
        <sz val="11"/>
        <color theme="1"/>
        <rFont val="맑은 고딕"/>
        <family val="2"/>
        <charset val="129"/>
        <scheme val="minor"/>
      </rPr>
      <t>입니다.</t>
    </r>
    <phoneticPr fontId="2" type="noConversion"/>
  </si>
  <si>
    <t xml:space="preserve">카페나 식당의 알바 등도 일용직으로 근로계약을 체결하였어도 그 실질은 일용근로자인 경우가 상당수입니다. </t>
    <phoneticPr fontId="2" type="noConversion"/>
  </si>
  <si>
    <t>근로기준법 제35조도 계속근로하는 일용근로자의 경우에는 3개월을 근무하면 해고예고수당까지 지급을 하도록 규정을 하고 있습니다.</t>
    <phoneticPr fontId="2" type="noConversion"/>
  </si>
  <si>
    <t>제60조(연차 유급휴가) ① 사용자는 1년간 80퍼센트 이상 출근한 근로자에게 15일의 유급휴가를 주어야 한다.</t>
    <phoneticPr fontId="2" type="noConversion"/>
  </si>
  <si>
    <t>② 사용자는 계속하여 근로한 기간이 1년 미만인 근로자 또는 1년간 80퍼센트 미만 출근한 근로자에게 1개월 개근 시 1일의 유급휴가를 주어야 한다.</t>
    <phoneticPr fontId="2" type="noConversion"/>
  </si>
  <si>
    <t>③ 삭제</t>
    <phoneticPr fontId="2" type="noConversion"/>
  </si>
  <si>
    <t>⑥ 제1항 및 제2항을 적용하는 경우 다음 각 호의 어느 하나에 해당하는 기간은 출근한 것으로 본다.</t>
    <phoneticPr fontId="2" type="noConversion"/>
  </si>
  <si>
    <t>3. 「남녀고용평등과 일ㆍ가정 양립 지원에 관한 법률」 제19조제1항에 따른 육아휴직으로 휴업한 기간</t>
    <phoneticPr fontId="2" type="noConversion"/>
  </si>
  <si>
    <t>⑦ 제1항부터 제4항까지의 규정에 따른 휴가는 1년간 행사하지 아니하면 소멸된다. 다만, 사용자의 귀책사유로 사용하지 못한 경우에는 그러하지 아니하다.</t>
    <phoneticPr fontId="2" type="noConversion"/>
  </si>
  <si>
    <t>○ 일용근로자에게도 주휴수당과 연차수당을 지급한다는 의미는 상용근로자와 동일한 법적 평가를 한다는 의미입니다.</t>
    <phoneticPr fontId="2" type="noConversion"/>
  </si>
  <si>
    <t xml:space="preserve"> 따라서 주5일 근무는 5일을 만근, 주6일 근무는 6일을 만근해야 주휴수당이 발생합니다. 연차수당의 경우에도 동일합니다.</t>
    <phoneticPr fontId="2" type="noConversion"/>
  </si>
  <si>
    <t xml:space="preserve">○ 가장 실무적인 문제는 임금의 포괄역산제입니다. 총액으로 일당을 정한 뒤에 주휴수당과 연차수당을 포함하는 경우입니다. </t>
    <phoneticPr fontId="2" type="noConversion"/>
  </si>
  <si>
    <t xml:space="preserve">하루 일당을 20만원으로 하고 포괄역산제를 기초로 산정해 봅니다. </t>
    <phoneticPr fontId="2" type="noConversion"/>
  </si>
  <si>
    <t>포괄역산제를 한다는 것은 주 5일 근무에 해당하는 100만원으로 주휴수당까지 지급하는 약정을 하기 위함이며, 결국 시급을 역산으로 도출하는 과정입니다.</t>
    <phoneticPr fontId="2" type="noConversion"/>
  </si>
  <si>
    <t>- 오전 7 : 00부터 오후 17 : 00까지 근무(12 : 00부터 13 : 00까지 휴게)</t>
    <phoneticPr fontId="2" type="noConversion"/>
  </si>
  <si>
    <t>- 시급의 산정 : 근로시간 자체는 9시간 이지만, 1시간의 연장근로시간은 1.5로 계산을 합니다. 그리고 주휴수당은 구하고자 하는 시급에 8시간을 곱한 값입니다.</t>
    <phoneticPr fontId="2" type="noConversion"/>
  </si>
  <si>
    <t>= 시급 * &lt;(9.5 * 5) + 8&gt;</t>
    <phoneticPr fontId="2" type="noConversion"/>
  </si>
  <si>
    <t>∴ 시급 = 18,018원</t>
    <phoneticPr fontId="2" type="noConversion"/>
  </si>
  <si>
    <t xml:space="preserve">○ 위 방법으로 주휴수당을 포함한 시급을 정하여 근로계약서를 작성하면, 별도로 주휴수당을 지급할 필요가 없습니다. </t>
    <phoneticPr fontId="2" type="noConversion"/>
  </si>
  <si>
    <t>최근에 기획소송을 모방한 일용근로자의 기획 진정 · 고소를 각 고용노동청에 제기를 하여 건설사가 고통을 겪는데, 이를 참조하여 일용직 근로계약서를 작성하여 주휴수당의 청구를 대비하면 될 듯합니다.</t>
    <phoneticPr fontId="2" type="noConversion"/>
  </si>
  <si>
    <t>일용근로자 중에서 건설일용근로자가 연차휴가를 사용하는 경우는 현실적으로 부존재합니다. 그래서 만근 일용근로자의 연차수당의 발생은 필연적입니다. 부득이 건설일용근로자는 만근을 하지 않는 방향으로 공사일정을 잡아야 합니다.</t>
    <phoneticPr fontId="2" type="noConversion"/>
  </si>
  <si>
    <t xml:space="preserve">○ 문제는 연차수당입니다. </t>
    <phoneticPr fontId="2" type="noConversion"/>
  </si>
  <si>
    <t>일용직 근로자는 대부분 1년 미만 근로자이므로, 만근을 하면 연차휴가를 지급하여야 하며, 매월 만근 시 발생한 연차휴가를 미사용하고 퇴직을 하면 연차수당이 발생합니다.</t>
    <phoneticPr fontId="2" type="noConversion"/>
  </si>
  <si>
    <t>상시근로자 구분없이 지급</t>
    <phoneticPr fontId="2" type="noConversion"/>
  </si>
  <si>
    <t>상시근로자 5인이상 지급</t>
    <phoneticPr fontId="2" type="noConversion"/>
  </si>
  <si>
    <t>연차수당</t>
    <phoneticPr fontId="2" type="noConversion"/>
  </si>
  <si>
    <t>※ 1,000,000원 = 시급 * 〈(8 + 1.5(연장근로수당)) * 5(일) + 8(휴일)〉</t>
    <phoneticPr fontId="2" type="noConversion"/>
  </si>
  <si>
    <t>시간은 형식을 숫자로 하면 1이하로 소수점 숫자로 표기됨.</t>
    <phoneticPr fontId="2" type="noConversion"/>
  </si>
  <si>
    <t>근로기준법 제60조(연차 유급휴가)</t>
    <phoneticPr fontId="2" type="noConversion"/>
  </si>
  <si>
    <t>① 사용자는 1년간 80퍼센트 이상 출근한 근로자에게 15일의 유급휴가를 주어야 한다. [개정 2012.2.1] [[시행일 2012.8.2]]</t>
    <phoneticPr fontId="2" type="noConversion"/>
  </si>
  <si>
    <t>② 사용자는 계속하여 근로한 기간이 1년 미만인 근로자 또는 1년간 80퍼센트 미만 출근한 근로자에게 1개월 개근 시 1일의 유급휴가를 주어야 한다. [개정 2012.2.1] [[시행일 2012.8.2]]</t>
    <phoneticPr fontId="2" type="noConversion"/>
  </si>
  <si>
    <t>③ 삭제 [2017.11.28] [[시행일 2018.5.29]]</t>
    <phoneticPr fontId="2" type="noConversion"/>
  </si>
  <si>
    <t>④ 사용자는 3년 이상 계속하여 근로한 근로자에게는 제1항에 따른 휴가에 최초 1년을 초과하는 계속 근로 연수 매 2년에 대하여 1일을 가산한 유급휴가를 주어야 한다. 이 경우 가산휴가를 포함한 총 휴가 일수는 25일을 한도로 한다.</t>
    <phoneticPr fontId="2" type="noConversion"/>
  </si>
  <si>
    <t xml:space="preserve">⑤ 사용자는 제1항부터 제4항까지의 규정에 따른 휴가를 근로자가 청구한 시기에 주어야 하고, 그 기간에 대하여는 취업규칙 등에서 정하는 통상임금 또는 평균임금을 지급하여야 한다. </t>
    <phoneticPr fontId="2" type="noConversion"/>
  </si>
  <si>
    <t xml:space="preserve">    다만, 근로자가 청구한 시기에 휴가를 주는 것이 사업 운영에 막대한 지장이 있는 경우에는 그 시기를 변경할 수 있다.</t>
    <phoneticPr fontId="2" type="noConversion"/>
  </si>
  <si>
    <t>⑥ 제1항 및 제2항을 적용하는 경우 다음 각 호의 어느 하나에 해당하는 기간은 출근한 것으로 본다. [개정 2012.2.1, 2017.11.28] [[시행일 2018.5.29]]</t>
    <phoneticPr fontId="2" type="noConversion"/>
  </si>
  <si>
    <t xml:space="preserve">  1. 근로자가 업무상의 부상 또는 질병으로 휴업한 기간</t>
    <phoneticPr fontId="2" type="noConversion"/>
  </si>
  <si>
    <t xml:space="preserve">  2. 임신 중의 여성이 제74조제1항부터 제3항까지의 규정에 따른 휴가로 휴업한 기간</t>
    <phoneticPr fontId="2" type="noConversion"/>
  </si>
  <si>
    <t xml:space="preserve">  3. 「남녀고용평등과 일·가정 양립 지원에 관한 법률」 제19조제1항에 따른 육아휴직으로 휴업한 기간</t>
    <phoneticPr fontId="2" type="noConversion"/>
  </si>
  <si>
    <t xml:space="preserve">⑦ 제1항ㆍ제2항 및 제4항에 따른 휴가는 1년간(계속하여 근로한 기간이 1년 미만인 근로자의 제2항에 따른 유급휴가는 최초 1년의 근로가 끝날 때까지의 기간을 말한다) 행사하지 아니하면 소멸된다. </t>
    <phoneticPr fontId="2" type="noConversion"/>
  </si>
  <si>
    <t xml:space="preserve">    다만, 사용자의 귀책사유로 사용하지 못한 경우에는 그러하지 아니하다. [개정 2020.3.31]</t>
    <phoneticPr fontId="2" type="noConversion"/>
  </si>
  <si>
    <t xml:space="preserve">근로기준법 제61조(연차 유급휴가의 사용 촉진) </t>
    <phoneticPr fontId="2" type="noConversion"/>
  </si>
  <si>
    <t>상시근로자 5인이상 사업장 &amp; 주당 소정약정근로시간이 15시간 이상 (일용직(건설직 일용근로자 주의)·시급직 포함)</t>
    <phoneticPr fontId="2" type="noConversion"/>
  </si>
  <si>
    <t xml:space="preserve">① 사용자가 제60조제1항ㆍ제2항 및 제4항에 따른 유급휴가(계속하여 근로한 기간이 1년 미만인 근로자의 제60조제2항에 따른 유급휴가는 제외한다)의 사용을 촉진하기 위하여 </t>
    <phoneticPr fontId="2" type="noConversion"/>
  </si>
  <si>
    <t xml:space="preserve">    다음 각 호의 조치를 하였음에도 불구하고 근로자가 휴가를 사용하지 아니하여 제60조제7항 본문에 따라 소멸된 경우에는 사용자는 그 사용하지 아니한 휴가에 대하여 보상할 의무가 없고, </t>
    <phoneticPr fontId="2" type="noConversion"/>
  </si>
  <si>
    <t xml:space="preserve">    제60조제7항 단서에 따른 사용자의 귀책사유에 해당하지 아니하는 것으로 본다. [개정 2012.2.1, 2017.11.28, 2020.3.31]</t>
    <phoneticPr fontId="2" type="noConversion"/>
  </si>
  <si>
    <t xml:space="preserve">   1. 제60조제7항 본문에 따른 기간이 끝나기 6개월 전을 기준으로 10일 이내에 사용자가 근로자별로 사용하지 아니한 휴가 일수를 알려주고, 근로자가 그 사용 시기를 정하여 사용자에게 통보하도록 서면으로 촉구할 것</t>
    <phoneticPr fontId="2" type="noConversion"/>
  </si>
  <si>
    <t xml:space="preserve">   2. 제1호에 따른 촉구에도 불구하고 근로자가 촉구를 받은 때부터 10일 이내에 사용하지 아니한 휴가의 전부 또는 일부의 사용 시기를 정하여 사용자에게 통보하지 아니하면 제60조제7항 본문에 따른 기간이 끝나기 2개월 전까지 </t>
    <phoneticPr fontId="2" type="noConversion"/>
  </si>
  <si>
    <t xml:space="preserve">      사용자가 사용하지 아니한 휴가의 사용 시기를 정하여 근로자에게 서면으로 통보할 것</t>
    <phoneticPr fontId="2" type="noConversion"/>
  </si>
  <si>
    <t>② 사용자가 계속하여 근로한 기간이 1년 미만인 근로자의 제60조제2항에 따른 유급휴가의 사용을 촉진하기 위하여 다음 각 호의 조치를 하였음에도 불구하고 근로자가 휴가를 사용하지 아니하여</t>
    <phoneticPr fontId="2" type="noConversion"/>
  </si>
  <si>
    <t xml:space="preserve">    제60조제7항 본문에 따라 소멸된 경우에는 사용자는 그 사용하지 아니한 휴가에 대하여 보상할 의무가 없고, 같은 항 단서에 따른 사용자의 귀책사유에 해당하지 아니하는 것으로 본다. [신설 2020.3.31]</t>
    <phoneticPr fontId="2" type="noConversion"/>
  </si>
  <si>
    <t xml:space="preserve">   1. 최초 1년의 근로기간이 끝나기 3개월 전을 기준으로 10일 이내에 사용자가 근로자별로 사용하지 아니한 휴가 일수를 알려주고, 근로자가 그 사용 시기를 정하여 사용자에게 통보하도록 서면으로 촉구할 것. </t>
    <phoneticPr fontId="2" type="noConversion"/>
  </si>
  <si>
    <t xml:space="preserve">      다만, 사용자가 서면 촉구한 후 발생한 휴가에 대해서는 최초 1년의 근로기간이 끝나기 1개월 전을 기준으로 5일 이내에 촉구하여야 한다. </t>
    <phoneticPr fontId="2" type="noConversion"/>
  </si>
  <si>
    <t xml:space="preserve">2. 제1호에 따른 촉구에도 불구하고 근로자가 촉구를 받은 때부터 10일 이내에 사용하지 아니한 휴가의 전부 또는 일부의 사용 시기를 정하여 사용자에게 통보하지 아니하면 </t>
    <phoneticPr fontId="2" type="noConversion"/>
  </si>
  <si>
    <t xml:space="preserve">   최초 1년의 근로기간이 끝나기 1개월 전까지 사용자가 사용하지 아니한 휴가의 사용 시기를 정하여 근로자에게 서면으로 통보할 것. 다만, 제1호 단서에 따라 촉구한 휴가에 대해서는 </t>
    <phoneticPr fontId="2" type="noConversion"/>
  </si>
  <si>
    <t xml:space="preserve">   최초 1년의 근로기간이 끝나기 10일 전까지 서면으로 통보하여야 한다.</t>
    <phoneticPr fontId="2" type="noConversion"/>
  </si>
  <si>
    <t>대부분 입사연도 다음연도에 회계기준으로 연차수당을 계산하며, 퇴사시에 회계기준에 불리하게 된 경우 다시 계산하여 연차유급 일수 계산 및 정산</t>
    <phoneticPr fontId="2" type="noConversion"/>
  </si>
  <si>
    <t>통상임금(기본월급)</t>
    <phoneticPr fontId="2" type="noConversion"/>
  </si>
  <si>
    <t>기본일급</t>
    <phoneticPr fontId="2" type="noConversion"/>
  </si>
  <si>
    <t>기본일급 | 일급(주휴포함)</t>
    <phoneticPr fontId="2" type="noConversion"/>
  </si>
  <si>
    <t>기본시간급 | 시급(주휴포함)</t>
    <phoneticPr fontId="2" type="noConversion"/>
  </si>
  <si>
    <t>(실제)근로일수·시간</t>
    <phoneticPr fontId="2" type="noConversion"/>
  </si>
  <si>
    <t>정상근로시간 일 | 월</t>
    <phoneticPr fontId="2" type="noConversion"/>
  </si>
  <si>
    <t>근속연수</t>
    <phoneticPr fontId="2" type="noConversion"/>
  </si>
  <si>
    <t>정기명절상여금(설,추석,하계휴가)</t>
    <phoneticPr fontId="2" type="noConversion"/>
  </si>
  <si>
    <t>총(실제)근로시간수(①+②)</t>
    <phoneticPr fontId="2" type="noConversion"/>
  </si>
  <si>
    <t>주 소정 근로일수</t>
    <phoneticPr fontId="2" type="noConversion"/>
  </si>
  <si>
    <t>일 소정 근로 시간</t>
    <phoneticPr fontId="2" type="noConversion"/>
  </si>
  <si>
    <t>주 소정 근로시간</t>
    <phoneticPr fontId="2" type="noConversion"/>
  </si>
  <si>
    <t>월 소정 근로시간</t>
    <phoneticPr fontId="2" type="noConversion"/>
  </si>
  <si>
    <t>연차미사용수당</t>
    <phoneticPr fontId="2" type="noConversion"/>
  </si>
  <si>
    <t>1. 연차휴가 : "1년간 근로의 대가"</t>
    <phoneticPr fontId="2" type="noConversion"/>
  </si>
  <si>
    <t>2. 출근율 80% 이상이면 근속연수에 따라서 15일 ~ 최대 25일 연차휴가 발생</t>
    <phoneticPr fontId="2" type="noConversion"/>
  </si>
  <si>
    <t>3. "입사한 날"을 기준으로 관리하는게 원칙!</t>
    <phoneticPr fontId="2" type="noConversion"/>
  </si>
  <si>
    <t xml:space="preserve">     근로자가 많은 회사같은 경우에는 입사일을 기준으로 연차를 부여하고 관리한다는게 굉장히 어려울 수도 있어요</t>
    <phoneticPr fontId="2" type="noConversion"/>
  </si>
  <si>
    <t xml:space="preserve">     그래서 많은 회사들은 관리의 편리를 위해 회계연도를 기준으로 연차 관리하는 것이 일반적입니다. </t>
    <phoneticPr fontId="2" type="noConversion"/>
  </si>
  <si>
    <t>4. (일반적으로 회계연도(12월말 법인) 1월~12월을 가져가는 경우가 굉장히 많은데요</t>
    <phoneticPr fontId="2" type="noConversion"/>
  </si>
  <si>
    <t xml:space="preserve">    회계연도 계산시 1월에 연차휴가 발생</t>
    <phoneticPr fontId="2" type="noConversion"/>
  </si>
  <si>
    <t xml:space="preserve">    1월달 임금지급일에 연차미사용수당 꼭 확인하세요!</t>
    <phoneticPr fontId="2" type="noConversion"/>
  </si>
  <si>
    <t>5. 임금 인상, 삭감 시 미사용수당 산정방법은</t>
    <phoneticPr fontId="2" type="noConversion"/>
  </si>
  <si>
    <t xml:space="preserve">   취업규칙이나 단체협약에 별도의 수당 정산방법에 대한 규정이 있으면 그걸 따르면 되는데 별도의 규정이 없다면</t>
    <phoneticPr fontId="2" type="noConversion"/>
  </si>
  <si>
    <t xml:space="preserve">   휴가사용 가능한 마지막 달의 통상임금을 기준으로 계산</t>
    <phoneticPr fontId="2" type="noConversion"/>
  </si>
  <si>
    <t>① 회계연도 기준 (회계연도 마지막달의 통상임금으로 미사용수당 계산)</t>
    <phoneticPr fontId="2" type="noConversion"/>
  </si>
  <si>
    <t xml:space="preserve">    2021년 12월달에 통상임금으로 미사용수당을 계산하시고 이거를 2022년 1월달 임금지급일에 지급하시면 돼요.</t>
    <phoneticPr fontId="2" type="noConversion"/>
  </si>
  <si>
    <t>② 입사일 기준 (입사일 기준으로 할때는 1년 단위로 연차가 발생하잖아요. 연차휴가 청구권도 마찬가지예요)</t>
    <phoneticPr fontId="2" type="noConversion"/>
  </si>
  <si>
    <t xml:space="preserve">    입사일로부터 1년되는 시점 전달의 임금으로 미사용수당 계산</t>
    <phoneticPr fontId="2" type="noConversion"/>
  </si>
  <si>
    <t>전달의 임금을 기준으로 연차미사용수당을 정산해 주시면 됩니다.</t>
    <phoneticPr fontId="2" type="noConversion"/>
  </si>
  <si>
    <t>③ 1년 미만자 분들</t>
    <phoneticPr fontId="2" type="noConversion"/>
  </si>
  <si>
    <t>이분들은 연차휴가가 한달 개근하면 하루씩 발생하게 되는데</t>
    <phoneticPr fontId="2" type="noConversion"/>
  </si>
  <si>
    <t>이렇게 하루씩 발생하는 연차휴가는 1년 미만자 회계연도 관리 불가능!</t>
    <phoneticPr fontId="2" type="noConversion"/>
  </si>
  <si>
    <t>불가피하게 1년미만자들은 입사일을 기준으로 관리</t>
    <phoneticPr fontId="2" type="noConversion"/>
  </si>
  <si>
    <t>연차는 1년이 지나면 연차미사용 수당이 발생하는데 이때도 마찬가지로 1년차 마지막 달의 임금을 기준으로 해서 수당을 지급해 주시면 됩니다.</t>
    <phoneticPr fontId="2" type="noConversion"/>
  </si>
  <si>
    <t>흔히 "우리 회사는 촉진해서 수당 못받아" 라는 말이 있잖아요</t>
    <phoneticPr fontId="2" type="noConversion"/>
  </si>
  <si>
    <t>연차미사용수당 제대로 받고 계신가요?? (연차수당 계산방법, 입사연도 회계연도, 연차촉진)</t>
    <phoneticPr fontId="2" type="noConversion"/>
  </si>
  <si>
    <t>상시근로자 5인이상 &amp; 주소정 약정 근로시간이 주15시간 이상 근로자</t>
    <phoneticPr fontId="2" type="noConversion"/>
  </si>
  <si>
    <t>① 1년 : 15개</t>
    <phoneticPr fontId="2" type="noConversion"/>
  </si>
  <si>
    <t>② 입사 1년 미만 : 1개월 1개         (11개)</t>
    <phoneticPr fontId="2" type="noConversion"/>
  </si>
  <si>
    <t>1년이상은 15개가 발생하기 때문에 11개월 까지 11개</t>
    <phoneticPr fontId="2" type="noConversion"/>
  </si>
  <si>
    <t>③ 근로기준법 제60조 3항 삭제되면서 연차가 26개로 늘었다.</t>
    <phoneticPr fontId="2" type="noConversion"/>
  </si>
  <si>
    <t>예전에 3항 규정에 상기 1년에 15개는 ②번의 11개를 포함하는 15개다. 15=11+4</t>
    <phoneticPr fontId="2" type="noConversion"/>
  </si>
  <si>
    <t xml:space="preserve">상기 규정이 삭제되니깐 ① 따로 15개 ② 11개 따로 발생 </t>
    <phoneticPr fontId="2" type="noConversion"/>
  </si>
  <si>
    <t>26 = 15 + 11</t>
    <phoneticPr fontId="2" type="noConversion"/>
  </si>
  <si>
    <t>11개월 개근</t>
    <phoneticPr fontId="2" type="noConversion"/>
  </si>
  <si>
    <t>입사 후 만 1년</t>
    <phoneticPr fontId="2" type="noConversion"/>
  </si>
  <si>
    <t>입사 후 만 2년</t>
    <phoneticPr fontId="2" type="noConversion"/>
  </si>
  <si>
    <t>입사 후 만 3년</t>
    <phoneticPr fontId="2" type="noConversion"/>
  </si>
  <si>
    <t>누적</t>
    <phoneticPr fontId="2" type="noConversion"/>
  </si>
  <si>
    <t>입사 후 만 4년</t>
    <phoneticPr fontId="2" type="noConversion"/>
  </si>
  <si>
    <t>입사 후 만 5년</t>
    <phoneticPr fontId="2" type="noConversion"/>
  </si>
  <si>
    <t>입사 후 만 6년</t>
    <phoneticPr fontId="2" type="noConversion"/>
  </si>
  <si>
    <t>25개 한도</t>
    <phoneticPr fontId="2" type="noConversion"/>
  </si>
  <si>
    <t>1~11</t>
    <phoneticPr fontId="2" type="noConversion"/>
  </si>
  <si>
    <t>근속연수</t>
    <phoneticPr fontId="2" type="noConversion"/>
  </si>
  <si>
    <t>연차미사용청구권일수</t>
    <phoneticPr fontId="2" type="noConversion"/>
  </si>
  <si>
    <t>연차청구권일수</t>
    <phoneticPr fontId="2" type="noConversion"/>
  </si>
  <si>
    <t>미사용 연차수당 지급일은 언제인지</t>
    <phoneticPr fontId="2" type="noConversion"/>
  </si>
  <si>
    <t>연차 유급휴가는 발생일로부터 1년 간이 사용기한입니다.</t>
    <phoneticPr fontId="2" type="noConversion"/>
  </si>
  <si>
    <t>연차가 발생한 후 사용기간(1년)이 만료되면 더 이상 연차를 청구할 수 없으며 연차 미사용수당을 청구할 수 없습니다.</t>
    <phoneticPr fontId="2" type="noConversion"/>
  </si>
  <si>
    <t>이때 미사용 연차수당은 연차 사용기간(1년) 만료 다음날 또는 연차기간이 만료된 이후 도래하는 첫 월급일입니다. (임금근로시간정책팀-3295)</t>
    <phoneticPr fontId="2" type="noConversion"/>
  </si>
  <si>
    <t>&lt;회계연도에 따라 연차를 지급하는 경우&gt;</t>
    <phoneticPr fontId="2" type="noConversion"/>
  </si>
  <si>
    <t>회계연도 (1월 1일 ~ 12월 31일)를 기준으로 연차를 지급하는 경우,</t>
    <phoneticPr fontId="2" type="noConversion"/>
  </si>
  <si>
    <t>연차 발생일 : 매년 1월 1일</t>
    <phoneticPr fontId="2" type="noConversion"/>
  </si>
  <si>
    <t>연차 사용 만료일 : 매년 12월 31일</t>
    <phoneticPr fontId="2" type="noConversion"/>
  </si>
  <si>
    <t>따라서 미사용 연차수당은 다음연도 1월 1일 또는 다음연도 1월 월급일에 지급하여야 함.</t>
    <phoneticPr fontId="2" type="noConversion"/>
  </si>
  <si>
    <t>예시 : 2020년 1월 1일에 발생하여 2020년 12월 31일까지 사용할 수 있었던 연차 중 미사용 한 연차에 대하여는 2021년 1월 1일 또는 2021년 1월 1일 이후 도래하는 첫 월급일이 미사용 연차수당 지급일이 됨.</t>
    <phoneticPr fontId="2" type="noConversion"/>
  </si>
  <si>
    <t>&lt;입사일 기준으로 연차를 지급하는 경우&gt;</t>
    <phoneticPr fontId="2" type="noConversion"/>
  </si>
  <si>
    <t>3월 5일 입사자의 경우</t>
    <phoneticPr fontId="2" type="noConversion"/>
  </si>
  <si>
    <t>&lt;== 원칙</t>
    <phoneticPr fontId="2" type="noConversion"/>
  </si>
  <si>
    <t>&lt;== 관리의 용이 (퇴사시에는 실제 입사기준으로 미사용연차가 있는 경우 정산)</t>
    <phoneticPr fontId="2" type="noConversion"/>
  </si>
  <si>
    <t>연차 발생일 : 매년 3월 5일</t>
    <phoneticPr fontId="2" type="noConversion"/>
  </si>
  <si>
    <t>연차 사용 만료일 : 매년 3월 4일</t>
    <phoneticPr fontId="2" type="noConversion"/>
  </si>
  <si>
    <t>따라서 미사용 연차수당은 다음연도 3월 5일 또는 3월 5일 이후 도래하는 첫 월급일에 지급하여야 함.</t>
    <phoneticPr fontId="2" type="noConversion"/>
  </si>
  <si>
    <t>예시 : 2020년 3월 5일 발생하여 2021년 3월 4일까지 사용할 수 있었던 연차 중 미사용 한 연차에 대하여는 2021년 3월 5일 또는 2021년 3월 5일 이후 도래하는 첫 월급일이 미사용 연차수당 지급일이 됨.</t>
    <phoneticPr fontId="2" type="noConversion"/>
  </si>
  <si>
    <t>한편 연차미사용수당 전액을 위 지급일에 지급하지 않은 경우, 연차 미사용수당 또한 근로기준법 상 임금에 해당하므로 근로기준법 상 임금 미지급의 죄가 성립합니다. (대법원 2017.7.11. 선고 2013도 7896 판결).</t>
    <phoneticPr fontId="2" type="noConversion"/>
  </si>
  <si>
    <t>미사용 연차수당 계산기준</t>
    <phoneticPr fontId="2" type="noConversion"/>
  </si>
  <si>
    <t>미사용 연차수당은 연차유급휴가를 사용할 수 있었던 마지막 달의 임금지급일 임금을 기준으로 산정 (통상임금 또는 평균임금)되어 지급되어야 합니다. (근기 01254-3999). 아래 예시를 통해 설명드리겠습니다.</t>
    <phoneticPr fontId="2" type="noConversion"/>
  </si>
  <si>
    <t>2020년 1월 1일에 발생하여 2020년 12월 31일까지 사용할 수 있었던 연차 중 미사용 연차의 경우</t>
    <phoneticPr fontId="2" type="noConversion"/>
  </si>
  <si>
    <t>: 2020년 12월 월급일 임금을 기준으로 미사용 연차수당 계산</t>
    <phoneticPr fontId="2" type="noConversion"/>
  </si>
  <si>
    <t>2020년 3월 5일에 발생하여 2021년 3월 4일까지 사용할 수 있었던 연차 중 미사용 연차의 경우</t>
    <phoneticPr fontId="2" type="noConversion"/>
  </si>
  <si>
    <t>: 2021년 3월 월급일의 임금을 기준으로 미사용 연차수당 계산</t>
    <phoneticPr fontId="2" type="noConversion"/>
  </si>
  <si>
    <t>■ 최저임금의 산입범위</t>
    <phoneticPr fontId="2" type="noConversion"/>
  </si>
  <si>
    <t>근로기준법상 임금으로서 매월 1회이상 정기적으로 지급하는 임금</t>
    <phoneticPr fontId="2" type="noConversion"/>
  </si>
  <si>
    <t>■ 최저임금에 산입되지 않는 임금</t>
    <phoneticPr fontId="2" type="noConversion"/>
  </si>
  <si>
    <t>1. 통화이외의 것으로 지급된 임금</t>
    <phoneticPr fontId="2" type="noConversion"/>
  </si>
  <si>
    <t>2. 소정근로시간, 소정근로일에 대하여 지급되는 임금이 아닌 임금</t>
    <phoneticPr fontId="2" type="noConversion"/>
  </si>
  <si>
    <t>3. 매월 지급하는 상여금(최저임금 월 환산기준)의 10%</t>
    <phoneticPr fontId="2" type="noConversion"/>
  </si>
  <si>
    <t xml:space="preserve">    [2021년] 273,372원을 제외한 상여금만 산입범위에 포함 [1주 40시간 기준]</t>
    <phoneticPr fontId="2" type="noConversion"/>
  </si>
  <si>
    <t>4. 생활보조 또는 복리후생성 임금 [최저임금 월 환산액기준)의 2%</t>
    <phoneticPr fontId="2" type="noConversion"/>
  </si>
  <si>
    <t xml:space="preserve">    [2021년] 54,674원을 제외한 복리후생비만 산입범위에 포함 [1주 40시간 기준]</t>
    <phoneticPr fontId="2" type="noConversion"/>
  </si>
  <si>
    <t xml:space="preserve">    [2022년] 191,444원을 제외한 산입범위에 포함 [1주 40시간 기준]</t>
    <phoneticPr fontId="2" type="noConversion"/>
  </si>
  <si>
    <t>■ '지급주기'는 월단위이지만 '산정기간'이 1월을 초과하는 경우</t>
    <phoneticPr fontId="2" type="noConversion"/>
  </si>
  <si>
    <t>: 상여금 금액에서 아래의 금액을 뺀 나머지 금액이 최저임금에 산입</t>
    <phoneticPr fontId="2" type="noConversion"/>
  </si>
  <si>
    <t>· 2020년 :</t>
    <phoneticPr fontId="2" type="noConversion"/>
  </si>
  <si>
    <t>월 최저임금의 100분의 20</t>
    <phoneticPr fontId="2" type="noConversion"/>
  </si>
  <si>
    <t>· 2021년 :</t>
    <phoneticPr fontId="2" type="noConversion"/>
  </si>
  <si>
    <t>· 2022년 :</t>
  </si>
  <si>
    <t>· 2023년 :</t>
  </si>
  <si>
    <t>· 2024년 :</t>
  </si>
  <si>
    <t>월 최저임금의 100분의 15</t>
    <phoneticPr fontId="2" type="noConversion"/>
  </si>
  <si>
    <t>월 최저임금의 100분의 10</t>
    <phoneticPr fontId="2" type="noConversion"/>
  </si>
  <si>
    <t>월 최저임금의 100분의 5</t>
    <phoneticPr fontId="2" type="noConversion"/>
  </si>
  <si>
    <t>월 최저임금의 100분의 0</t>
    <phoneticPr fontId="2" type="noConversion"/>
  </si>
  <si>
    <t>2021년에는 월 상여금 중 최저월급의 15%를 초과하는 금액이 최저임금에 포함</t>
    <phoneticPr fontId="2" type="noConversion"/>
  </si>
  <si>
    <t>■ 최저임금에 포함되는 상여금 산정사례</t>
    <phoneticPr fontId="2" type="noConversion"/>
  </si>
  <si>
    <t>√ 1일 8시간 5일 근무</t>
    <phoneticPr fontId="2" type="noConversion"/>
  </si>
  <si>
    <t>√ 연간 기본급의 200%를 12로 나누어 매월 지급 : 월 500,000원</t>
    <phoneticPr fontId="2" type="noConversion"/>
  </si>
  <si>
    <t>2021년 최저임금에 포함되는 상여금</t>
    <phoneticPr fontId="2" type="noConversion"/>
  </si>
  <si>
    <t>최저월급을 산정기준시간수 : 8시간 × 6일 × 4.345주 = 209시간</t>
    <phoneticPr fontId="2" type="noConversion"/>
  </si>
  <si>
    <t>최저월급 : 8,720원 × 209시간 = 1,822,480원</t>
    <phoneticPr fontId="2" type="noConversion"/>
  </si>
  <si>
    <t>2021년 최저임금에 포함되는 상여금 : 500,000 - (1,822,480원 × 15%) = 226,628원</t>
    <phoneticPr fontId="2" type="noConversion"/>
  </si>
  <si>
    <t>최저임금은 최저임금 sheet 참조</t>
    <phoneticPr fontId="2" type="noConversion"/>
  </si>
  <si>
    <t>근로자의 4대보험 적용여부</t>
    <phoneticPr fontId="2" type="noConversion"/>
  </si>
  <si>
    <t xml:space="preserve">상시근로자 5인이상 &amp; 주소정근로시간 15시간 이상자) 연차수당 </t>
    <phoneticPr fontId="2" type="noConversion"/>
  </si>
  <si>
    <t>일요일 수</t>
    <phoneticPr fontId="2" type="noConversion"/>
  </si>
  <si>
    <t>유급휴일(일요일)</t>
    <phoneticPr fontId="2" type="noConversion"/>
  </si>
  <si>
    <t>주휴수당</t>
    <phoneticPr fontId="2" type="noConversion"/>
  </si>
  <si>
    <t>연차 일수 직접 입력</t>
    <phoneticPr fontId="2" type="noConversion"/>
  </si>
  <si>
    <t>연차 일수 자동 입력</t>
    <phoneticPr fontId="2" type="noConversion"/>
  </si>
  <si>
    <t>연차휴가수당</t>
    <phoneticPr fontId="2" type="noConversion"/>
  </si>
  <si>
    <t>일 주휴수당</t>
    <phoneticPr fontId="2" type="noConversion"/>
  </si>
  <si>
    <t>임금(일당직)명세서</t>
    <phoneticPr fontId="2" type="noConversion"/>
  </si>
  <si>
    <t>연장근로수당</t>
    <phoneticPr fontId="2" type="noConversion"/>
  </si>
  <si>
    <t>야간근로수당</t>
    <phoneticPr fontId="2" type="noConversion"/>
  </si>
  <si>
    <t>휴일근로수당</t>
    <phoneticPr fontId="2" type="noConversion"/>
  </si>
  <si>
    <t>통상임금 산정지침</t>
    <phoneticPr fontId="2" type="noConversion"/>
  </si>
  <si>
    <t>[시행 2012. 9. 25.] [고용노동부예규 제47호, 2012. 9. 25., 일부개정]</t>
    <phoneticPr fontId="2" type="noConversion"/>
  </si>
  <si>
    <r>
      <t>제2조(용어의 정의)</t>
    </r>
    <r>
      <rPr>
        <sz val="9"/>
        <color rgb="FF444444"/>
        <rFont val="Tahoma"/>
        <family val="2"/>
      </rPr>
      <t> 이 예규에서 사용하는 용어의 정의는 다음의 각 호와 같다.   </t>
    </r>
  </si>
  <si>
    <t>1. "통상임금"이란 근로자에게 정기적·일률적으로 소정근로 또는 총근로에 대하여 지급하기로 정한 시간급 금액·일급 금액·주급 금액·월급 금액 또는 도급 금액을 말한다. </t>
  </si>
  <si>
    <t>3. "소정근로시간"이란 법정근로시간의 범위에서 근로자와 사용자간에 정한 근로시간을 말한다. </t>
  </si>
  <si>
    <r>
      <t> </t>
    </r>
    <r>
      <rPr>
        <b/>
        <sz val="9"/>
        <color rgb="FF151594"/>
        <rFont val="Tahoma"/>
        <family val="2"/>
      </rPr>
      <t>제3조(산정기초임금)</t>
    </r>
    <r>
      <rPr>
        <sz val="9"/>
        <color rgb="FF444444"/>
        <rFont val="Tahoma"/>
        <family val="2"/>
      </rPr>
      <t>   ① 통상임금의 산정기초가 되는 임금은 근로계약이나 취업규칙 또는 단체협약 등에 의하여 소정근로시간(소정근로시간이 없는 경우에는 법정근로시간, 이하 같다)에 대하여 근로자에게 지급하기로 정하여진 기본급 임금과 정기적·일률적으로 1임금산정기간에 지급하기로 정하여진 고정급 임금으로 한다. </t>
    </r>
  </si>
  <si>
    <t>② 제1항에도 불구하고 도급금액으로 정하여진 임금에 대하여는 그 임금산정기간에 있어서 도급제에 의하여 계산된 임금의 총액(연장·야간·휴일근로 등에 대한 가산수당은 제외한다)으로 한다. </t>
  </si>
  <si>
    <r>
      <rPr>
        <sz val="9"/>
        <color rgb="FF444444"/>
        <rFont val="돋움"/>
        <family val="3"/>
        <charset val="129"/>
      </rPr>
      <t>제</t>
    </r>
    <r>
      <rPr>
        <sz val="9"/>
        <color rgb="FF444444"/>
        <rFont val="Tahoma"/>
        <family val="2"/>
      </rPr>
      <t>4</t>
    </r>
    <r>
      <rPr>
        <sz val="9"/>
        <color rgb="FF444444"/>
        <rFont val="돋움"/>
        <family val="3"/>
        <charset val="129"/>
      </rPr>
      <t>조</t>
    </r>
    <r>
      <rPr>
        <sz val="9"/>
        <color rgb="FF444444"/>
        <rFont val="Tahoma"/>
        <family val="2"/>
      </rPr>
      <t>(</t>
    </r>
    <r>
      <rPr>
        <sz val="9"/>
        <color rgb="FF444444"/>
        <rFont val="돋움"/>
        <family val="3"/>
        <charset val="129"/>
      </rPr>
      <t>산정기준시간</t>
    </r>
    <r>
      <rPr>
        <sz val="9"/>
        <color rgb="FF444444"/>
        <rFont val="Tahoma"/>
        <family val="2"/>
      </rPr>
      <t xml:space="preserve">) </t>
    </r>
    <r>
      <rPr>
        <sz val="9"/>
        <color rgb="FF444444"/>
        <rFont val="돋움"/>
        <family val="3"/>
        <charset val="129"/>
      </rPr>
      <t>제</t>
    </r>
    <r>
      <rPr>
        <sz val="9"/>
        <color rgb="FF444444"/>
        <rFont val="Tahoma"/>
        <family val="2"/>
      </rPr>
      <t>3</t>
    </r>
    <r>
      <rPr>
        <sz val="9"/>
        <color rgb="FF444444"/>
        <rFont val="돋움"/>
        <family val="3"/>
        <charset val="129"/>
      </rPr>
      <t>조에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따른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통상임금의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산정기초가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되는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임금을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금액으로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산정할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경우의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산정기준시간은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다음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각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호의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시간으로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한다</t>
    </r>
    <r>
      <rPr>
        <sz val="9"/>
        <color rgb="FF444444"/>
        <rFont val="Tahoma"/>
        <family val="2"/>
      </rPr>
      <t xml:space="preserve">.   </t>
    </r>
    <phoneticPr fontId="2" type="noConversion"/>
  </si>
  <si>
    <t>1. 일급 금액으로 정하여진 경우에는 1일의 소정근로시간 </t>
  </si>
  <si>
    <t>2. 주급 금액으로 정하여진 경우에는 소정근로시간과 소정근로시간 외에 유급처리되는 시간을 합산한 시간(이하 "주의 통상임금 산정기준시간"이라 한다) </t>
  </si>
  <si>
    <t>3. 월급 금액으로 정하여진 경우에는 주의 통상임금 산정기준시간에 1년간의 평균주수를 곱한 시간을 12월로 나눈 시간(이하 "월의 통상임금 산정기준시간"이라 한다) </t>
  </si>
  <si>
    <t>4. 도급 금액으로 정하여진 경우에는 당해 임금산정기간(임금마감일이 있는 경우에는 임금마감기간)의 총근로시간(총근로시간 외에 유급처리되는 시간은 합산한다) </t>
  </si>
  <si>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5</t>
    </r>
    <r>
      <rPr>
        <sz val="9"/>
        <color rgb="FF444444"/>
        <rFont val="맑은 고딕"/>
        <family val="2"/>
        <charset val="129"/>
      </rPr>
      <t>조</t>
    </r>
    <r>
      <rPr>
        <sz val="9"/>
        <color rgb="FF444444"/>
        <rFont val="Tahoma"/>
        <family val="2"/>
      </rPr>
      <t>(</t>
    </r>
    <r>
      <rPr>
        <sz val="9"/>
        <color rgb="FF444444"/>
        <rFont val="맑은 고딕"/>
        <family val="2"/>
        <charset val="129"/>
      </rPr>
      <t>통상임금의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</t>
    </r>
    <r>
      <rPr>
        <sz val="9"/>
        <color rgb="FF444444"/>
        <rFont val="Tahoma"/>
        <family val="2"/>
      </rPr>
      <t xml:space="preserve">)   </t>
    </r>
    <r>
      <rPr>
        <sz val="9"/>
        <color rgb="FF444444"/>
        <rFont val="맑은 고딕"/>
        <family val="2"/>
        <charset val="129"/>
      </rPr>
      <t>①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3</t>
    </r>
    <r>
      <rPr>
        <sz val="9"/>
        <color rgb="FF444444"/>
        <rFont val="맑은 고딕"/>
        <family val="2"/>
        <charset val="129"/>
      </rPr>
      <t>조에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따른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산정기초임금을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다음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각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호의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방법에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따라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한다</t>
    </r>
    <r>
      <rPr>
        <sz val="9"/>
        <color rgb="FF444444"/>
        <rFont val="Tahoma"/>
        <family val="2"/>
      </rPr>
      <t xml:space="preserve">. </t>
    </r>
    <phoneticPr fontId="2" type="noConversion"/>
  </si>
  <si>
    <t>1. 시간급 임금으로 정하여진 때에는 그 금액 </t>
  </si>
  <si>
    <t xml:space="preserve">2. 일급 금액, 주급 금액 또는 월급 금액 등으로 정하여진 때에는 그 금액을 각 각 그 기간에 해당하는 제4조의 산정기준시간으로 나눈 금액 </t>
    <phoneticPr fontId="2" type="noConversion"/>
  </si>
  <si>
    <t>② 일급 통상임금은 시간급 금액에 1일의 소정근로시간을 곱한 금액으로 한다. </t>
  </si>
  <si>
    <t>③ 주급 통상임금은 시간급 금액에 주의 통상임금 산정기준시간을 곱한 금액으로 한다. </t>
  </si>
  <si>
    <t>④ 월급 통상임금은 시간급 금액에 월의 통상임금 산정기준시간을 곱한 금액으로 한다. </t>
  </si>
  <si>
    <t>⑤ 도급제에 의하여 정하여진 경우의 통상임금은 다음 각호의 방법에 따라 산정한 금액으로 한다. </t>
  </si>
  <si>
    <r>
      <t xml:space="preserve">1. </t>
    </r>
    <r>
      <rPr>
        <sz val="9"/>
        <color rgb="FF444444"/>
        <rFont val="맑은 고딕"/>
        <family val="2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통상임금은</t>
    </r>
    <r>
      <rPr>
        <sz val="9"/>
        <color rgb="FF444444"/>
        <rFont val="Tahoma"/>
        <family val="2"/>
      </rPr>
      <t xml:space="preserve"> 1</t>
    </r>
    <r>
      <rPr>
        <sz val="9"/>
        <color rgb="FF444444"/>
        <rFont val="맑은 고딕"/>
        <family val="2"/>
        <charset val="129"/>
      </rPr>
      <t>임금산정기간의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총액</t>
    </r>
    <r>
      <rPr>
        <sz val="9"/>
        <color rgb="FF444444"/>
        <rFont val="Tahoma"/>
        <family val="2"/>
      </rPr>
      <t>(</t>
    </r>
    <r>
      <rPr>
        <sz val="9"/>
        <color rgb="FF444444"/>
        <rFont val="맑은 고딕"/>
        <family val="2"/>
        <charset val="129"/>
      </rPr>
      <t>연장</t>
    </r>
    <r>
      <rPr>
        <sz val="9"/>
        <color rgb="FF444444"/>
        <rFont val="Tahoma"/>
        <family val="2"/>
      </rPr>
      <t>·</t>
    </r>
    <r>
      <rPr>
        <sz val="9"/>
        <color rgb="FF444444"/>
        <rFont val="맑은 고딕"/>
        <family val="2"/>
        <charset val="129"/>
      </rPr>
      <t>야간</t>
    </r>
    <r>
      <rPr>
        <sz val="9"/>
        <color rgb="FF444444"/>
        <rFont val="Tahoma"/>
        <family val="2"/>
      </rPr>
      <t>·</t>
    </r>
    <r>
      <rPr>
        <sz val="9"/>
        <color rgb="FF444444"/>
        <rFont val="맑은 고딕"/>
        <family val="2"/>
        <charset val="129"/>
      </rPr>
      <t>휴일근로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등에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대한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가산수당은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제외한다</t>
    </r>
    <r>
      <rPr>
        <sz val="9"/>
        <color rgb="FF444444"/>
        <rFont val="Tahoma"/>
        <family val="2"/>
      </rPr>
      <t>)</t>
    </r>
    <r>
      <rPr>
        <sz val="9"/>
        <color rgb="FF444444"/>
        <rFont val="맑은 고딕"/>
        <family val="2"/>
        <charset val="129"/>
      </rPr>
      <t>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기간의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총근로시간수</t>
    </r>
    <r>
      <rPr>
        <sz val="9"/>
        <color rgb="FF444444"/>
        <rFont val="Tahoma"/>
        <family val="2"/>
      </rPr>
      <t>(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4</t>
    </r>
    <r>
      <rPr>
        <sz val="9"/>
        <color rgb="FF444444"/>
        <rFont val="맑은 고딕"/>
        <family val="2"/>
        <charset val="129"/>
      </rPr>
      <t>조제</t>
    </r>
    <r>
      <rPr>
        <sz val="9"/>
        <color rgb="FF444444"/>
        <rFont val="Tahoma"/>
        <family val="2"/>
      </rPr>
      <t>4</t>
    </r>
    <r>
      <rPr>
        <sz val="9"/>
        <color rgb="FF444444"/>
        <rFont val="맑은 고딕"/>
        <family val="2"/>
        <charset val="129"/>
      </rPr>
      <t>호에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의한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총근로시간수를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말한다</t>
    </r>
    <r>
      <rPr>
        <sz val="9"/>
        <color rgb="FF444444"/>
        <rFont val="Tahoma"/>
        <family val="2"/>
      </rPr>
      <t>)</t>
    </r>
    <r>
      <rPr>
        <sz val="9"/>
        <color rgb="FF444444"/>
        <rFont val="맑은 고딕"/>
        <family val="2"/>
        <charset val="129"/>
      </rPr>
      <t>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나눈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</t>
    </r>
    <r>
      <rPr>
        <sz val="9"/>
        <color rgb="FF444444"/>
        <rFont val="Tahoma"/>
        <family val="2"/>
      </rPr>
      <t xml:space="preserve"> </t>
    </r>
    <phoneticPr fontId="2" type="noConversion"/>
  </si>
  <si>
    <r>
      <t xml:space="preserve">2. </t>
    </r>
    <r>
      <rPr>
        <sz val="9"/>
        <color rgb="FF444444"/>
        <rFont val="맑은 고딕"/>
        <family val="2"/>
        <charset val="129"/>
      </rPr>
      <t>일급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금액에</t>
    </r>
    <r>
      <rPr>
        <sz val="9"/>
        <color rgb="FF444444"/>
        <rFont val="Tahoma"/>
        <family val="2"/>
      </rPr>
      <t xml:space="preserve"> 1</t>
    </r>
    <r>
      <rPr>
        <sz val="9"/>
        <color rgb="FF444444"/>
        <rFont val="맑은 고딕"/>
        <family val="2"/>
        <charset val="129"/>
      </rPr>
      <t>일의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소정근로시간을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곱한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</t>
    </r>
    <r>
      <rPr>
        <sz val="9"/>
        <color rgb="FF444444"/>
        <rFont val="Tahoma"/>
        <family val="2"/>
      </rPr>
      <t xml:space="preserve"> </t>
    </r>
    <phoneticPr fontId="2" type="noConversion"/>
  </si>
  <si>
    <r>
      <t xml:space="preserve">3. </t>
    </r>
    <r>
      <rPr>
        <sz val="9"/>
        <color rgb="FF444444"/>
        <rFont val="맑은 고딕"/>
        <family val="2"/>
        <charset val="129"/>
      </rPr>
      <t>주급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주의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산정기준시간을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곱한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</t>
    </r>
    <r>
      <rPr>
        <sz val="9"/>
        <color rgb="FF444444"/>
        <rFont val="Tahoma"/>
        <family val="2"/>
      </rPr>
      <t xml:space="preserve"> </t>
    </r>
    <phoneticPr fontId="2" type="noConversion"/>
  </si>
  <si>
    <r>
      <t xml:space="preserve">4. </t>
    </r>
    <r>
      <rPr>
        <sz val="9"/>
        <color rgb="FF444444"/>
        <rFont val="맑은 고딕"/>
        <family val="2"/>
        <charset val="129"/>
      </rPr>
      <t>월급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시간급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월의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통상임금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산정기준시간을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곱한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</t>
    </r>
    <r>
      <rPr>
        <sz val="9"/>
        <color rgb="FF444444"/>
        <rFont val="Tahoma"/>
        <family val="2"/>
      </rPr>
      <t xml:space="preserve"> </t>
    </r>
    <phoneticPr fontId="2" type="noConversion"/>
  </si>
  <si>
    <r>
      <rPr>
        <sz val="9"/>
        <color rgb="FF444444"/>
        <rFont val="맑은 고딕"/>
        <family val="2"/>
        <charset val="129"/>
      </rPr>
      <t>⑥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또는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이외의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일정기간으로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정하여진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임금에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대하여는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1</t>
    </r>
    <r>
      <rPr>
        <sz val="9"/>
        <color rgb="FF444444"/>
        <rFont val="맑은 고딕"/>
        <family val="2"/>
        <charset val="129"/>
      </rPr>
      <t>항부터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5</t>
    </r>
    <r>
      <rPr>
        <sz val="9"/>
        <color rgb="FF444444"/>
        <rFont val="맑은 고딕"/>
        <family val="2"/>
        <charset val="129"/>
      </rPr>
      <t>항까지에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준하여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한다</t>
    </r>
    <r>
      <rPr>
        <sz val="9"/>
        <color rgb="FF444444"/>
        <rFont val="Tahoma"/>
        <family val="2"/>
      </rPr>
      <t xml:space="preserve">. </t>
    </r>
    <phoneticPr fontId="2" type="noConversion"/>
  </si>
  <si>
    <r>
      <rPr>
        <sz val="9"/>
        <color rgb="FF444444"/>
        <rFont val="맑은 고딕"/>
        <family val="2"/>
        <charset val="129"/>
      </rPr>
      <t>⑦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임금이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1</t>
    </r>
    <r>
      <rPr>
        <sz val="9"/>
        <color rgb="FF444444"/>
        <rFont val="맑은 고딕"/>
        <family val="2"/>
        <charset val="129"/>
      </rPr>
      <t>항부터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6</t>
    </r>
    <r>
      <rPr>
        <sz val="9"/>
        <color rgb="FF444444"/>
        <rFont val="맑은 고딕"/>
        <family val="2"/>
        <charset val="129"/>
      </rPr>
      <t>항까지에서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정한</t>
    </r>
    <r>
      <rPr>
        <sz val="9"/>
        <color rgb="FF444444"/>
        <rFont val="Tahoma"/>
        <family val="2"/>
      </rPr>
      <t xml:space="preserve"> 2</t>
    </r>
    <r>
      <rPr>
        <sz val="9"/>
        <color rgb="FF444444"/>
        <rFont val="맑은 고딕"/>
        <family val="2"/>
        <charset val="129"/>
      </rPr>
      <t>이상의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임금으로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되어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있는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경우에는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각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부분에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대하여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1</t>
    </r>
    <r>
      <rPr>
        <sz val="9"/>
        <color rgb="FF444444"/>
        <rFont val="맑은 고딕"/>
        <family val="2"/>
        <charset val="129"/>
      </rPr>
      <t>항부터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제</t>
    </r>
    <r>
      <rPr>
        <sz val="9"/>
        <color rgb="FF444444"/>
        <rFont val="Tahoma"/>
        <family val="2"/>
      </rPr>
      <t>6</t>
    </r>
    <r>
      <rPr>
        <sz val="9"/>
        <color rgb="FF444444"/>
        <rFont val="맑은 고딕"/>
        <family val="2"/>
        <charset val="129"/>
      </rPr>
      <t>항까지에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따라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각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각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산정된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합산한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금액으로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맑은 고딕"/>
        <family val="2"/>
        <charset val="129"/>
      </rPr>
      <t>한다</t>
    </r>
    <r>
      <rPr>
        <sz val="9"/>
        <color rgb="FF444444"/>
        <rFont val="Tahoma"/>
        <family val="2"/>
      </rPr>
      <t xml:space="preserve">. </t>
    </r>
    <phoneticPr fontId="2" type="noConversion"/>
  </si>
  <si>
    <r>
      <t>제5조의2(통상임금의 판단기준)</t>
    </r>
    <r>
      <rPr>
        <sz val="9"/>
        <color rgb="FF444444"/>
        <rFont val="Tahoma"/>
        <family val="2"/>
      </rPr>
      <t> 통상임금에 포함되는 임금의 범위는 별표의 예시에 따라 판단한다. 다만, 그 명칭만으로 판단하여서는 아니되며, 통상임금의 의의, 근로계약·취업규칙·단체협약 등의 내용, 직종·근무형태, 지급관행 등을 종합적으로 고려하여야 한다. </t>
    </r>
  </si>
  <si>
    <r>
      <t> </t>
    </r>
    <r>
      <rPr>
        <b/>
        <sz val="9"/>
        <color rgb="FF151594"/>
        <rFont val="Tahoma"/>
        <family val="2"/>
      </rPr>
      <t>제7조(재검토기한 3년)</t>
    </r>
    <r>
      <rPr>
        <sz val="9"/>
        <color rgb="FF444444"/>
        <rFont val="Tahoma"/>
        <family val="2"/>
      </rPr>
      <t> 「훈련·예규 등의 발령 및 관리에 관한 규정」(대통령훈령 제248호)에 따라 2015년 9월 24일까지 법령이나 현실여건의 변화 등을 검토하여 폐지 또는 개정한다. </t>
    </r>
  </si>
  <si>
    <r>
      <t>부      칙</t>
    </r>
    <r>
      <rPr>
        <u/>
        <sz val="11"/>
        <color theme="10"/>
        <rFont val="맑은 고딕"/>
        <family val="3"/>
        <charset val="129"/>
        <scheme val="minor"/>
      </rPr>
      <t> &lt;제47호,2012.9.25&gt;</t>
    </r>
  </si>
  <si>
    <t>이 예규는 발령한 날부터 시행한다.</t>
  </si>
  <si>
    <r>
      <t> </t>
    </r>
    <r>
      <rPr>
        <b/>
        <sz val="9"/>
        <color rgb="FF151594"/>
        <rFont val="돋움"/>
        <family val="3"/>
        <charset val="129"/>
      </rPr>
      <t>제</t>
    </r>
    <r>
      <rPr>
        <b/>
        <sz val="9"/>
        <color rgb="FF151594"/>
        <rFont val="Tahoma"/>
        <family val="2"/>
      </rPr>
      <t>6</t>
    </r>
    <r>
      <rPr>
        <b/>
        <sz val="9"/>
        <color rgb="FF151594"/>
        <rFont val="돋움"/>
        <family val="3"/>
        <charset val="129"/>
      </rPr>
      <t>조</t>
    </r>
    <r>
      <rPr>
        <b/>
        <sz val="9"/>
        <color rgb="FF151594"/>
        <rFont val="Tahoma"/>
        <family val="2"/>
      </rPr>
      <t>(</t>
    </r>
    <r>
      <rPr>
        <b/>
        <sz val="9"/>
        <color rgb="FF151594"/>
        <rFont val="돋움"/>
        <family val="3"/>
        <charset val="129"/>
      </rPr>
      <t>적용</t>
    </r>
    <r>
      <rPr>
        <b/>
        <sz val="9"/>
        <color rgb="FF151594"/>
        <rFont val="Tahoma"/>
        <family val="2"/>
      </rPr>
      <t>)</t>
    </r>
    <r>
      <rPr>
        <sz val="9"/>
        <color rgb="FF444444"/>
        <rFont val="Tahoma"/>
        <family val="2"/>
      </rPr>
      <t> </t>
    </r>
    <r>
      <rPr>
        <sz val="9"/>
        <color rgb="FF444444"/>
        <rFont val="돋움"/>
        <family val="3"/>
        <charset val="129"/>
      </rPr>
      <t>이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예규는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「근로기준법」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26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해고의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예고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Tahoma"/>
        <family val="2"/>
      </rPr>
      <t>,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46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휴업수당</t>
    </r>
    <r>
      <rPr>
        <u/>
        <sz val="9"/>
        <color rgb="FF005A84"/>
        <rFont val="Tahoma"/>
        <family val="2"/>
      </rPr>
      <t xml:space="preserve">) </t>
    </r>
    <r>
      <rPr>
        <sz val="9"/>
        <color rgb="FF444444"/>
        <rFont val="Tahoma"/>
        <family val="2"/>
      </rPr>
      <t>,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55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휴일</t>
    </r>
    <r>
      <rPr>
        <u/>
        <sz val="9"/>
        <color rgb="FF005A84"/>
        <rFont val="Tahoma"/>
        <family val="2"/>
      </rPr>
      <t xml:space="preserve">) </t>
    </r>
    <r>
      <rPr>
        <sz val="9"/>
        <color rgb="FF444444"/>
        <rFont val="Tahoma"/>
        <family val="2"/>
      </rPr>
      <t>,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56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연장ㆍ야간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및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휴일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근로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Tahoma"/>
        <family val="2"/>
      </rPr>
      <t>,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60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연차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유급휴가</t>
    </r>
    <r>
      <rPr>
        <u/>
        <sz val="9"/>
        <color rgb="FF005A84"/>
        <rFont val="Tahoma"/>
        <family val="2"/>
      </rPr>
      <t xml:space="preserve">) </t>
    </r>
    <r>
      <rPr>
        <u/>
        <sz val="9"/>
        <color rgb="FF005A84"/>
        <rFont val="돋움"/>
        <family val="3"/>
        <charset val="129"/>
      </rPr>
      <t>및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74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임산부의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보호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Tahoma"/>
        <family val="2"/>
      </rPr>
      <t> </t>
    </r>
    <r>
      <rPr>
        <sz val="9"/>
        <color rgb="FF444444"/>
        <rFont val="돋움"/>
        <family val="3"/>
        <charset val="129"/>
      </rPr>
      <t>등에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근거하는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/>
    </r>
    <phoneticPr fontId="2" type="noConversion"/>
  </si>
  <si>
    <r>
      <t xml:space="preserve">                                   </t>
    </r>
    <r>
      <rPr>
        <sz val="9"/>
        <color rgb="FF444444"/>
        <rFont val="돋움"/>
        <family val="3"/>
        <charset val="129"/>
      </rPr>
      <t>해고예고수당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휴업수당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유급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휴일임금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연장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야간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휴일근로수당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연차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유급휴가수당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출산전후휴가수당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등과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밖에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노동관계법에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규정된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통상임금의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계산에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적용한다</t>
    </r>
    <r>
      <rPr>
        <sz val="9"/>
        <color rgb="FF444444"/>
        <rFont val="Tahoma"/>
        <family val="2"/>
      </rPr>
      <t>. </t>
    </r>
    <phoneticPr fontId="2" type="noConversion"/>
  </si>
  <si>
    <r>
      <t xml:space="preserve">3. </t>
    </r>
    <r>
      <rPr>
        <sz val="9"/>
        <color rgb="FF444444"/>
        <rFont val="돋움"/>
        <family val="3"/>
        <charset val="129"/>
      </rPr>
      <t>제</t>
    </r>
    <r>
      <rPr>
        <sz val="9"/>
        <color rgb="FF444444"/>
        <rFont val="Tahoma"/>
        <family val="2"/>
      </rPr>
      <t>2</t>
    </r>
    <r>
      <rPr>
        <sz val="9"/>
        <color rgb="FF444444"/>
        <rFont val="돋움"/>
        <family val="3"/>
        <charset val="129"/>
      </rPr>
      <t>호에도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불구하고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「근로기준법」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56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연장ㆍ야간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및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휴일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근로</t>
    </r>
    <r>
      <rPr>
        <u/>
        <sz val="9"/>
        <color rgb="FF005A84"/>
        <rFont val="Tahoma"/>
        <family val="2"/>
      </rPr>
      <t xml:space="preserve">) </t>
    </r>
    <r>
      <rPr>
        <sz val="9"/>
        <color rgb="FF444444"/>
        <rFont val="돋움"/>
        <family val="3"/>
        <charset val="129"/>
      </rPr>
      <t>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따른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연장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야간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휴일근로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등을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전제로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일급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금액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주급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금액</t>
    </r>
    <r>
      <rPr>
        <sz val="9"/>
        <color rgb="FF444444"/>
        <rFont val="Tahoma"/>
        <family val="2"/>
      </rPr>
      <t xml:space="preserve">, </t>
    </r>
    <r>
      <rPr>
        <sz val="9"/>
        <color rgb="FF444444"/>
        <rFont val="돋움"/>
        <family val="3"/>
        <charset val="129"/>
      </rPr>
      <t>월급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금액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등으로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정하여진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때에는</t>
    </r>
    <r>
      <rPr>
        <sz val="9"/>
        <color rgb="FF444444"/>
        <rFont val="Tahoma"/>
        <family val="2"/>
      </rPr>
      <t xml:space="preserve"> 1</t>
    </r>
    <r>
      <rPr>
        <sz val="9"/>
        <color rgb="FF444444"/>
        <rFont val="돋움"/>
        <family val="3"/>
        <charset val="129"/>
      </rPr>
      <t>임금산정기간의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총액</t>
    </r>
    <r>
      <rPr>
        <sz val="9"/>
        <color rgb="FF444444"/>
        <rFont val="Tahoma"/>
        <family val="2"/>
      </rPr>
      <t>(</t>
    </r>
    <r>
      <rPr>
        <sz val="9"/>
        <color rgb="FF444444"/>
        <rFont val="돋움"/>
        <family val="3"/>
        <charset val="129"/>
      </rPr>
      <t>연장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야간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휴일근로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등에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대한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가산수당은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제외한다</t>
    </r>
    <r>
      <rPr>
        <sz val="9"/>
        <color rgb="FF444444"/>
        <rFont val="Tahoma"/>
        <family val="2"/>
      </rPr>
      <t>)</t>
    </r>
    <r>
      <rPr>
        <sz val="9"/>
        <color rgb="FF444444"/>
        <rFont val="돋움"/>
        <family val="3"/>
        <charset val="129"/>
      </rPr>
      <t>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기간의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총근로시간수</t>
    </r>
    <r>
      <rPr>
        <sz val="9"/>
        <color rgb="FF444444"/>
        <rFont val="Tahoma"/>
        <family val="2"/>
      </rPr>
      <t>(</t>
    </r>
    <r>
      <rPr>
        <sz val="9"/>
        <color rgb="FF444444"/>
        <rFont val="돋움"/>
        <family val="3"/>
        <charset val="129"/>
      </rPr>
      <t>총근로시간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외에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유급처리되는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시간은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합산한다</t>
    </r>
    <r>
      <rPr>
        <sz val="9"/>
        <color rgb="FF444444"/>
        <rFont val="Tahoma"/>
        <family val="2"/>
      </rPr>
      <t>)</t>
    </r>
    <r>
      <rPr>
        <sz val="9"/>
        <color rgb="FF444444"/>
        <rFont val="돋움"/>
        <family val="3"/>
        <charset val="129"/>
      </rPr>
      <t>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나눈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금액</t>
    </r>
    <r>
      <rPr>
        <sz val="9"/>
        <color rgb="FF444444"/>
        <rFont val="Tahoma"/>
        <family val="2"/>
      </rPr>
      <t> </t>
    </r>
    <phoneticPr fontId="2" type="noConversion"/>
  </si>
  <si>
    <r>
      <rPr>
        <b/>
        <sz val="9"/>
        <color rgb="FF151594"/>
        <rFont val="돋움"/>
        <family val="3"/>
        <charset val="129"/>
      </rPr>
      <t>제</t>
    </r>
    <r>
      <rPr>
        <b/>
        <sz val="9"/>
        <color rgb="FF151594"/>
        <rFont val="Tahoma"/>
        <family val="2"/>
      </rPr>
      <t>1</t>
    </r>
    <r>
      <rPr>
        <b/>
        <sz val="9"/>
        <color rgb="FF151594"/>
        <rFont val="돋움"/>
        <family val="3"/>
        <charset val="129"/>
      </rPr>
      <t>조</t>
    </r>
    <r>
      <rPr>
        <b/>
        <sz val="9"/>
        <color rgb="FF151594"/>
        <rFont val="Tahoma"/>
        <family val="2"/>
      </rPr>
      <t>(</t>
    </r>
    <r>
      <rPr>
        <b/>
        <sz val="9"/>
        <color rgb="FF151594"/>
        <rFont val="돋움"/>
        <family val="3"/>
        <charset val="129"/>
      </rPr>
      <t>목적</t>
    </r>
    <r>
      <rPr>
        <b/>
        <sz val="9"/>
        <color rgb="FF151594"/>
        <rFont val="Tahoma"/>
        <family val="2"/>
      </rPr>
      <t>)</t>
    </r>
    <r>
      <rPr>
        <sz val="9"/>
        <color rgb="FF444444"/>
        <rFont val="Tahoma"/>
        <family val="2"/>
      </rPr>
      <t> </t>
    </r>
    <r>
      <rPr>
        <sz val="9"/>
        <color rgb="FF444444"/>
        <rFont val="돋움"/>
        <family val="3"/>
        <charset val="129"/>
      </rPr>
      <t>이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예규는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「근로기준법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시행령」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통상임금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돋움"/>
        <family val="3"/>
        <charset val="129"/>
      </rPr>
      <t>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따른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통상임금의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산정기초가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되는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임금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및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산정기준시간에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대하여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개념과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범위를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명확히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정함으로써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「근로기준법」</t>
    </r>
    <r>
      <rPr>
        <sz val="9"/>
        <color rgb="FF444444"/>
        <rFont val="Tahoma"/>
        <family val="2"/>
      </rPr>
      <t> </t>
    </r>
    <r>
      <rPr>
        <sz val="9"/>
        <color rgb="FF444444"/>
        <rFont val="돋움"/>
        <family val="3"/>
        <charset val="129"/>
      </rPr>
      <t>등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노동관계법령상의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통상임금을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일관성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있게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산정</t>
    </r>
    <r>
      <rPr>
        <sz val="9"/>
        <color rgb="FF444444"/>
        <rFont val="Tahoma"/>
        <family val="2"/>
      </rPr>
      <t>·</t>
    </r>
    <r>
      <rPr>
        <sz val="9"/>
        <color rgb="FF444444"/>
        <rFont val="돋움"/>
        <family val="3"/>
        <charset val="129"/>
      </rPr>
      <t>적용함을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목적으로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한다</t>
    </r>
    <r>
      <rPr>
        <sz val="9"/>
        <color rgb="FF444444"/>
        <rFont val="Tahoma"/>
        <family val="2"/>
      </rPr>
      <t>. </t>
    </r>
    <phoneticPr fontId="2" type="noConversion"/>
  </si>
  <si>
    <r>
      <t>2. "</t>
    </r>
    <r>
      <rPr>
        <sz val="9"/>
        <color rgb="FF444444"/>
        <rFont val="돋움"/>
        <family val="3"/>
        <charset val="129"/>
      </rPr>
      <t>법정근로시간</t>
    </r>
    <r>
      <rPr>
        <sz val="9"/>
        <color rgb="FF444444"/>
        <rFont val="Tahoma"/>
        <family val="2"/>
      </rPr>
      <t>"</t>
    </r>
    <r>
      <rPr>
        <sz val="9"/>
        <color rgb="FF444444"/>
        <rFont val="돋움"/>
        <family val="3"/>
        <charset val="129"/>
      </rPr>
      <t>이란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「근로기준법」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50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근로시간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Tahoma"/>
        <family val="2"/>
      </rPr>
      <t>,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69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근로시간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Tahoma"/>
        <family val="2"/>
      </rPr>
      <t> </t>
    </r>
    <r>
      <rPr>
        <sz val="9"/>
        <color rgb="FF444444"/>
        <rFont val="돋움"/>
        <family val="3"/>
        <charset val="129"/>
      </rPr>
      <t>본문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및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「산업안전보건법」</t>
    </r>
    <r>
      <rPr>
        <sz val="9"/>
        <color rgb="FF444444"/>
        <rFont val="Tahoma"/>
        <family val="2"/>
      </rPr>
      <t> </t>
    </r>
    <r>
      <rPr>
        <u/>
        <sz val="9"/>
        <color rgb="FF005A84"/>
        <rFont val="돋움"/>
        <family val="3"/>
        <charset val="129"/>
      </rPr>
      <t>제</t>
    </r>
    <r>
      <rPr>
        <u/>
        <sz val="9"/>
        <color rgb="FF005A84"/>
        <rFont val="Tahoma"/>
        <family val="2"/>
      </rPr>
      <t>46</t>
    </r>
    <r>
      <rPr>
        <u/>
        <sz val="9"/>
        <color rgb="FF005A84"/>
        <rFont val="돋움"/>
        <family val="3"/>
        <charset val="129"/>
      </rPr>
      <t>조</t>
    </r>
    <r>
      <rPr>
        <u/>
        <sz val="9"/>
        <color rgb="FF005A84"/>
        <rFont val="Tahoma"/>
        <family val="2"/>
      </rPr>
      <t>(</t>
    </r>
    <r>
      <rPr>
        <u/>
        <sz val="9"/>
        <color rgb="FF005A84"/>
        <rFont val="돋움"/>
        <family val="3"/>
        <charset val="129"/>
      </rPr>
      <t>공정안전보고서의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이행</t>
    </r>
    <r>
      <rPr>
        <u/>
        <sz val="9"/>
        <color rgb="FF005A84"/>
        <rFont val="Tahoma"/>
        <family val="2"/>
      </rPr>
      <t xml:space="preserve"> </t>
    </r>
    <r>
      <rPr>
        <u/>
        <sz val="9"/>
        <color rgb="FF005A84"/>
        <rFont val="돋움"/>
        <family val="3"/>
        <charset val="129"/>
      </rPr>
      <t>등</t>
    </r>
    <r>
      <rPr>
        <u/>
        <sz val="9"/>
        <color rgb="FF005A84"/>
        <rFont val="Tahoma"/>
        <family val="2"/>
      </rPr>
      <t>)</t>
    </r>
    <r>
      <rPr>
        <sz val="9"/>
        <color rgb="FF444444"/>
        <rFont val="돋움"/>
        <family val="3"/>
        <charset val="129"/>
      </rPr>
      <t>에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따른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근로시간을</t>
    </r>
    <r>
      <rPr>
        <sz val="9"/>
        <color rgb="FF444444"/>
        <rFont val="Tahoma"/>
        <family val="2"/>
      </rPr>
      <t xml:space="preserve"> </t>
    </r>
    <r>
      <rPr>
        <sz val="9"/>
        <color rgb="FF444444"/>
        <rFont val="돋움"/>
        <family val="3"/>
        <charset val="129"/>
      </rPr>
      <t>말한다</t>
    </r>
    <r>
      <rPr>
        <sz val="9"/>
        <color rgb="FF444444"/>
        <rFont val="Tahoma"/>
        <family val="2"/>
      </rPr>
      <t>. </t>
    </r>
    <phoneticPr fontId="2" type="noConversion"/>
  </si>
  <si>
    <t>③ ★ 삭제 [2017.11.28] [[시행일 2018.5.29]] ★</t>
    <phoneticPr fontId="2" type="noConversion"/>
  </si>
  <si>
    <r>
      <t xml:space="preserve">① 사용자는 </t>
    </r>
    <r>
      <rPr>
        <b/>
        <u/>
        <sz val="11"/>
        <color rgb="FFC00000"/>
        <rFont val="맑은 고딕"/>
        <family val="3"/>
        <charset val="129"/>
        <scheme val="minor"/>
      </rPr>
      <t>1년간 80퍼센트 이상 출근한 근로자에게 15일의 유급휴가</t>
    </r>
    <r>
      <rPr>
        <sz val="11"/>
        <color theme="1"/>
        <rFont val="맑은 고딕"/>
        <family val="2"/>
        <charset val="129"/>
        <scheme val="minor"/>
      </rPr>
      <t>를 주어야 한다. [개정 2012.2.1] [[시행일 2012.8.2]]</t>
    </r>
    <phoneticPr fontId="2" type="noConversion"/>
  </si>
  <si>
    <t>“1년 계약직 연차는 11일” 고용부 해석 뒤집은 대법 [법알못 판례 읽기]</t>
    <phoneticPr fontId="2" type="noConversion"/>
  </si>
  <si>
    <t>삭제조문 2018년 5월 29일 시행된 근로기준법에서 "사용한 휴가 일수를 15일에서 뺀다."라는 규정을 삭제한 것은 최초 1년간 연차휴가를 사용한 경우 다음 해 연차휴가가 줄어드는 것을 방지하기 위한 것이므로,</t>
    <phoneticPr fontId="2" type="noConversion"/>
  </si>
  <si>
    <t>이를 근거로 1년동안만 근로를 제공한 근로자에게 제60조 2항과 제1항이 중첩적으로 적용된다고 볼 수 없다.</t>
    <phoneticPr fontId="2" type="noConversion"/>
  </si>
  <si>
    <t>1년 계약직 연차는 11일 !  (대법 2021다227100) 2021년 10월 14일</t>
    <phoneticPr fontId="2" type="noConversion"/>
  </si>
  <si>
    <t>연장근로수당</t>
    <phoneticPr fontId="105" type="noConversion"/>
  </si>
  <si>
    <t>휴일근로수당</t>
    <phoneticPr fontId="105" type="noConversion"/>
  </si>
  <si>
    <t>월 총 일수</t>
    <phoneticPr fontId="2" type="noConversion"/>
  </si>
  <si>
    <t>주휴일(일요일) 수</t>
    <phoneticPr fontId="2" type="noConversion"/>
  </si>
  <si>
    <t>근무일수(토,일제외)</t>
    <phoneticPr fontId="2" type="noConversion"/>
  </si>
  <si>
    <t>공휴일 입력(토,일제외)</t>
    <phoneticPr fontId="2" type="noConversion"/>
  </si>
  <si>
    <t>실제 근무일수</t>
    <phoneticPr fontId="2" type="noConversion"/>
  </si>
  <si>
    <t>토요일 수</t>
    <phoneticPr fontId="2" type="noConversion"/>
  </si>
  <si>
    <t>토,일요일 수</t>
    <phoneticPr fontId="2" type="noConversion"/>
  </si>
  <si>
    <t>실제 근무일수(土근무)</t>
    <phoneticPr fontId="2" type="noConversion"/>
  </si>
  <si>
    <t>더존 임금대장</t>
    <phoneticPr fontId="2" type="noConversion"/>
  </si>
  <si>
    <t>근무일수기준</t>
    <phoneticPr fontId="2" type="noConversion"/>
  </si>
  <si>
    <t>공휴일 제외</t>
    <phoneticPr fontId="2" type="noConversion"/>
  </si>
  <si>
    <t>토요일만 포함</t>
    <phoneticPr fontId="2" type="noConversion"/>
  </si>
  <si>
    <t>공휴일 포함</t>
    <phoneticPr fontId="2" type="noConversion"/>
  </si>
  <si>
    <t>토,일,공휴일 제외일수</t>
    <phoneticPr fontId="2" type="noConversion"/>
  </si>
  <si>
    <t>일,공휴일 제외 일수</t>
    <phoneticPr fontId="2" type="noConversion"/>
  </si>
  <si>
    <t>귀속 월 전체 일수</t>
    <phoneticPr fontId="2" type="noConversion"/>
  </si>
  <si>
    <t>일수</t>
    <phoneticPr fontId="2" type="noConversion"/>
  </si>
  <si>
    <t>근무일수</t>
    <phoneticPr fontId="2" type="noConversion"/>
  </si>
  <si>
    <t>토,일제외</t>
    <phoneticPr fontId="2" type="noConversion"/>
  </si>
  <si>
    <t>토요일 수</t>
    <phoneticPr fontId="2" type="noConversion"/>
  </si>
  <si>
    <t>토,일(중복)제외</t>
    <phoneticPr fontId="2" type="noConversion"/>
  </si>
  <si>
    <t>공휴일수(직접입력)</t>
    <phoneticPr fontId="2" type="noConversion"/>
  </si>
  <si>
    <t>근로자의 날 (토요일)</t>
    <phoneticPr fontId="2" type="noConversion"/>
  </si>
  <si>
    <t>대체휴일</t>
    <phoneticPr fontId="2" type="noConversion"/>
  </si>
  <si>
    <t>공휴일법에 따른 공휴일·대체공휴일 Q&amp;A</t>
    <phoneticPr fontId="2" type="noConversion"/>
  </si>
  <si>
    <t>◈ 「공휴일에 관한 법률」의 제정 및 「관공서의 공휴일에 관한 규정」의 개정에 따라 민간기업에 적용되는 휴일(공휴일·대체공휴일)에도 변화가 있어,</t>
    <phoneticPr fontId="2" type="noConversion"/>
  </si>
  <si>
    <t xml:space="preserve">     아래와 같이 빈번하게 제기되는 질문에 대해 Q&amp;A를 통해 설명드림</t>
    <phoneticPr fontId="2" type="noConversion"/>
  </si>
  <si>
    <t>Q1. 공휴일법 제정에 따른 민간기업의 공휴일·대체공휴일 적용은?</t>
    <phoneticPr fontId="2" type="noConversion"/>
  </si>
  <si>
    <t>○ 최근 「공휴일에 관한 법률」 (이하 '공휴일법'이라 함)이 제정·공포되었으며(2021.7.7.), 그 주요 내용은 아래와 같음</t>
    <phoneticPr fontId="2" type="noConversion"/>
  </si>
  <si>
    <t>주40시간 근무일수</t>
    <phoneticPr fontId="2" type="noConversion"/>
  </si>
  <si>
    <t>월~금</t>
    <phoneticPr fontId="2" type="noConversion"/>
  </si>
  <si>
    <t>기능 및 자격 / 종사업무</t>
    <phoneticPr fontId="2" type="noConversion"/>
  </si>
  <si>
    <t>산업안전관리기사</t>
    <phoneticPr fontId="2" type="noConversion"/>
  </si>
  <si>
    <t>퇴사일</t>
    <phoneticPr fontId="2" type="noConversion"/>
  </si>
  <si>
    <t>원칙 입사일 기준(만1년,만2년)으로 연차미사용수당 정산 지급 / 관리편의상 회계연도기준(퇴사시 입사연도와 근로자 불리하지 않게 정산)</t>
    <phoneticPr fontId="2" type="noConversion"/>
  </si>
  <si>
    <t>근로자의 날 제정에 관한 법률 ( 약칭: 근로자의날법 )</t>
    <phoneticPr fontId="2" type="noConversion"/>
  </si>
  <si>
    <t>사용자는 근로자에게 「관공서의 공휴일에 관한 규정」 제2조 각 호에 따른</t>
    <phoneticPr fontId="2" type="noConversion"/>
  </si>
  <si>
    <t>이는 기업규모에 따라 단계적으로 시행(부칙 제1조제4항)</t>
    <phoneticPr fontId="2" type="noConversion"/>
  </si>
  <si>
    <t>공휴일(일요일 제외) 및 제3조에 따른 대체공휴일을 유급휴일로 보장하여야 하며,</t>
    <phoneticPr fontId="2" type="noConversion"/>
  </si>
  <si>
    <t>즉 '2021년에는 30일 이상 사업장에 적용되고, '2022.1.1.부터는 5인이상 30인 미만 사업장까지 확대 적용됨.</t>
    <phoneticPr fontId="2" type="noConversion"/>
  </si>
  <si>
    <t>* (시행일) 300인 이상 및 국가·지자체·공공기관('2020.1월) → 30인~299인('2021.1월) → 5인~29인('2022년 1월)</t>
    <phoneticPr fontId="2" type="noConversion"/>
  </si>
  <si>
    <t>공휴일법상 공휴일과 대체공휴일은 「관공서의 공휴일에 관한 규정」으로 구체화 되고, 이 내용이 근로기준법령을 통해서 민간기업에 적용됨 (부칙 제2조에 따른 금년(2021년) 하반기 대체공휴일 부여도 동일)</t>
    <phoneticPr fontId="2" type="noConversion"/>
  </si>
  <si>
    <t>근로기준법 제55조(휴일)제2항 및 같은 법 시행령 제30조제2항에 따라</t>
    <phoneticPr fontId="2" type="noConversion"/>
  </si>
  <si>
    <t xml:space="preserve"> 근로기준법 제55조 (휴일)</t>
    <phoneticPr fontId="2" type="noConversion"/>
  </si>
  <si>
    <t>① 사용자는 근로자에게 1주에 평균 1회 이상의 유급휴일을 보장하여야 한다. [개정 2018.3.20] [[시행일 2018.7.1]]</t>
    <phoneticPr fontId="2" type="noConversion"/>
  </si>
  <si>
    <t xml:space="preserve">② 사용자는 근로자에게 대통령령으로 정하는 휴일을 유급으로 보장하여야 한다. </t>
    <phoneticPr fontId="2" type="noConversion"/>
  </si>
  <si>
    <t xml:space="preserve">    다만, 근로자대표와 서면으로 합의한 경우 특정한 근로일로 대체할 수 있다. [신설 2018.3.20] [[시행일 2018.7.1]] [[시행일: 부칙참조(제15513호)]]</t>
    <phoneticPr fontId="2" type="noConversion"/>
  </si>
  <si>
    <t>근로기준법 시행령 제30조(휴일)</t>
    <phoneticPr fontId="2" type="noConversion"/>
  </si>
  <si>
    <t>① 법 제55조(휴일)제1항에 따른 유급휴일은 1주 동안의 소정근로일을 개근한 자에게 주어야 한다. [개정 2018.6.29]</t>
    <phoneticPr fontId="2" type="noConversion"/>
  </si>
  <si>
    <t>관공서의 공휴일에 관한 규정 약칭 : 관공서공휴일규정</t>
    <phoneticPr fontId="2" type="noConversion"/>
  </si>
  <si>
    <t xml:space="preserve">② 법 제55조(휴일)제2항 본문에서 "대통령령으로 정하는 휴일"이란 </t>
    <phoneticPr fontId="2" type="noConversion"/>
  </si>
  <si>
    <t xml:space="preserve">    「관공서의 공휴일에 관한 규정」 제2조(공휴일) 각 호(제1호는 제외한다)에 따른 공휴일 및 </t>
    <phoneticPr fontId="2" type="noConversion"/>
  </si>
  <si>
    <t>제2조(공휴일)</t>
    <phoneticPr fontId="2" type="noConversion"/>
  </si>
  <si>
    <t xml:space="preserve">관공서의 공휴일은 다음 각 호와 같다. </t>
    <phoneticPr fontId="2" type="noConversion"/>
  </si>
  <si>
    <t>다만, 재외공관의 공휴일은 우리나라의 국경일 중 공휴일과 주재국의 공휴일로 한다. [개정 98·12·18, 2005.6.30, 2006.9.6, 2012.12.28, 2017.10.17]</t>
    <phoneticPr fontId="2" type="noConversion"/>
  </si>
  <si>
    <t>1. 일요일</t>
    <phoneticPr fontId="2" type="noConversion"/>
  </si>
  <si>
    <t>2. 국경일 중 3·1절, 광복절, 개천절 및 한글날</t>
    <phoneticPr fontId="2" type="noConversion"/>
  </si>
  <si>
    <t>3. 1월 1일</t>
    <phoneticPr fontId="2" type="noConversion"/>
  </si>
  <si>
    <t>4. 설날 전날, 설날, 설날 다음날 (음력 12월 말일, 1월 1일, 2일)</t>
    <phoneticPr fontId="2" type="noConversion"/>
  </si>
  <si>
    <t>5. 삭제 [2005.6.30]</t>
    <phoneticPr fontId="2" type="noConversion"/>
  </si>
  <si>
    <t>6. 부처님오신날 (음력 4월 8일)</t>
    <phoneticPr fontId="2" type="noConversion"/>
  </si>
  <si>
    <t>7. 5월 5일 (어린이날)</t>
    <phoneticPr fontId="2" type="noConversion"/>
  </si>
  <si>
    <t>8. 6월 6일 (현충일)</t>
    <phoneticPr fontId="2" type="noConversion"/>
  </si>
  <si>
    <t>9. 추석 전날, 추석, 추석 다음날 (음력 8월 14일, 15일, 16일)</t>
    <phoneticPr fontId="2" type="noConversion"/>
  </si>
  <si>
    <t>10. 12월 25일 (기독탄신일)</t>
    <phoneticPr fontId="2" type="noConversion"/>
  </si>
  <si>
    <t>11. 기타 정부에서 수시 지정하는 날</t>
    <phoneticPr fontId="2" type="noConversion"/>
  </si>
  <si>
    <t xml:space="preserve">     같은 영 제3조(대체공휴일)에 따른 대체공휴일을 말한다. [신설 2018.6.29] [[시행일 : 부칙참조(제29010호]]</t>
    <phoneticPr fontId="2" type="noConversion"/>
  </si>
  <si>
    <t>제3조(대체공휴일)</t>
    <phoneticPr fontId="2" type="noConversion"/>
  </si>
  <si>
    <t>① 제2조(공휴일)제2호부터 제10호까지의 공휴일이 다음 각 호의 어느 하나에 해당하는 경우에는</t>
    <phoneticPr fontId="2" type="noConversion"/>
  </si>
  <si>
    <t xml:space="preserve">    그 공휴일 다음의 첫 번째 비공휴일(제2조 각 호의 공휴일이 아닌 날을 말한다. 이하 같다)을 대체공휴일로 한다.</t>
    <phoneticPr fontId="2" type="noConversion"/>
  </si>
  <si>
    <t>② 제1항에 따른 대체공휴일이 같은 날에 겹치는 경우에는 그 대체공휴일 다음의 첫 번째 비공휴일까지 대체공휴일로 한다.</t>
    <phoneticPr fontId="2" type="noConversion"/>
  </si>
  <si>
    <t xml:space="preserve">  1. 제2조제2호 또는 제7호의 공휴일이 토요일이나 일요일과 겹치는 경우</t>
    <phoneticPr fontId="2" type="noConversion"/>
  </si>
  <si>
    <t xml:space="preserve">  2. 제2조제4호 또는 제9호의 공휴일이 일요일과 겹치는 경우</t>
    <phoneticPr fontId="2" type="noConversion"/>
  </si>
  <si>
    <t xml:space="preserve">  3. 제2조제2호·제4호·제7호 또는 제9호의 공휴일이 토요일·일요일이 아닌 날에 </t>
    <phoneticPr fontId="2" type="noConversion"/>
  </si>
  <si>
    <t xml:space="preserve">      같은 조 제2호부터 제10호까지의 규정에 따른 다른 공휴일과 겹치는 경우</t>
    <phoneticPr fontId="2" type="noConversion"/>
  </si>
  <si>
    <t>③ 제1항 및 제2항에 따른 대체공휴일이 토요일인 경우에는 그 다음의 첫 번째 비공휴일을 대체공휴일로 한다.</t>
    <phoneticPr fontId="2" type="noConversion"/>
  </si>
  <si>
    <t>[전문개정 2021.8.4]</t>
    <phoneticPr fontId="2" type="noConversion"/>
  </si>
  <si>
    <r>
      <rPr>
        <b/>
        <sz val="11"/>
        <color rgb="FFC00000"/>
        <rFont val="맑은 고딕"/>
        <family val="3"/>
        <charset val="129"/>
        <scheme val="minor"/>
      </rPr>
      <t>5월 1일</t>
    </r>
    <r>
      <rPr>
        <sz val="11"/>
        <color theme="1"/>
        <rFont val="맑은 고딕"/>
        <family val="2"/>
        <charset val="129"/>
        <scheme val="minor"/>
      </rPr>
      <t xml:space="preserve">을 근로자의 날로 하고, 이 날을 「근로기준법」에 따른 </t>
    </r>
    <r>
      <rPr>
        <b/>
        <sz val="11"/>
        <color rgb="FFC00000"/>
        <rFont val="맑은 고딕"/>
        <family val="3"/>
        <charset val="129"/>
        <scheme val="minor"/>
      </rPr>
      <t>유급휴일(有給休日)</t>
    </r>
    <r>
      <rPr>
        <sz val="11"/>
        <color theme="1"/>
        <rFont val="맑은 고딕"/>
        <family val="2"/>
        <charset val="129"/>
        <scheme val="minor"/>
      </rPr>
      <t>로 한다.</t>
    </r>
    <phoneticPr fontId="2" type="noConversion"/>
  </si>
  <si>
    <t>10의2. 「공직선거법」 제34조(선거일)에 따른 임기만료에 의한 선거의 선거일</t>
    <phoneticPr fontId="2" type="noConversion"/>
  </si>
  <si>
    <t>공직선거법 제34조 (선거일)</t>
    <phoneticPr fontId="2" type="noConversion"/>
  </si>
  <si>
    <t>① 임기만료에 의한 선거의 선거일은 다음 각호와 같다. [개정 98·2·6, 2004.3.12]</t>
    <phoneticPr fontId="2" type="noConversion"/>
  </si>
  <si>
    <t xml:space="preserve">   1. 대통령선거는 그 임기만료일전 70일 이후 첫번째 수요일</t>
    <phoneticPr fontId="2" type="noConversion"/>
  </si>
  <si>
    <t xml:space="preserve">   2. 국회의원선거는 그 임기만료일전 50일 이후 첫번째 수요일</t>
    <phoneticPr fontId="2" type="noConversion"/>
  </si>
  <si>
    <t xml:space="preserve">   3. 지방의회의원 및 지방자치단체의 장의 선거는 그 임기만료일전 30일 이후 첫번째 수요일</t>
    <phoneticPr fontId="2" type="noConversion"/>
  </si>
  <si>
    <t>②제1항의 규정에 의한 선거일이 국민생활과 밀접한 관련이 있는 민속절 또는 공휴일인 때와 선거일전일이나 그 다음날이 공휴일인 때에는 그 다음주의 수요일로 한다. [개정 2004.3.12]</t>
    <phoneticPr fontId="2" type="noConversion"/>
  </si>
  <si>
    <r>
      <rPr>
        <sz val="11"/>
        <color theme="1"/>
        <rFont val="맑은 고딕"/>
        <family val="2"/>
        <charset val="129"/>
        <scheme val="minor"/>
      </rPr>
      <t>=if(or(N1&gt;eomonth(D3,-1)+1,O1&lt;eomonth(D3,0)</t>
    </r>
    <phoneticPr fontId="2" type="noConversion"/>
  </si>
  <si>
    <t>신민아</t>
    <phoneticPr fontId="2" type="noConversion"/>
  </si>
  <si>
    <t>주소정법정근로일수한도</t>
    <phoneticPr fontId="2" type="noConversion"/>
  </si>
  <si>
    <t>일 법정근로 시간 한도</t>
    <phoneticPr fontId="2" type="noConversion"/>
  </si>
  <si>
    <t>주휴일수</t>
    <phoneticPr fontId="2" type="noConversion"/>
  </si>
  <si>
    <t>데이터</t>
    <phoneticPr fontId="2" type="noConversion"/>
  </si>
  <si>
    <t>가상분석</t>
    <phoneticPr fontId="2" type="noConversion"/>
  </si>
  <si>
    <t>목표값 찾기 (G)</t>
    <phoneticPr fontId="2" type="noConversion"/>
  </si>
  <si>
    <t>법정 월 환산 기준시간 수</t>
    <phoneticPr fontId="2" type="noConversion"/>
  </si>
  <si>
    <t>5인 이하</t>
    <phoneticPr fontId="2" type="noConversion"/>
  </si>
  <si>
    <t>식당 5인미만</t>
    <phoneticPr fontId="2" type="noConversion"/>
  </si>
  <si>
    <t>출근</t>
    <phoneticPr fontId="2" type="noConversion"/>
  </si>
  <si>
    <t>퇴근</t>
    <phoneticPr fontId="2" type="noConversion"/>
  </si>
  <si>
    <t>휴게</t>
    <phoneticPr fontId="2" type="noConversion"/>
  </si>
  <si>
    <t>1시간 30분</t>
    <phoneticPr fontId="2" type="noConversion"/>
  </si>
  <si>
    <t>1년 계약직 연차 11일 (대법원2021다227100) 2021.10.14. 대법원 판결</t>
    <phoneticPr fontId="2" type="noConversion"/>
  </si>
  <si>
    <t>만65세이후 고용된자</t>
    <phoneticPr fontId="2" type="noConversion"/>
  </si>
  <si>
    <t>초단시간 근로자</t>
    <phoneticPr fontId="2" type="noConversion"/>
  </si>
  <si>
    <t>1) 근로계약서상 주 40시간 초과 근무시</t>
    <phoneticPr fontId="2" type="noConversion"/>
  </si>
  <si>
    <t>예를 들어, 주44시간 근무하는 근로자가 있습니다.</t>
    <phoneticPr fontId="2" type="noConversion"/>
  </si>
  <si>
    <t>"주40시간/5=8시간(주휴수당)"은 주휴수당이며, 나머지 4시간은 연장수당이므로 연장수당으로 지급받아야 합니다.</t>
    <phoneticPr fontId="2" type="noConversion"/>
  </si>
  <si>
    <t>2) 근로계약서상 근로시간 외 추가근무 (아르바이트 대타 등)</t>
    <phoneticPr fontId="2" type="noConversion"/>
  </si>
  <si>
    <t>하루 5시간, 5일 (주25시간) 근로계약한 아르바이트가 있습니다.</t>
    <phoneticPr fontId="2" type="noConversion"/>
  </si>
  <si>
    <t>월6시간, 화6시간, 수6시간, 목5시간, 금5시간(주 28시간)을 근무하였습니다.</t>
    <phoneticPr fontId="2" type="noConversion"/>
  </si>
  <si>
    <t>5시간으로 계약했으니 5시간만 주휴수당이 적용되며, 나머지 3시간은 연장수당으로 계산하여 지급받아야 합니다.</t>
    <phoneticPr fontId="2" type="noConversion"/>
  </si>
  <si>
    <r>
      <t xml:space="preserve">② 사용자는 계속하여 근로한 기간이 </t>
    </r>
    <r>
      <rPr>
        <b/>
        <sz val="11"/>
        <color rgb="FFC00000"/>
        <rFont val="맑은 고딕"/>
        <family val="3"/>
        <charset val="129"/>
        <scheme val="minor"/>
      </rPr>
      <t xml:space="preserve">1년 </t>
    </r>
    <r>
      <rPr>
        <b/>
        <u/>
        <sz val="11"/>
        <color rgb="FFC00000"/>
        <rFont val="맑은 고딕"/>
        <family val="3"/>
        <charset val="129"/>
        <scheme val="minor"/>
      </rPr>
      <t>미만</t>
    </r>
    <r>
      <rPr>
        <b/>
        <sz val="11"/>
        <color rgb="FF0070C0"/>
        <rFont val="맑은 고딕"/>
        <family val="3"/>
        <charset val="129"/>
        <scheme val="minor"/>
      </rPr>
      <t xml:space="preserve">인 근로자 또는 </t>
    </r>
    <r>
      <rPr>
        <b/>
        <u/>
        <sz val="11"/>
        <color rgb="FFC00000"/>
        <rFont val="맑은 고딕"/>
        <family val="3"/>
        <charset val="129"/>
        <scheme val="minor"/>
      </rPr>
      <t xml:space="preserve">1년간 80퍼센트 미만 출근한 근로자에게 </t>
    </r>
    <r>
      <rPr>
        <b/>
        <u/>
        <sz val="11"/>
        <color rgb="FF7030A0"/>
        <rFont val="맑은 고딕"/>
        <family val="3"/>
        <charset val="129"/>
        <scheme val="minor"/>
      </rPr>
      <t>1개월 개근 시 1일의 유급휴가</t>
    </r>
    <r>
      <rPr>
        <b/>
        <sz val="11"/>
        <color rgb="FF0070C0"/>
        <rFont val="맑은 고딕"/>
        <family val="3"/>
        <charset val="129"/>
        <scheme val="minor"/>
      </rPr>
      <t>를 주어야 한다. [개정 2012.2.1] [[시행일 2012.8.2]]</t>
    </r>
    <phoneticPr fontId="2" type="noConversion"/>
  </si>
  <si>
    <r>
      <t xml:space="preserve">④ 사용자는 </t>
    </r>
    <r>
      <rPr>
        <b/>
        <u/>
        <sz val="11"/>
        <color rgb="FF7030A0"/>
        <rFont val="맑은 고딕"/>
        <family val="3"/>
        <charset val="129"/>
        <scheme val="minor"/>
      </rPr>
      <t>3년 이상 계속하여 근로</t>
    </r>
    <r>
      <rPr>
        <sz val="11"/>
        <color theme="1"/>
        <rFont val="맑은 고딕"/>
        <family val="2"/>
        <charset val="129"/>
        <scheme val="minor"/>
      </rPr>
      <t xml:space="preserve">한 근로자에게는 </t>
    </r>
    <r>
      <rPr>
        <b/>
        <u/>
        <sz val="11"/>
        <color rgb="FFC00000"/>
        <rFont val="맑은 고딕"/>
        <family val="3"/>
        <charset val="129"/>
        <scheme val="minor"/>
      </rPr>
      <t>제1항에 따른 휴가에 최초 1년을 초과하는 계속 근로 연수 매 2년에 대하여 1일을 가산한 유급휴가</t>
    </r>
    <r>
      <rPr>
        <sz val="11"/>
        <color theme="1"/>
        <rFont val="맑은 고딕"/>
        <family val="2"/>
        <charset val="129"/>
        <scheme val="minor"/>
      </rPr>
      <t xml:space="preserve">를 주어야 한다. </t>
    </r>
    <r>
      <rPr>
        <b/>
        <u/>
        <sz val="11"/>
        <color rgb="FFC00000"/>
        <rFont val="맑은 고딕"/>
        <family val="3"/>
        <charset val="129"/>
        <scheme val="minor"/>
      </rPr>
      <t>이 경우 가산휴가를 포함한 총 휴가 일수는 25일을 한도</t>
    </r>
    <r>
      <rPr>
        <sz val="11"/>
        <color theme="1"/>
        <rFont val="맑은 고딕"/>
        <family val="2"/>
        <charset val="129"/>
        <scheme val="minor"/>
      </rPr>
      <t>로 한다.</t>
    </r>
    <phoneticPr fontId="2" type="noConversion"/>
  </si>
  <si>
    <r>
      <t xml:space="preserve">⑦ 제1항ㆍ제2항 및 제4항에 따른 </t>
    </r>
    <r>
      <rPr>
        <u/>
        <sz val="11"/>
        <color rgb="FF7030A0"/>
        <rFont val="맑은 고딕"/>
        <family val="3"/>
        <charset val="129"/>
        <scheme val="minor"/>
      </rPr>
      <t>휴가는 1년간</t>
    </r>
    <r>
      <rPr>
        <sz val="11"/>
        <color theme="1"/>
        <rFont val="맑은 고딕"/>
        <family val="2"/>
        <charset val="129"/>
        <scheme val="minor"/>
      </rPr>
      <t>(계속하여 근로한 기간이 1년 미만인 근로자의 제2항에 따른 유급휴가는 최초 1년의 근로가 끝날 때까지의 기간을 말한다)</t>
    </r>
    <r>
      <rPr>
        <u/>
        <sz val="11"/>
        <color rgb="FF7030A0"/>
        <rFont val="맑은 고딕"/>
        <family val="3"/>
        <charset val="129"/>
        <scheme val="minor"/>
      </rPr>
      <t xml:space="preserve"> 행사하지 아니하면 소멸</t>
    </r>
    <r>
      <rPr>
        <sz val="11"/>
        <color theme="1"/>
        <rFont val="맑은 고딕"/>
        <family val="2"/>
        <charset val="129"/>
        <scheme val="minor"/>
      </rPr>
      <t>된다. 다만, 사용자의 귀책사유로 사용하지 못한 경우에는 그러하지 아니하다. [개정 2020.3.31]</t>
    </r>
    <phoneticPr fontId="2" type="noConversion"/>
  </si>
  <si>
    <t>연차휴가는 5인 미만 사업장에는 해당 없으며, 5인 미만 사업장에 적용제외</t>
    <phoneticPr fontId="2" type="noConversion"/>
  </si>
  <si>
    <r>
      <t xml:space="preserve">주휴수당은 </t>
    </r>
    <r>
      <rPr>
        <b/>
        <u/>
        <sz val="11"/>
        <color rgb="FFC00000"/>
        <rFont val="맑은 고딕"/>
        <family val="3"/>
        <charset val="129"/>
        <scheme val="minor"/>
      </rPr>
      <t>근로계약서</t>
    </r>
    <r>
      <rPr>
        <sz val="11"/>
        <color theme="1"/>
        <rFont val="맑은 고딕"/>
        <family val="2"/>
        <charset val="129"/>
        <scheme val="minor"/>
      </rPr>
      <t xml:space="preserve">상 </t>
    </r>
    <r>
      <rPr>
        <b/>
        <u/>
        <sz val="11"/>
        <color rgb="FFC00000"/>
        <rFont val="맑은 고딕"/>
        <family val="3"/>
        <charset val="129"/>
        <scheme val="minor"/>
      </rPr>
      <t>정해진 근로시간만 적용</t>
    </r>
    <r>
      <rPr>
        <sz val="11"/>
        <color theme="1"/>
        <rFont val="맑은 고딕"/>
        <family val="2"/>
        <charset val="129"/>
        <scheme val="minor"/>
      </rPr>
      <t>됩니다.</t>
    </r>
    <phoneticPr fontId="2" type="noConversion"/>
  </si>
  <si>
    <r>
      <t xml:space="preserve">근로기준법상 </t>
    </r>
    <r>
      <rPr>
        <b/>
        <u/>
        <sz val="11"/>
        <color rgb="FFC00000"/>
        <rFont val="맑은 고딕"/>
        <family val="3"/>
        <charset val="129"/>
        <scheme val="minor"/>
      </rPr>
      <t>법정근로시간</t>
    </r>
    <r>
      <rPr>
        <sz val="11"/>
        <color theme="1"/>
        <rFont val="맑은 고딕"/>
        <family val="2"/>
        <charset val="129"/>
        <scheme val="minor"/>
      </rPr>
      <t xml:space="preserve">은 </t>
    </r>
    <r>
      <rPr>
        <b/>
        <u/>
        <sz val="11"/>
        <color rgb="FFC00000"/>
        <rFont val="맑은 고딕"/>
        <family val="3"/>
        <charset val="129"/>
        <scheme val="minor"/>
      </rPr>
      <t>하루8시간, 주40시간</t>
    </r>
    <r>
      <rPr>
        <sz val="11"/>
        <color theme="1"/>
        <rFont val="맑은 고딕"/>
        <family val="2"/>
        <charset val="129"/>
        <scheme val="minor"/>
      </rPr>
      <t>입니다</t>
    </r>
    <r>
      <rPr>
        <b/>
        <u/>
        <sz val="11"/>
        <color rgb="FFC00000"/>
        <rFont val="맑은 고딕"/>
        <family val="3"/>
        <charset val="129"/>
        <scheme val="minor"/>
      </rPr>
      <t>. 따라서, 주휴수당은 8시간까지만 계산</t>
    </r>
    <r>
      <rPr>
        <sz val="11"/>
        <color theme="1"/>
        <rFont val="맑은 고딕"/>
        <family val="2"/>
        <charset val="129"/>
        <scheme val="minor"/>
      </rPr>
      <t>이되며, 이후 근무시간에 대해서는 연장수당로 지급받으셔야 합니다.</t>
    </r>
    <phoneticPr fontId="2" type="noConversion"/>
  </si>
  <si>
    <t>① 주 15시간이상 근무.</t>
    <phoneticPr fontId="2" type="noConversion"/>
  </si>
  <si>
    <t>② 근로계약서상 소정근로일(월~금) 만근.</t>
    <phoneticPr fontId="2" type="noConversion"/>
  </si>
  <si>
    <t>③ 다음주에 근무가 예정되어 있어야 함.</t>
    <phoneticPr fontId="2" type="noConversion"/>
  </si>
  <si>
    <t>주휴수당은 쉽게 "주근로시간/5"로 계산하면 됩니다.</t>
    <phoneticPr fontId="2" type="noConversion"/>
  </si>
  <si>
    <t>주휴수당은 쉽게 "min(주근로시간,min(하루8시간,주40시간))/5"로 계산하면 됩니다.</t>
    <phoneticPr fontId="2" type="noConversion"/>
  </si>
  <si>
    <t>최저임금법</t>
    <phoneticPr fontId="2" type="noConversion"/>
  </si>
  <si>
    <t xml:space="preserve">    [2022년] 38,289원을 제외한 복리후생비만 산입범위에 포함 [1주 40시간 기준]</t>
    <phoneticPr fontId="2" type="noConversion"/>
  </si>
  <si>
    <t>시급직,일용직,일당직은 월환산(월평균 내지 말고 실제 (일요일)주휴일수 구해라)하지 말아라.</t>
    <phoneticPr fontId="2" type="noConversion"/>
  </si>
  <si>
    <t>금요일</t>
    <phoneticPr fontId="2" type="noConversion"/>
  </si>
  <si>
    <t>월요일~목요일</t>
    <phoneticPr fontId="2" type="noConversion"/>
  </si>
  <si>
    <t>1년연평균환산 주</t>
    <phoneticPr fontId="2" type="noConversion"/>
  </si>
  <si>
    <t>월급 월 환산 시간</t>
    <phoneticPr fontId="2" type="noConversion"/>
  </si>
  <si>
    <t>약정 주 근로시간</t>
    <phoneticPr fontId="2" type="noConversion"/>
  </si>
  <si>
    <t>+</t>
    <phoneticPr fontId="2" type="noConversion"/>
  </si>
  <si>
    <t>주근로+주휴시간</t>
    <phoneticPr fontId="2" type="noConversion"/>
  </si>
  <si>
    <t>최저임금 산입범위 기준 &lt;3&gt;</t>
    <phoneticPr fontId="2" type="noConversion"/>
  </si>
  <si>
    <t>정기상여금/복리후생비(일부산입)</t>
    <phoneticPr fontId="2" type="noConversion"/>
  </si>
  <si>
    <t>상여금 : 최저임금 10% 초과 금액 산입 (191,444원 초과분)</t>
    <phoneticPr fontId="2" type="noConversion"/>
  </si>
  <si>
    <t>복리후생비 : 최저임금 2% 초과 금액 산입 (38,289원 초과분)</t>
    <phoneticPr fontId="2" type="noConversion"/>
  </si>
  <si>
    <t>상여금&amp;복리후생비 산입범위 기준 : 본인 근로시간 대비 최저임금</t>
    <phoneticPr fontId="2" type="noConversion"/>
  </si>
  <si>
    <t>구분</t>
    <phoneticPr fontId="2" type="noConversion"/>
  </si>
  <si>
    <t>기본급</t>
    <phoneticPr fontId="2" type="noConversion"/>
  </si>
  <si>
    <t>정기상여금</t>
    <phoneticPr fontId="2" type="noConversion"/>
  </si>
  <si>
    <t>식대</t>
    <phoneticPr fontId="2" type="noConversion"/>
  </si>
  <si>
    <t>총액</t>
    <phoneticPr fontId="2" type="noConversion"/>
  </si>
  <si>
    <t>임금</t>
    <phoneticPr fontId="2" type="noConversion"/>
  </si>
  <si>
    <t>최저임금 포함 임금</t>
    <phoneticPr fontId="2" type="noConversion"/>
  </si>
  <si>
    <t>최저임금 준수</t>
    <phoneticPr fontId="2" type="noConversion"/>
  </si>
  <si>
    <t>예제 1)</t>
    <phoneticPr fontId="2" type="noConversion"/>
  </si>
  <si>
    <t>최저임금 위반</t>
    <phoneticPr fontId="2" type="noConversion"/>
  </si>
  <si>
    <t>2022년 기준</t>
    <phoneticPr fontId="2" type="noConversion"/>
  </si>
  <si>
    <t>부 칙[2018.6.12 제15666호]</t>
    <phoneticPr fontId="2" type="noConversion"/>
  </si>
  <si>
    <t>제1조(시행일) 이 법은 2019년 1월 1일부터 시행한다.</t>
    <phoneticPr fontId="2" type="noConversion"/>
  </si>
  <si>
    <t xml:space="preserve">제2조(최저임금의 효력에 관한 적용 특례) </t>
    <phoneticPr fontId="2" type="noConversion"/>
  </si>
  <si>
    <t>① 제6조제4항제2호의 개정규정에도 불구하고 같은 호에서 규정하고 있는 "100분의 25"는 다음 각 호에 따른 비율로 한다.</t>
    <phoneticPr fontId="2" type="noConversion"/>
  </si>
  <si>
    <t>1. 2020년은 100분의 20</t>
    <phoneticPr fontId="2" type="noConversion"/>
  </si>
  <si>
    <t>2. 2021년은 100분의 15</t>
    <phoneticPr fontId="2" type="noConversion"/>
  </si>
  <si>
    <t>3. 2022년은 100분의 10</t>
    <phoneticPr fontId="2" type="noConversion"/>
  </si>
  <si>
    <t>4. 2023년은 100분의 5</t>
    <phoneticPr fontId="2" type="noConversion"/>
  </si>
  <si>
    <t>5. 2024년부터는 100분의 0</t>
    <phoneticPr fontId="2" type="noConversion"/>
  </si>
  <si>
    <t>② 제6조제4항제3호의 개정규정에도 불구하고 같은 호 나목에서 규정하고 있는 "100분의 7"은 다음 각 호에 따른 비율로 한다.</t>
    <phoneticPr fontId="2" type="noConversion"/>
  </si>
  <si>
    <t>1. 2020년은 100분의 5</t>
    <phoneticPr fontId="2" type="noConversion"/>
  </si>
  <si>
    <t>2. 2021년은 100분의 3</t>
    <phoneticPr fontId="2" type="noConversion"/>
  </si>
  <si>
    <t>3. 2022년은 100분의 2</t>
    <phoneticPr fontId="2" type="noConversion"/>
  </si>
  <si>
    <t>4. 2023년은 100분의 1</t>
    <phoneticPr fontId="2" type="noConversion"/>
  </si>
  <si>
    <t>시간급</t>
    <phoneticPr fontId="2" type="noConversion"/>
  </si>
  <si>
    <t>일급(8h)</t>
    <phoneticPr fontId="2" type="noConversion"/>
  </si>
  <si>
    <t>월 환산액(209h)</t>
    <phoneticPr fontId="2" type="noConversion"/>
  </si>
  <si>
    <t>상여금</t>
    <phoneticPr fontId="2" type="noConversion"/>
  </si>
  <si>
    <t>복리후생비</t>
    <phoneticPr fontId="2" type="noConversion"/>
  </si>
  <si>
    <t>통산임금 제외</t>
    <phoneticPr fontId="2" type="noConversion"/>
  </si>
  <si>
    <t>통산임금 산입</t>
    <phoneticPr fontId="2" type="noConversion"/>
  </si>
  <si>
    <r>
      <t>2. 상여금, 그 밖에 이에 준하는 것으로서 고용노동부령으로 정하는</t>
    </r>
    <r>
      <rPr>
        <b/>
        <sz val="11"/>
        <color rgb="FFFF0000"/>
        <rFont val="맑은 고딕"/>
        <family val="3"/>
        <charset val="129"/>
        <scheme val="minor"/>
      </rPr>
      <t xml:space="preserve"> </t>
    </r>
    <r>
      <rPr>
        <b/>
        <u/>
        <sz val="11"/>
        <color rgb="FFFF0000"/>
        <rFont val="맑은 고딕"/>
        <family val="3"/>
        <charset val="129"/>
        <scheme val="minor"/>
      </rPr>
      <t>임금의 월 지급액</t>
    </r>
    <r>
      <rPr>
        <b/>
        <u/>
        <sz val="11"/>
        <color rgb="FF7030A0"/>
        <rFont val="맑은 고딕"/>
        <family val="3"/>
        <charset val="129"/>
        <scheme val="minor"/>
      </rPr>
      <t xml:space="preserve"> 중 해당 연도 시간급 최저임금액을 기준으로 산정된 </t>
    </r>
    <r>
      <rPr>
        <b/>
        <u/>
        <sz val="11"/>
        <color theme="5"/>
        <rFont val="맑은 고딕"/>
        <family val="3"/>
        <charset val="129"/>
        <scheme val="minor"/>
      </rPr>
      <t>월 환산액</t>
    </r>
    <r>
      <rPr>
        <b/>
        <u/>
        <sz val="11"/>
        <color rgb="FF7030A0"/>
        <rFont val="맑은 고딕"/>
        <family val="3"/>
        <charset val="129"/>
        <scheme val="minor"/>
      </rPr>
      <t>의 100분의 25</t>
    </r>
    <r>
      <rPr>
        <b/>
        <sz val="11"/>
        <color rgb="FF002060"/>
        <rFont val="맑은 고딕"/>
        <family val="3"/>
        <charset val="129"/>
        <scheme val="minor"/>
      </rPr>
      <t>에 해당하는 부분</t>
    </r>
    <phoneticPr fontId="2" type="noConversion"/>
  </si>
  <si>
    <r>
      <t>나. 통화로 지급하는 임금의</t>
    </r>
    <r>
      <rPr>
        <sz val="11"/>
        <color rgb="FFFF0000"/>
        <rFont val="맑은 고딕"/>
        <family val="3"/>
        <charset val="129"/>
        <scheme val="minor"/>
      </rPr>
      <t xml:space="preserve"> 월 지급액</t>
    </r>
    <r>
      <rPr>
        <sz val="11"/>
        <color theme="1"/>
        <rFont val="맑은 고딕"/>
        <family val="2"/>
        <charset val="129"/>
        <scheme val="minor"/>
      </rPr>
      <t xml:space="preserve"> 중 </t>
    </r>
    <r>
      <rPr>
        <b/>
        <u/>
        <sz val="11"/>
        <color rgb="FF7030A0"/>
        <rFont val="맑은 고딕"/>
        <family val="3"/>
        <charset val="129"/>
        <scheme val="minor"/>
      </rPr>
      <t xml:space="preserve">해당 연도 시간급 최저임금액을 기준으로 산정된 </t>
    </r>
    <r>
      <rPr>
        <b/>
        <u/>
        <sz val="11"/>
        <color theme="5"/>
        <rFont val="맑은 고딕"/>
        <family val="3"/>
        <charset val="129"/>
        <scheme val="minor"/>
      </rPr>
      <t>월 환산액</t>
    </r>
    <r>
      <rPr>
        <b/>
        <u/>
        <sz val="11"/>
        <color rgb="FF7030A0"/>
        <rFont val="맑은 고딕"/>
        <family val="3"/>
        <charset val="129"/>
        <scheme val="minor"/>
      </rPr>
      <t>의 100분의 7</t>
    </r>
    <r>
      <rPr>
        <sz val="11"/>
        <color theme="1"/>
        <rFont val="맑은 고딕"/>
        <family val="2"/>
        <charset val="129"/>
        <scheme val="minor"/>
      </rPr>
      <t>에 해당하는 부분</t>
    </r>
    <phoneticPr fontId="2" type="noConversion"/>
  </si>
  <si>
    <t>입력 월지급액</t>
    <phoneticPr fontId="2" type="noConversion"/>
  </si>
  <si>
    <t>연도</t>
    <phoneticPr fontId="2" type="noConversion"/>
  </si>
  <si>
    <t>상여금</t>
    <phoneticPr fontId="2" type="noConversion"/>
  </si>
  <si>
    <t>복리후생비</t>
    <phoneticPr fontId="2" type="noConversion"/>
  </si>
  <si>
    <t>산입</t>
    <phoneticPr fontId="2" type="noConversion"/>
  </si>
  <si>
    <t>미산입</t>
    <phoneticPr fontId="2" type="noConversion"/>
  </si>
  <si>
    <t>기준</t>
    <phoneticPr fontId="2" type="noConversion"/>
  </si>
  <si>
    <t>소계</t>
    <phoneticPr fontId="2" type="noConversion"/>
  </si>
  <si>
    <t>계</t>
    <phoneticPr fontId="2" type="noConversion"/>
  </si>
  <si>
    <t>월~토</t>
    <phoneticPr fontId="2" type="noConversion"/>
  </si>
  <si>
    <t>월~금</t>
    <phoneticPr fontId="2" type="noConversion"/>
  </si>
  <si>
    <t>월~목</t>
    <phoneticPr fontId="2" type="noConversion"/>
  </si>
  <si>
    <t>대법원 2021.10.14 선고 2021다227100 판결</t>
    <phoneticPr fontId="2" type="noConversion"/>
  </si>
  <si>
    <t>시급직,일용직,일당직은 월환산(월평균 내지 말고 실제 (일요일)주휴일수(유급휴일) 구해라)하지 말아라.</t>
    <phoneticPr fontId="2" type="noConversion"/>
  </si>
  <si>
    <t>유급휴일이란</t>
    <phoneticPr fontId="2" type="noConversion"/>
  </si>
  <si>
    <t>휴일'은 근로자가 근로를 제공할 의무가 없는 날로, 사용자의 지휘·명령에서 완전히 벗어나 근로를 제공하지 않은 날을 의미합니다.</t>
    <phoneticPr fontId="2" type="noConversion"/>
  </si>
  <si>
    <t>연속된 근로로부터 피로 해소와 건강을 유지하여 인간으로서의 사회적, 문화적 생활을 향유하도록 하기 위함인데요.</t>
    <phoneticPr fontId="2" type="noConversion"/>
  </si>
  <si>
    <t>휴일은 종류는 다양하지만 그 중 '휴급휴일'은 휴가 기간 동안 일을 하는 것으로 취급하여 급여가 나오는 형태의 휴가로써 주로</t>
    <phoneticPr fontId="2" type="noConversion"/>
  </si>
  <si>
    <t>연가' 또는 '유급 주휴일'이라 불리는 형태 입니다.</t>
    <phoneticPr fontId="2" type="noConversion"/>
  </si>
  <si>
    <t>주휴일과 관공서 공휴일은 유급휴일로 보장되는 날입니다.</t>
    <phoneticPr fontId="2" type="noConversion"/>
  </si>
  <si>
    <t>근로기준법 제55조에 따르면</t>
    <phoneticPr fontId="2" type="noConversion"/>
  </si>
  <si>
    <t>① 사용자는 근로자에게 1주에 평균 1회 이상의 유급휴일을 보장하여야 하며,</t>
    <phoneticPr fontId="2" type="noConversion"/>
  </si>
  <si>
    <t>② 사용자는 근로자에게 대통령령으로 정하는 휴일을 유급으로 보장하여야 합니다.</t>
    <phoneticPr fontId="2" type="noConversion"/>
  </si>
  <si>
    <t>소정근로시간이 주 15시간 이상인 근로자</t>
    <phoneticPr fontId="2" type="noConversion"/>
  </si>
  <si>
    <t>※ 상여금 등 : ①1개월을 초과하는 기간에 걸친 해당사유에 따라 산정하는 상여금,장려가급(裝勵加給),능률수당 또는 근속수당 ②1개월을 초과하는 기간의 출근성적에 따라 지급하는 정근수당</t>
    <phoneticPr fontId="2" type="noConversion"/>
  </si>
  <si>
    <t>※ 복리후생비 : 식비, 숙박비, 교통비 등 근로자의 생활 보조 또는 복리후생을 위한 성질의 임금 (최저임금법 제6조제4항제3호)</t>
    <phoneticPr fontId="2" type="noConversion"/>
  </si>
  <si>
    <t>※ 기타수당에는 임금이 아닌 금품(예: 실비변상 목적의 금품)은 포함되지 않습니다.</t>
    <phoneticPr fontId="2" type="noConversion"/>
  </si>
  <si>
    <t>(최저임금법 제6조제4항제2호 및 시행규칙 제2조제2항)</t>
    <phoneticPr fontId="2" type="noConversion"/>
  </si>
  <si>
    <t>수급을 시작하닞 3개월 이내의 수습근로자 여부</t>
    <phoneticPr fontId="2" type="noConversion"/>
  </si>
  <si>
    <t>1. 근로시간 입력</t>
    <phoneticPr fontId="2" type="noConversion"/>
  </si>
  <si>
    <t>소정근로시간에는 휴게시간과 연장·야간근로시간은 포함되지 않습니다.</t>
    <phoneticPr fontId="2" type="noConversion"/>
  </si>
  <si>
    <t xml:space="preserve">"소정근로시간이란 근로자와 사용자 사이에 정한 근로시간을 말합니다. </t>
    <phoneticPr fontId="2" type="noConversion"/>
  </si>
  <si>
    <t xml:space="preserve">다만 소정근로시간은 일반근로자의 경우 1일 8시간, 1주 40시간 이내 (「근로기준법」 제50조), </t>
    <phoneticPr fontId="2" type="noConversion"/>
  </si>
  <si>
    <t>15세 이상 18세미만인 근로자는 1일 7시간, 1주 35시간 이내 (「근로기준법」 제69조),</t>
    <phoneticPr fontId="2" type="noConversion"/>
  </si>
  <si>
    <t>유해·위험작업 근로자는 1일 6시간, 1주 34시간 이내 (「산업안전보건법」 제46조)의 범위 내에서 정해져야 합니다.</t>
    <phoneticPr fontId="2" type="noConversion"/>
  </si>
  <si>
    <t>기본급에는 소정근로시간에 대한 입금만 포함되고, 아래의 임금은 포함되지 않습니다. (최저임금법 제6조제4항제1호 및 시행규칙 제2조제1항)</t>
    <phoneticPr fontId="2" type="noConversion"/>
  </si>
  <si>
    <t>1. 연장근로 또는 휴일에 대한 임금, 연장·야간 또는 휴일에 대한 가산임금</t>
    <phoneticPr fontId="2" type="noConversion"/>
  </si>
  <si>
    <t>2. 「근로기준법」 제60조에 따른 연차유급휴가의 미사용수당</t>
    <phoneticPr fontId="2" type="noConversion"/>
  </si>
  <si>
    <t>3. 유급으로 처리되는 휴일에 대한 임금 (「근로기준법」 제55조 제1항에 따른 주휴일은 제외)</t>
    <phoneticPr fontId="2" type="noConversion"/>
  </si>
  <si>
    <t>4. 그 밖에 명칭에 관계없이 제1호부터 제3호까지의 규정에 준하는 것으로 인정되는 임금</t>
    <phoneticPr fontId="2" type="noConversion"/>
  </si>
  <si>
    <t>2. (월급여자)기본급 입력 안내</t>
    <phoneticPr fontId="2" type="noConversion"/>
  </si>
  <si>
    <t xml:space="preserve">다만 소정근로시간은 일반근로자의 경우 1일 8시간, 1주 40시간 이내 (「근로기준법」 제50조(근로시간)), </t>
    <phoneticPr fontId="2" type="noConversion"/>
  </si>
  <si>
    <t xml:space="preserve">15세 이상 18세미만인 근로자는 1일 7시간, 1주 35시간 이내 (「근로기준법」 제69조(근로시간)), 다만, 당사자 사이의 합의에 따라 1일에 1시간, 1주에 5시간을 한도로 연장할 수 있다. </t>
    <phoneticPr fontId="2" type="noConversion"/>
  </si>
  <si>
    <t>3. 유급으로 처리되는 휴일에 대한 임금 (「근로기준법」 제55조(휴일) 제1항에 따른 주휴일은 제외)</t>
    <phoneticPr fontId="2" type="noConversion"/>
  </si>
  <si>
    <t>2. 「근로기준법」 제60조(연차 유급휴가)에 따른 연차유급휴가의 미사용수당</t>
    <phoneticPr fontId="2" type="noConversion"/>
  </si>
  <si>
    <t>기본급에는 소정근로시간에 대한 입금만 포함되고, 아래의 임금은 포함되지 않습니다. (최저임금법 제6조(최저임금의 효력)제4항제1호 및 시행규칙 제2조제1항)</t>
    <phoneticPr fontId="2" type="noConversion"/>
  </si>
  <si>
    <t>유해·위험작업 근로자는 1일 6시간, 1주 34시간 이내 (「산업안전보건법 시행령」 제46조(안전보건진단의 종류 및 내용))의 범위 내에서 정해져야 합니다.</t>
    <phoneticPr fontId="2" type="noConversion"/>
  </si>
  <si>
    <t>★ 근로시간 = 근무시간 - 휴게시간</t>
    <phoneticPr fontId="2" type="noConversion"/>
  </si>
  <si>
    <t xml:space="preserve">근로기준법 통상임금이란 근로기준법이 아닌 그 아래 근로기준법 시행령 제6조(통상임금) 제1항에 다음과 같이 규정되어 있습니다. </t>
    <phoneticPr fontId="2" type="noConversion"/>
  </si>
  <si>
    <t xml:space="preserve">근로기준법 시행령 제6조(통상임금) </t>
    <phoneticPr fontId="2" type="noConversion"/>
  </si>
  <si>
    <t>① 법과 이 영에서 “통상임금”이란 근로자에게 정기적이고 일률적으로 소정(所定)근로 또는 총 근로에 대하여 지급하기로 정한 시간급 금액, 일급 금액, 주급 금액, 월급 금액 또는 도급 금액을 말한다.</t>
    <phoneticPr fontId="2" type="noConversion"/>
  </si>
  <si>
    <t>② 제1항에 따른 통상임금을 시간급 금액으로 산정할 경우에는 다음 각 호의 방법에 따라 산정된 금액으로 한다. [개정 2018.6.29] [[시행일 : 부칙참조(제29010호]]</t>
    <phoneticPr fontId="2" type="noConversion"/>
  </si>
  <si>
    <t>1. 시간급 금액으로 정한 임금은 그 금액</t>
    <phoneticPr fontId="2" type="noConversion"/>
  </si>
  <si>
    <t>2. 일급 금액으로 정한 임금은 그 금액을 1일의 소정근로시간 수로 나눈 금액</t>
    <phoneticPr fontId="2" type="noConversion"/>
  </si>
  <si>
    <t>3. 주급 금액으로 정한 임금은 그 금액을 1주의 통상임금 산정 기준시간 수(1주의 소정근로시간과 소정근로시간 외에 유급으로 처리되는 시간을 합산한 시간)로 나눈 금액</t>
    <phoneticPr fontId="2" type="noConversion"/>
  </si>
  <si>
    <t>4. 월급 금액으로 정한 임금은 그 금액을 월의 통상임금 산정 기준시간 수(1주의 통상임금 산정기준시간 수에 1년 동안의 평균 주의 수를 곱한 시간을 12로 나눈 시간)로 나눈 금액</t>
    <phoneticPr fontId="2" type="noConversion"/>
  </si>
  <si>
    <t>5. 일·주·월 외의 일정한 기간으로 정한 임금은 제2호부터 제4호까지의 규정에 준하여 산정된 금액</t>
    <phoneticPr fontId="2" type="noConversion"/>
  </si>
  <si>
    <t>6. 도급 금액으로 정한 임금은 그 임금 산정 기간에서 도급제에 따라 계산된 임금의 총액을 해당 임금 산정 기간(임금 마감일이 있는 경우에는 임금 마감 기간을 말한다)의 총 근로 시간 수로 나눈 금액</t>
    <phoneticPr fontId="2" type="noConversion"/>
  </si>
  <si>
    <t>7. 근로자가 받는 임금이 제1호부터 제6호까지의 규정에서 정한 둘 이상의 임금으로 되어 있는 경우에는 제1호부터 제6호까지의 규정에 따라 각각 산정된 금액을 합산한 금액</t>
    <phoneticPr fontId="2" type="noConversion"/>
  </si>
  <si>
    <t>③ 제1항에 따른 통상임금을 일급 금액으로 산정할 때에는 제2항에 따른 시간급 금액에 1일의 소정근로시간 수를 곱하여 계산한다.</t>
    <phoneticPr fontId="2" type="noConversion"/>
  </si>
  <si>
    <t>시 급 직  노  무  비  지  급  명  세  서</t>
    <phoneticPr fontId="2" type="noConversion"/>
  </si>
  <si>
    <t>번호</t>
    <phoneticPr fontId="2" type="noConversion"/>
  </si>
  <si>
    <t>직종</t>
    <phoneticPr fontId="2" type="noConversion"/>
  </si>
  <si>
    <t>성       명</t>
    <phoneticPr fontId="2" type="noConversion"/>
  </si>
  <si>
    <t>연락처 
(주  소)</t>
    <phoneticPr fontId="2" type="noConversion"/>
  </si>
  <si>
    <t>출 역 상 황</t>
    <phoneticPr fontId="2" type="noConversion"/>
  </si>
  <si>
    <t>근로
시간</t>
    <phoneticPr fontId="2" type="noConversion"/>
  </si>
  <si>
    <t>노 무 비  단 가
(시급)</t>
    <phoneticPr fontId="2" type="noConversion"/>
  </si>
  <si>
    <t>임 금
총 액</t>
    <phoneticPr fontId="2" type="noConversion"/>
  </si>
  <si>
    <t>소득세</t>
    <phoneticPr fontId="2" type="noConversion"/>
  </si>
  <si>
    <t>건강
보험</t>
    <phoneticPr fontId="2" type="noConversion"/>
  </si>
  <si>
    <t>공제
총계</t>
    <phoneticPr fontId="2" type="noConversion"/>
  </si>
  <si>
    <t>근무
일수</t>
    <phoneticPr fontId="2" type="noConversion"/>
  </si>
  <si>
    <t>장기요양
보험</t>
    <phoneticPr fontId="2" type="noConversion"/>
  </si>
  <si>
    <t>차인
지급액</t>
    <phoneticPr fontId="2" type="noConversion"/>
  </si>
  <si>
    <t>서빙</t>
    <phoneticPr fontId="2" type="noConversion"/>
  </si>
  <si>
    <t>주책</t>
    <phoneticPr fontId="2" type="noConversion"/>
  </si>
  <si>
    <t>소           계</t>
    <phoneticPr fontId="2" type="noConversion"/>
  </si>
  <si>
    <t>지급액(일용직대장)</t>
    <phoneticPr fontId="2" type="noConversion"/>
  </si>
  <si>
    <t>=N18*8*(J28*J29/40)</t>
    <phoneticPr fontId="2" type="noConversion"/>
  </si>
  <si>
    <t>근로세율</t>
    <phoneticPr fontId="2" type="noConversion"/>
  </si>
  <si>
    <t>선우조경</t>
  </si>
  <si>
    <r>
      <t>야간근로시간수</t>
    </r>
    <r>
      <rPr>
        <sz val="6"/>
        <color theme="1"/>
        <rFont val="맑은 고딕"/>
        <family val="3"/>
        <charset val="129"/>
        <scheme val="minor"/>
      </rPr>
      <t>(①중복시간)</t>
    </r>
    <phoneticPr fontId="2" type="noConversion"/>
  </si>
  <si>
    <r>
      <t xml:space="preserve">4. </t>
    </r>
    <r>
      <rPr>
        <b/>
        <u/>
        <sz val="11"/>
        <color rgb="FFC00000"/>
        <rFont val="맑은 고딕"/>
        <family val="3"/>
        <charset val="129"/>
        <scheme val="minor"/>
      </rPr>
      <t>월급</t>
    </r>
    <r>
      <rPr>
        <b/>
        <sz val="11"/>
        <color theme="1"/>
        <rFont val="맑은 고딕"/>
        <family val="3"/>
        <charset val="129"/>
        <scheme val="minor"/>
      </rPr>
      <t xml:space="preserve"> 금액으로 정한 임금은 그 금액을 </t>
    </r>
    <r>
      <rPr>
        <b/>
        <u/>
        <sz val="11"/>
        <color rgb="FFC00000"/>
        <rFont val="맑은 고딕"/>
        <family val="3"/>
        <charset val="129"/>
        <scheme val="minor"/>
      </rPr>
      <t>월의 통상임금 산정 기준시간 수(1주의 통상임금 산정기준시간 수에 1년 동안의 평균 주의 수를 곱한 시간을 12로 나눈 시간)로 나눈 금액</t>
    </r>
    <phoneticPr fontId="2" type="noConversion"/>
  </si>
  <si>
    <t>최저시급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</si>
</sst>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41" formatCode="_-* #,##0_-;\-* #,##0_-;_-* &quot;-&quot;_-;_-@_-"/>
    <numFmt numFmtId="43" formatCode="_-* #,##0.00_-;\-* #,##0.00_-;_-* &quot;-&quot;??_-;_-@_-"/>
    <numFmt numFmtId="176" formatCode="yyyy&quot;년&quot;\ m&quot;월 분&quot;;@"/>
    <numFmt numFmtId="177" formatCode="yyyy\.mm\.dd"/>
    <numFmt numFmtId="178" formatCode="0000_ "/>
    <numFmt numFmtId="179" formatCode="[$-F800]dddd\,\ mmmm\ dd\,\ yyyy"/>
    <numFmt numFmtId="180" formatCode="0_ &quot;시간&quot;"/>
    <numFmt numFmtId="181" formatCode="#,##0&quot;원&quot;"/>
    <numFmt numFmtId="182" formatCode="#,##0&quot;일&quot;"/>
    <numFmt numFmtId="183" formatCode="#,##0&quot;명&quot;"/>
    <numFmt numFmtId="184" formatCode="#,##0&quot;원&quot;;[Red]\-#,##0&quot;원&quot;"/>
    <numFmt numFmtId="185" formatCode="#,##0.00&quot;시간&quot;"/>
    <numFmt numFmtId="186" formatCode="#,##0.00&quot;시간&quot;;[Red]\-#,##0.00&quot;시간&quot;"/>
    <numFmt numFmtId="187" formatCode="0.0"/>
    <numFmt numFmtId="188" formatCode="_-* #,##0_-;[Red]\▲\ #,##0_-;_-* &quot;-&quot;_-;_-@_-"/>
    <numFmt numFmtId="189" formatCode="#,##0_-&quot;분&quot;;\-&quot;₩&quot;* #,##0_-;_-&quot;₩&quot;* &quot;-&quot;_-;_-@_-"/>
    <numFmt numFmtId="190" formatCode="0.00&quot;시간&quot;"/>
    <numFmt numFmtId="191" formatCode="yyyy&quot;년&quot;\ m&quot;월&quot;\ d&quot;일&quot;;@"/>
    <numFmt numFmtId="192" formatCode="h&quot;시&quot;\ mm&quot;분&quot;;@"/>
    <numFmt numFmtId="193" formatCode="0&quot;일&quot;"/>
    <numFmt numFmtId="194" formatCode="0.000%"/>
    <numFmt numFmtId="195" formatCode="00"/>
    <numFmt numFmtId="196" formatCode="_-* #,##0_-&quot;원&quot;;\-* #,##0_-;_-* &quot;-&quot;_-;_-@_-"/>
    <numFmt numFmtId="197" formatCode="0_ &quot;일&quot;"/>
    <numFmt numFmtId="198" formatCode="0_ &quot;개월&quot;"/>
    <numFmt numFmtId="199" formatCode="&quot;1개월 약&quot;0.000_ &quot;시간&quot;"/>
    <numFmt numFmtId="200" formatCode="&quot;월 &quot;#,##0&quot;시간&quot;"/>
    <numFmt numFmtId="201" formatCode="yyyy&quot;년&quot;\ m&quot;월&quot;;@"/>
    <numFmt numFmtId="202" formatCode="0_ &quot;명&quot;"/>
    <numFmt numFmtId="203" formatCode="yyyy\.mm\.dd;@"/>
    <numFmt numFmtId="204" formatCode="0_ &quot;분&quot;"/>
    <numFmt numFmtId="205" formatCode="0.00000_ &quot;시간&quot;"/>
    <numFmt numFmtId="206" formatCode="_-* #,##0.0_-;\-* #,##0.0_-;_-* &quot;-&quot;_-;_-@_-"/>
    <numFmt numFmtId="207" formatCode="_-* #,##0.000_-;\-* #,##0.000_-;_-* &quot;-&quot;_-;_-@_-"/>
    <numFmt numFmtId="208" formatCode="_-* #,##0.00_-;\-* #,##0.00_-;_-* &quot;-&quot;_-;_-@_-"/>
    <numFmt numFmtId="209" formatCode="&quot;=&quot;_-* #,##0_-&quot;원&quot;;\-* #,##0_-;_-* &quot;-&quot;_-;_-@_-"/>
    <numFmt numFmtId="210" formatCode="_-* #,##0_-&quot;시간&quot;;\-* #,##0_-;_-* &quot;-&quot;_-;_-@_-"/>
    <numFmt numFmtId="211" formatCode="&quot;평균&quot;\ #,##0.00_-&quot;시간&quot;;\-* #,##0.00_-;_-* &quot;-&quot;_-;_-@_-"/>
    <numFmt numFmtId="212" formatCode="&quot;시급&quot;\ #,##0_-&quot;원&quot;;\-* #,##0_-;_-* &quot;-&quot;_-;_-@_-"/>
    <numFmt numFmtId="213" formatCode="_-* #,##0_-&quot;주간의&quot;;\-* #,##0_-;_-* &quot;-&quot;_-;_-@_-"/>
    <numFmt numFmtId="214" formatCode="#,##0&quot;시간씩&quot;;\-* #,##0_-;_-* &quot;-&quot;_-;_-@_-"/>
    <numFmt numFmtId="215" formatCode="_-* #,##0_-&quot;일&quot;;\-* #,##0_-;_-* &quot;-&quot;_-;_-@_-"/>
    <numFmt numFmtId="216" formatCode="&quot;☞ &quot;\ #,##0_-&quot;시간&quot;;\-* #,##0_-;_-* &quot;-&quot;_-;_-@_-"/>
    <numFmt numFmtId="217" formatCode="&quot;x&quot;\ #,##0_-&quot;주    ÷&quot;;\-* #,##0_-;_-* &quot;-&quot;_-;_-@_-"/>
    <numFmt numFmtId="218" formatCode="&quot;=&quot;_-* #,##0.0_-&quot;시간&quot;;\-* #,##0.0_-;_-* &quot;-&quot;_-;_-@_-"/>
    <numFmt numFmtId="219" formatCode="&quot;(&quot;#,##0_ &quot;시간  +&quot;"/>
    <numFmt numFmtId="220" formatCode="#,##0.0&quot;시간 ) /&quot;"/>
    <numFmt numFmtId="221" formatCode="_-* #,##0.0_-&quot;시간&quot;;\-* #,##0.0_-;_-* &quot;-&quot;_-;_-@_-"/>
    <numFmt numFmtId="222" formatCode="&quot;=&quot;\ #,##0_-&quot;원&quot;;\-* #,##0_-;_-* &quot;-&quot;_-;_-@_-"/>
    <numFmt numFmtId="223" formatCode="_-* #,##0.000000000_-;\-* #,##0.000000000_-;_-* &quot;-&quot;_-;_-@_-"/>
    <numFmt numFmtId="224" formatCode="0.0&quot;시간&quot;\ "/>
    <numFmt numFmtId="225" formatCode="0.0_ "/>
    <numFmt numFmtId="226" formatCode="0.0_ &quot;시간&quot;"/>
    <numFmt numFmtId="227" formatCode="0.00_ &quot;시간&quot;"/>
    <numFmt numFmtId="228" formatCode="[$-412]AM/PM\ hh:mm;@"/>
    <numFmt numFmtId="229" formatCode="[hh]:mm"/>
    <numFmt numFmtId="230" formatCode="#,##0.0000&quot;시간&quot;"/>
    <numFmt numFmtId="231" formatCode="0.00_ &quot;시&quot;"/>
    <numFmt numFmtId="232" formatCode="_-* #,##0.0_-;\-* #,##0.0_-;_-* &quot;-&quot;?_-;_-@_-"/>
    <numFmt numFmtId="233" formatCode="#,##0&quot; X &quot;"/>
    <numFmt numFmtId="234" formatCode="&quot; = &quot;#,##0"/>
    <numFmt numFmtId="235" formatCode="000000\-0000000"/>
    <numFmt numFmtId="236" formatCode="0_ "/>
    <numFmt numFmtId="237" formatCode="#,##0_ ;[Red]\▲#,##0\ "/>
    <numFmt numFmtId="238" formatCode="&quot;주 &quot;#,##0&quot;시간&quot;"/>
    <numFmt numFmtId="239" formatCode="&quot;입사일&quot;\ #,##0&quot;세&quot;"/>
    <numFmt numFmtId="240" formatCode="&quot;만 &quot;#,##0&quot;세&quot;"/>
    <numFmt numFmtId="241" formatCode="#,##0.00_ "/>
    <numFmt numFmtId="242" formatCode="_-* #,##0.00_-&quot;시간&quot;;\-* #,##0.00_-;_-* &quot;-&quot;??_-;_-@_-"/>
    <numFmt numFmtId="243" formatCode="_-* #,##0_-&quot;주&quot;;\-* #,##0_-;_-* &quot;-&quot;_-;_-@_-"/>
    <numFmt numFmtId="244" formatCode="0.0%"/>
    <numFmt numFmtId="245" formatCode="&quot;월&quot;\ 0_ &quot;시간&quot;"/>
    <numFmt numFmtId="246" formatCode="#,##0&quot;시간&quot;"/>
    <numFmt numFmtId="247" formatCode="&quot;일&quot;\ 0_ &quot;시간&quot;"/>
    <numFmt numFmtId="248" formatCode="0&quot;시간&quot;"/>
    <numFmt numFmtId="249" formatCode="#,##0&quot;개&quot;"/>
    <numFmt numFmtId="250" formatCode="&quot;만&quot;\ #,##0_-&quot;년&quot;;\-* #,##0_-;_-* &quot;-&quot;_-;_-@_-"/>
    <numFmt numFmtId="251" formatCode="&quot;만 &quot;#,##0&quot;년 근속&quot;"/>
    <numFmt numFmtId="252" formatCode="0.000"/>
    <numFmt numFmtId="253" formatCode="0.00_ &quot;일&quot;"/>
    <numFmt numFmtId="254" formatCode="&quot;일&quot;\ 0.0_ &quot;시간&quot;"/>
    <numFmt numFmtId="255" formatCode="_-* #,##0.000000_-&quot;주&quot;;\-* #,##0.000000_-;_-* &quot;-&quot;_-;_-@_-"/>
    <numFmt numFmtId="256" formatCode="&quot;주&quot;#,##0&quot;일&quot;;\-* #,##0_-;_-* &quot;-&quot;_-;_-@_-"/>
    <numFmt numFmtId="257" formatCode="&quot;주&quot;0.0&quot;시간기준&quot;"/>
    <numFmt numFmtId="258" formatCode="&quot;m&quot;_-* #,##0_-&quot;h&quot;;\-* #,##0_-;_-* &quot;-&quot;_-;_-@_-"/>
    <numFmt numFmtId="259" formatCode="_-* #,##0_-&quot;원&quot;;\-* #,##0_-;_-* &quot;-&quot;??_-;_-@_-"/>
    <numFmt numFmtId="260" formatCode="&quot;월&quot;#,##0_-&quot;h&quot;;\-* #,##0_-;_-* &quot;-&quot;_-;_-@_-"/>
    <numFmt numFmtId="261" formatCode="&quot;일&quot;#,##0_-&quot;h&quot;;\-* #,##0_-;_-* &quot;-&quot;_-;_-@_-"/>
    <numFmt numFmtId="262" formatCode="_-* #,##0.00&quot;h&quot;;\-* #,##0.00_-;_-* &quot;-&quot;??_-;_-@_-"/>
    <numFmt numFmtId="263" formatCode="#,##0_ "/>
    <numFmt numFmtId="264" formatCode="#,##0.0&quot;일&quot;"/>
    <numFmt numFmtId="265" formatCode="yyyy/mm/dd;@"/>
    <numFmt numFmtId="266" formatCode="_-* #,##0.00_-&quot;원&quot;;\-* #,##0.00_-;_-* &quot;-&quot;??_-;_-@_-"/>
  </numFmts>
  <fonts count="16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4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color rgb="FF7030A0"/>
      <name val="맑은 고딕"/>
      <family val="2"/>
      <charset val="129"/>
      <scheme val="minor"/>
    </font>
    <font>
      <sz val="11"/>
      <color rgb="FF7030A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color theme="5" tint="-0.499984740745262"/>
      <name val="맑은 고딕"/>
      <family val="2"/>
      <charset val="129"/>
      <scheme val="minor"/>
    </font>
    <font>
      <sz val="11"/>
      <color theme="4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color rgb="FF7030A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b/>
      <sz val="14"/>
      <color rgb="FFC0000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theme="8" tint="-0.499984740745262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sz val="11"/>
      <color theme="10"/>
      <name val="맑은 고딕"/>
      <family val="3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indexed="81"/>
      <name val="돋움"/>
      <family val="3"/>
      <charset val="129"/>
    </font>
    <font>
      <b/>
      <u/>
      <sz val="11"/>
      <color rgb="FF0070C0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inor"/>
    </font>
    <font>
      <b/>
      <u/>
      <sz val="11"/>
      <color rgb="FFC00000"/>
      <name val="맑은 고딕"/>
      <family val="3"/>
      <charset val="129"/>
      <scheme val="minor"/>
    </font>
    <font>
      <b/>
      <sz val="12"/>
      <color theme="9" tint="-0.499984740745262"/>
      <name val="맑은 고딕"/>
      <family val="3"/>
      <charset val="129"/>
      <scheme val="minor"/>
    </font>
    <font>
      <b/>
      <sz val="14"/>
      <color theme="9" tint="-0.499984740745262"/>
      <name val="맑은 고딕"/>
      <family val="3"/>
      <charset val="129"/>
      <scheme val="minor"/>
    </font>
    <font>
      <b/>
      <sz val="12"/>
      <color rgb="FFC00000"/>
      <name val="맑은 고딕"/>
      <family val="3"/>
      <charset val="129"/>
      <scheme val="minor"/>
    </font>
    <font>
      <sz val="9"/>
      <color theme="0" tint="-0.499984740745262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u/>
      <sz val="11"/>
      <color rgb="FFFF0000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rgb="FF7030A0"/>
      <name val="맑은 고딕"/>
      <family val="2"/>
      <charset val="129"/>
      <scheme val="minor"/>
    </font>
    <font>
      <sz val="10"/>
      <color rgb="FF7030A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color theme="0" tint="-0.499984740745262"/>
      <name val="맑은 고딕"/>
      <family val="2"/>
      <charset val="129"/>
      <scheme val="minor"/>
    </font>
    <font>
      <sz val="11"/>
      <color theme="0" tint="-0.499984740745262"/>
      <name val="맑은 고딕"/>
      <family val="3"/>
      <charset val="129"/>
      <scheme val="minor"/>
    </font>
    <font>
      <sz val="13"/>
      <color theme="1"/>
      <name val="맑은 고딕"/>
      <family val="2"/>
      <charset val="129"/>
      <scheme val="minor"/>
    </font>
    <font>
      <sz val="16"/>
      <color theme="1"/>
      <name val="맑은 고딕"/>
      <family val="2"/>
      <charset val="129"/>
      <scheme val="minor"/>
    </font>
    <font>
      <sz val="12"/>
      <color rgb="FF7030A0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0" tint="-0.499984740745262"/>
      <name val="맑은 고딕"/>
      <family val="3"/>
      <charset val="129"/>
      <scheme val="minor"/>
    </font>
    <font>
      <sz val="12"/>
      <color theme="0" tint="-0.499984740745262"/>
      <name val="맑은 고딕"/>
      <family val="2"/>
      <charset val="129"/>
      <scheme val="minor"/>
    </font>
    <font>
      <sz val="12"/>
      <color rgb="FF7030A0"/>
      <name val="맑은 고딕"/>
      <family val="3"/>
      <charset val="129"/>
      <scheme val="minor"/>
    </font>
    <font>
      <b/>
      <sz val="12"/>
      <color rgb="FF7030A0"/>
      <name val="맑은 고딕"/>
      <family val="3"/>
      <charset val="129"/>
      <scheme val="minor"/>
    </font>
    <font>
      <sz val="12"/>
      <color rgb="FF00206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rgb="FF7030A0"/>
      <name val="맑은 고딕"/>
      <family val="3"/>
      <charset val="129"/>
      <scheme val="minor"/>
    </font>
    <font>
      <sz val="16"/>
      <color rgb="FF0070C0"/>
      <name val="맑은 고딕"/>
      <family val="2"/>
      <charset val="129"/>
      <scheme val="minor"/>
    </font>
    <font>
      <sz val="16"/>
      <color rgb="FF0070C0"/>
      <name val="맑은 고딕"/>
      <family val="3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9"/>
      <color indexed="81"/>
      <name val="金梅毛隸書"/>
      <family val="3"/>
      <charset val="136"/>
    </font>
    <font>
      <sz val="10"/>
      <name val="Arial"/>
      <family val="2"/>
    </font>
    <font>
      <sz val="10"/>
      <name val="돋움"/>
      <family val="3"/>
      <charset val="129"/>
    </font>
    <font>
      <sz val="8"/>
      <name val="돋움"/>
      <family val="3"/>
      <charset val="129"/>
    </font>
    <font>
      <u/>
      <sz val="10"/>
      <color theme="10"/>
      <name val="Arial"/>
      <family val="2"/>
    </font>
    <font>
      <b/>
      <sz val="12"/>
      <color rgb="FF002060"/>
      <name val="Arial"/>
      <family val="2"/>
    </font>
    <font>
      <b/>
      <sz val="12"/>
      <color indexed="56"/>
      <name val="돋움"/>
      <family val="3"/>
      <charset val="129"/>
    </font>
    <font>
      <b/>
      <sz val="12"/>
      <color indexed="56"/>
      <name val="Arial"/>
      <family val="2"/>
    </font>
    <font>
      <sz val="8"/>
      <name val="Arial"/>
      <family val="2"/>
    </font>
    <font>
      <sz val="10"/>
      <color indexed="23"/>
      <name val="돋움"/>
      <family val="3"/>
      <charset val="129"/>
    </font>
    <font>
      <sz val="10"/>
      <color rgb="FF7030A0"/>
      <name val="돋움"/>
      <family val="3"/>
      <charset val="129"/>
    </font>
    <font>
      <sz val="10"/>
      <color rgb="FF7030A0"/>
      <name val="Arial"/>
      <family val="2"/>
    </font>
    <font>
      <sz val="10"/>
      <color theme="0" tint="-0.499984740745262"/>
      <name val="돋움"/>
      <family val="3"/>
      <charset val="129"/>
    </font>
    <font>
      <sz val="6"/>
      <name val="돋움"/>
      <family val="3"/>
      <charset val="129"/>
    </font>
    <font>
      <sz val="10"/>
      <color rgb="FF002060"/>
      <name val="Arial"/>
      <family val="2"/>
    </font>
    <font>
      <sz val="12"/>
      <color rgb="FF000000"/>
      <name val="맑은 고딕"/>
      <family val="3"/>
      <charset val="129"/>
      <scheme val="minor"/>
    </font>
    <font>
      <sz val="12"/>
      <color rgb="FF000000"/>
      <name val="한컴바탕"/>
      <family val="1"/>
      <charset val="129"/>
    </font>
    <font>
      <b/>
      <sz val="10"/>
      <color rgb="FF7030A0"/>
      <name val="돋움"/>
      <family val="3"/>
      <charset val="129"/>
    </font>
    <font>
      <b/>
      <sz val="10"/>
      <color rgb="FF7030A0"/>
      <name val="Arial"/>
      <family val="2"/>
    </font>
    <font>
      <b/>
      <sz val="14"/>
      <color theme="8" tint="-0.499984740745262"/>
      <name val="맑은 고딕"/>
      <family val="3"/>
      <charset val="129"/>
      <scheme val="minor"/>
    </font>
    <font>
      <b/>
      <u/>
      <sz val="11"/>
      <color rgb="FF7030A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3"/>
      <color rgb="FF358791"/>
      <name val="굴림"/>
      <family val="3"/>
      <charset val="129"/>
    </font>
    <font>
      <b/>
      <sz val="16"/>
      <color rgb="FF00B050"/>
      <name val="맑은 고딕"/>
      <family val="3"/>
      <charset val="129"/>
      <scheme val="minor"/>
    </font>
    <font>
      <b/>
      <sz val="12"/>
      <color rgb="FF0070C0"/>
      <name val="맑은 고딕"/>
      <family val="3"/>
      <charset val="129"/>
      <scheme val="minor"/>
    </font>
    <font>
      <sz val="11"/>
      <color rgb="FF002060"/>
      <name val="맑은 고딕"/>
      <family val="2"/>
      <charset val="129"/>
      <scheme val="minor"/>
    </font>
    <font>
      <b/>
      <sz val="11"/>
      <color theme="7" tint="-0.499984740745262"/>
      <name val="맑은 고딕"/>
      <family val="3"/>
      <charset val="129"/>
      <scheme val="minor"/>
    </font>
    <font>
      <b/>
      <u val="singleAccounting"/>
      <sz val="11"/>
      <color rgb="FFFF0000"/>
      <name val="맑은 고딕"/>
      <family val="3"/>
      <charset val="129"/>
      <scheme val="minor"/>
    </font>
    <font>
      <u val="singleAccounting"/>
      <sz val="11"/>
      <color theme="1"/>
      <name val="맑은 고딕"/>
      <family val="3"/>
      <charset val="129"/>
      <scheme val="minor"/>
    </font>
    <font>
      <b/>
      <u val="singleAccounting"/>
      <sz val="11"/>
      <color rgb="FFC00000"/>
      <name val="맑은 고딕"/>
      <family val="3"/>
      <charset val="129"/>
      <scheme val="minor"/>
    </font>
    <font>
      <b/>
      <sz val="11"/>
      <color theme="4" tint="-0.499984740745262"/>
      <name val="맑은 고딕"/>
      <family val="3"/>
      <charset val="129"/>
      <scheme val="minor"/>
    </font>
    <font>
      <sz val="11"/>
      <color theme="4" tint="-0.499984740745262"/>
      <name val="맑은 고딕"/>
      <family val="3"/>
      <charset val="129"/>
      <scheme val="minor"/>
    </font>
    <font>
      <b/>
      <sz val="11"/>
      <color theme="9" tint="-0.499984740745262"/>
      <name val="맑은 고딕"/>
      <family val="3"/>
      <charset val="129"/>
      <scheme val="minor"/>
    </font>
    <font>
      <u/>
      <sz val="11"/>
      <color rgb="FFC00000"/>
      <name val="맑은 고딕"/>
      <family val="3"/>
      <charset val="129"/>
      <scheme val="minor"/>
    </font>
    <font>
      <u/>
      <sz val="14"/>
      <color rgb="FFC00000"/>
      <name val="맑은 고딕"/>
      <family val="2"/>
      <charset val="129"/>
      <scheme val="minor"/>
    </font>
    <font>
      <b/>
      <u/>
      <sz val="14"/>
      <color rgb="FFC00000"/>
      <name val="맑은 고딕"/>
      <family val="3"/>
      <charset val="129"/>
      <scheme val="minor"/>
    </font>
    <font>
      <strike/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HY신명조"/>
      <family val="1"/>
      <charset val="129"/>
    </font>
    <font>
      <sz val="8"/>
      <name val="맑은 고딕"/>
      <family val="3"/>
      <charset val="129"/>
    </font>
    <font>
      <sz val="10"/>
      <color theme="1"/>
      <name val="HY신명조"/>
      <family val="1"/>
      <charset val="129"/>
    </font>
    <font>
      <b/>
      <sz val="16"/>
      <color theme="1"/>
      <name val="맑은 고딕"/>
      <family val="3"/>
      <charset val="129"/>
      <scheme val="minor"/>
    </font>
    <font>
      <sz val="9"/>
      <color rgb="FF000000"/>
      <name val="Malgun Gothic"/>
      <family val="3"/>
      <charset val="129"/>
    </font>
    <font>
      <b/>
      <sz val="11"/>
      <color theme="5" tint="-0.499984740745262"/>
      <name val="맑은 고딕"/>
      <family val="3"/>
      <charset val="129"/>
      <scheme val="minor"/>
    </font>
    <font>
      <b/>
      <sz val="11"/>
      <color theme="5"/>
      <name val="맑은 고딕"/>
      <family val="3"/>
      <charset val="129"/>
      <scheme val="minor"/>
    </font>
    <font>
      <b/>
      <u/>
      <sz val="11"/>
      <color theme="5"/>
      <name val="맑은 고딕"/>
      <family val="3"/>
      <charset val="129"/>
      <scheme val="minor"/>
    </font>
    <font>
      <sz val="11"/>
      <color rgb="FF002060"/>
      <name val="맑은 고딕"/>
      <family val="3"/>
      <charset val="129"/>
      <scheme val="minor"/>
    </font>
    <font>
      <sz val="10"/>
      <color rgb="FF002060"/>
      <name val="맑은 고딕"/>
      <family val="3"/>
      <charset val="129"/>
      <scheme val="minor"/>
    </font>
    <font>
      <u/>
      <sz val="9.35"/>
      <color theme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9"/>
      <color indexed="81"/>
      <name val="맑은 고딕"/>
      <family val="2"/>
      <charset val="129"/>
    </font>
    <font>
      <b/>
      <sz val="10"/>
      <color rgb="FFFF0000"/>
      <name val="HY신명조"/>
      <family val="1"/>
      <charset val="129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499984740745262"/>
      <name val="맑은 고딕"/>
      <family val="3"/>
      <charset val="129"/>
      <scheme val="minor"/>
    </font>
    <font>
      <sz val="11"/>
      <color theme="4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</font>
    <font>
      <sz val="9"/>
      <color theme="1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u/>
      <sz val="11"/>
      <color rgb="FFC00000"/>
      <name val="맑은 고딕"/>
      <family val="2"/>
      <charset val="129"/>
      <scheme val="minor"/>
    </font>
    <font>
      <b/>
      <sz val="8"/>
      <color rgb="FF002060"/>
      <name val="맑은 고딕"/>
      <family val="3"/>
      <charset val="129"/>
      <scheme val="minor"/>
    </font>
    <font>
      <sz val="11"/>
      <color theme="7" tint="-0.499984740745262"/>
      <name val="맑은 고딕"/>
      <family val="3"/>
      <charset val="129"/>
      <scheme val="minor"/>
    </font>
    <font>
      <b/>
      <sz val="9"/>
      <color rgb="FF151594"/>
      <name val="Tahoma"/>
      <family val="2"/>
    </font>
    <font>
      <sz val="9"/>
      <color rgb="FF444444"/>
      <name val="Tahoma"/>
      <family val="2"/>
    </font>
    <font>
      <u/>
      <sz val="9"/>
      <color rgb="FF005A84"/>
      <name val="Tahoma"/>
      <family val="2"/>
    </font>
    <font>
      <sz val="9"/>
      <color rgb="FF444444"/>
      <name val="돋움"/>
      <family val="3"/>
      <charset val="129"/>
    </font>
    <font>
      <sz val="9"/>
      <color rgb="FF444444"/>
      <name val="Tahoma"/>
      <family val="3"/>
      <charset val="129"/>
    </font>
    <font>
      <sz val="9"/>
      <color rgb="FF444444"/>
      <name val="맑은 고딕"/>
      <family val="2"/>
      <charset val="129"/>
    </font>
    <font>
      <b/>
      <sz val="9"/>
      <color rgb="FF151594"/>
      <name val="돋움"/>
      <family val="3"/>
      <charset val="129"/>
    </font>
    <font>
      <u/>
      <sz val="9"/>
      <color rgb="FF005A84"/>
      <name val="돋움"/>
      <family val="3"/>
      <charset val="129"/>
    </font>
    <font>
      <b/>
      <sz val="9"/>
      <color rgb="FF151594"/>
      <name val="Tahoma"/>
      <family val="3"/>
      <charset val="129"/>
    </font>
    <font>
      <sz val="9"/>
      <color rgb="FFFF0000"/>
      <name val="맑은 고딕"/>
      <family val="2"/>
      <charset val="129"/>
      <scheme val="minor"/>
    </font>
    <font>
      <sz val="7.5"/>
      <color rgb="FFFF000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u/>
      <sz val="11"/>
      <color rgb="FF7030A0"/>
      <name val="맑은 고딕"/>
      <family val="3"/>
      <charset val="129"/>
      <scheme val="minor"/>
    </font>
    <font>
      <sz val="8"/>
      <color rgb="FF002060"/>
      <name val="맑은 고딕"/>
      <family val="3"/>
      <charset val="129"/>
      <scheme val="minor"/>
    </font>
    <font>
      <sz val="6.5"/>
      <color theme="1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b/>
      <sz val="10"/>
      <color rgb="FF002060"/>
      <name val="맑은 고딕"/>
      <family val="3"/>
      <charset val="129"/>
      <scheme val="minor"/>
    </font>
    <font>
      <sz val="9"/>
      <color rgb="FF002060"/>
      <name val="맑은 고딕"/>
      <family val="3"/>
      <charset val="129"/>
      <scheme val="minor"/>
    </font>
    <font>
      <sz val="16"/>
      <color rgb="FF7030A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sz val="10"/>
      <color rgb="FF0070C0"/>
      <name val="맑은 고딕"/>
      <family val="2"/>
      <charset val="129"/>
      <scheme val="minor"/>
    </font>
    <font>
      <sz val="10"/>
      <name val="굴림"/>
      <family val="3"/>
      <charset val="129"/>
    </font>
    <font>
      <sz val="11"/>
      <color rgb="FF0070C0"/>
      <name val="돋움"/>
      <family val="3"/>
      <charset val="129"/>
    </font>
    <font>
      <sz val="9"/>
      <color rgb="FF0070C0"/>
      <name val="돋움"/>
      <family val="3"/>
      <charset val="129"/>
    </font>
    <font>
      <sz val="10"/>
      <color rgb="FF0070C0"/>
      <name val="맑은 고딕"/>
      <family val="3"/>
      <charset val="129"/>
      <scheme val="minor"/>
    </font>
    <font>
      <sz val="12"/>
      <color rgb="FF0070C0"/>
      <name val="돋움"/>
      <family val="3"/>
      <charset val="129"/>
    </font>
    <font>
      <sz val="10"/>
      <color rgb="FF0070C0"/>
      <name val="돋움"/>
      <family val="3"/>
      <charset val="129"/>
    </font>
    <font>
      <sz val="6"/>
      <color rgb="FF002060"/>
      <name val="맑은 고딕"/>
      <family val="3"/>
      <charset val="129"/>
      <scheme val="minor"/>
    </font>
    <font>
      <sz val="10"/>
      <color theme="1"/>
      <name val="HY견명조"/>
      <family val="1"/>
      <charset val="129"/>
    </font>
    <font>
      <sz val="8"/>
      <color theme="0" tint="-0.499984740745262"/>
      <name val="맑은 고딕"/>
      <family val="2"/>
      <charset val="129"/>
      <scheme val="minor"/>
    </font>
    <font>
      <sz val="6"/>
      <color theme="1"/>
      <name val="맑은 고딕"/>
      <family val="3"/>
      <charset val="129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7" fillId="0" borderId="0"/>
    <xf numFmtId="0" fontId="70" fillId="0" borderId="0" applyNumberFormat="0" applyFill="0" applyBorder="0" applyAlignment="0" applyProtection="0"/>
    <xf numFmtId="3" fontId="67" fillId="0" borderId="0" applyFont="0" applyFill="0" applyBorder="0" applyAlignment="0" applyProtection="0"/>
    <xf numFmtId="0" fontId="43" fillId="0" borderId="0">
      <alignment vertical="center"/>
    </xf>
    <xf numFmtId="0" fontId="114" fillId="0" borderId="0" applyNumberFormat="0" applyFill="0" applyBorder="0" applyAlignment="0" applyProtection="0">
      <alignment vertical="top"/>
      <protection locked="0"/>
    </xf>
    <xf numFmtId="0" fontId="152" fillId="0" borderId="0">
      <alignment vertical="center"/>
    </xf>
  </cellStyleXfs>
  <cellXfs count="130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17" fillId="0" borderId="0" xfId="0" applyFont="1">
      <alignment vertical="center"/>
    </xf>
    <xf numFmtId="0" fontId="5" fillId="0" borderId="16" xfId="0" quotePrefix="1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180" fontId="7" fillId="0" borderId="1" xfId="0" applyNumberFormat="1" applyFont="1" applyBorder="1" applyAlignment="1">
      <alignment horizontal="center" vertical="center"/>
    </xf>
    <xf numFmtId="41" fontId="0" fillId="0" borderId="0" xfId="0" applyNumberFormat="1">
      <alignment vertical="center"/>
    </xf>
    <xf numFmtId="43" fontId="0" fillId="0" borderId="0" xfId="0" applyNumberFormat="1">
      <alignment vertical="center"/>
    </xf>
    <xf numFmtId="0" fontId="5" fillId="0" borderId="18" xfId="0" quotePrefix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5" fillId="0" borderId="22" xfId="0" quotePrefix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2">
      <alignment vertical="center"/>
    </xf>
    <xf numFmtId="43" fontId="0" fillId="0" borderId="0" xfId="0" applyNumberFormat="1" applyAlignment="1">
      <alignment horizontal="left"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 indent="1"/>
    </xf>
    <xf numFmtId="0" fontId="28" fillId="0" borderId="0" xfId="0" applyFont="1">
      <alignment vertical="center"/>
    </xf>
    <xf numFmtId="180" fontId="0" fillId="0" borderId="0" xfId="0" applyNumberFormat="1">
      <alignment vertical="center"/>
    </xf>
    <xf numFmtId="0" fontId="0" fillId="0" borderId="4" xfId="0" applyBorder="1">
      <alignment vertical="center"/>
    </xf>
    <xf numFmtId="0" fontId="0" fillId="0" borderId="0" xfId="0" applyAlignment="1">
      <alignment horizontal="right" vertical="center"/>
    </xf>
    <xf numFmtId="184" fontId="21" fillId="0" borderId="16" xfId="1" applyNumberFormat="1" applyFont="1" applyBorder="1" applyAlignment="1">
      <alignment vertical="center"/>
    </xf>
    <xf numFmtId="184" fontId="21" fillId="0" borderId="18" xfId="1" applyNumberFormat="1" applyFont="1" applyBorder="1" applyAlignment="1">
      <alignment vertical="center"/>
    </xf>
    <xf numFmtId="184" fontId="21" fillId="0" borderId="22" xfId="1" applyNumberFormat="1" applyFont="1" applyBorder="1" applyAlignment="1">
      <alignment vertical="center"/>
    </xf>
    <xf numFmtId="0" fontId="28" fillId="0" borderId="0" xfId="0" applyFont="1" applyAlignment="1">
      <alignment horizontal="right" vertical="center"/>
    </xf>
    <xf numFmtId="0" fontId="7" fillId="0" borderId="0" xfId="0" applyFont="1">
      <alignment vertical="center"/>
    </xf>
    <xf numFmtId="0" fontId="20" fillId="0" borderId="23" xfId="0" applyFont="1" applyBorder="1" applyAlignment="1">
      <alignment horizontal="center"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20" fillId="0" borderId="0" xfId="0" applyFont="1">
      <alignment vertical="center"/>
    </xf>
    <xf numFmtId="0" fontId="29" fillId="0" borderId="0" xfId="0" applyFo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0" fillId="0" borderId="0" xfId="0" quotePrefix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190" fontId="29" fillId="0" borderId="1" xfId="0" applyNumberFormat="1" applyFont="1" applyBorder="1">
      <alignment vertical="center"/>
    </xf>
    <xf numFmtId="189" fontId="7" fillId="0" borderId="1" xfId="0" applyNumberFormat="1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7" fillId="0" borderId="0" xfId="0" applyFont="1" applyFill="1" applyAlignment="1">
      <alignment horizontal="left" vertical="center" indent="2"/>
    </xf>
    <xf numFmtId="0" fontId="48" fillId="0" borderId="0" xfId="0" applyFont="1" applyFill="1" applyAlignment="1">
      <alignment horizontal="left" vertical="center" indent="2"/>
    </xf>
    <xf numFmtId="0" fontId="14" fillId="0" borderId="0" xfId="0" applyFont="1">
      <alignment vertical="center"/>
    </xf>
    <xf numFmtId="0" fontId="49" fillId="0" borderId="0" xfId="0" applyFont="1">
      <alignment vertical="center"/>
    </xf>
    <xf numFmtId="0" fontId="52" fillId="0" borderId="0" xfId="0" applyFont="1">
      <alignment vertical="center"/>
    </xf>
    <xf numFmtId="0" fontId="53" fillId="0" borderId="0" xfId="0" quotePrefix="1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191" fontId="54" fillId="0" borderId="22" xfId="0" applyNumberFormat="1" applyFont="1" applyBorder="1">
      <alignment vertical="center"/>
    </xf>
    <xf numFmtId="191" fontId="51" fillId="0" borderId="22" xfId="0" applyNumberFormat="1" applyFont="1" applyBorder="1">
      <alignment vertical="center"/>
    </xf>
    <xf numFmtId="0" fontId="55" fillId="0" borderId="0" xfId="0" applyFont="1">
      <alignment vertical="center"/>
    </xf>
    <xf numFmtId="191" fontId="51" fillId="0" borderId="0" xfId="0" applyNumberFormat="1" applyFont="1">
      <alignment vertical="center"/>
    </xf>
    <xf numFmtId="0" fontId="53" fillId="0" borderId="0" xfId="0" quotePrefix="1" applyFont="1">
      <alignment vertical="center"/>
    </xf>
    <xf numFmtId="0" fontId="53" fillId="0" borderId="0" xfId="0" applyFont="1">
      <alignment vertical="center"/>
    </xf>
    <xf numFmtId="0" fontId="53" fillId="0" borderId="0" xfId="0" applyFont="1" applyAlignment="1">
      <alignment horizontal="right" vertical="center"/>
    </xf>
    <xf numFmtId="0" fontId="53" fillId="0" borderId="0" xfId="0" applyFont="1" applyAlignment="1">
      <alignment horizontal="left" vertical="center"/>
    </xf>
    <xf numFmtId="0" fontId="53" fillId="0" borderId="0" xfId="0" quotePrefix="1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4" fillId="0" borderId="0" xfId="0" applyFont="1">
      <alignment vertical="center"/>
    </xf>
    <xf numFmtId="0" fontId="53" fillId="0" borderId="0" xfId="0" applyFont="1" applyAlignment="1">
      <alignment horizontal="left" vertical="center" indent="1"/>
    </xf>
    <xf numFmtId="194" fontId="0" fillId="5" borderId="0" xfId="3" applyNumberFormat="1" applyFont="1" applyFill="1">
      <alignment vertical="center"/>
    </xf>
    <xf numFmtId="0" fontId="0" fillId="0" borderId="1" xfId="0" applyBorder="1">
      <alignment vertical="center"/>
    </xf>
    <xf numFmtId="41" fontId="29" fillId="0" borderId="1" xfId="1" applyFont="1" applyBorder="1">
      <alignment vertical="center"/>
    </xf>
    <xf numFmtId="41" fontId="0" fillId="0" borderId="1" xfId="0" applyNumberFormat="1" applyBorder="1">
      <alignment vertical="center"/>
    </xf>
    <xf numFmtId="0" fontId="46" fillId="0" borderId="0" xfId="0" applyFont="1">
      <alignment vertical="center"/>
    </xf>
    <xf numFmtId="0" fontId="53" fillId="0" borderId="0" xfId="0" applyFont="1" applyAlignment="1">
      <alignment horizontal="center" vertical="center"/>
    </xf>
    <xf numFmtId="0" fontId="53" fillId="0" borderId="0" xfId="0" quotePrefix="1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9" fillId="0" borderId="0" xfId="0" applyFont="1">
      <alignment vertical="center"/>
    </xf>
    <xf numFmtId="0" fontId="43" fillId="0" borderId="0" xfId="0" applyFont="1">
      <alignment vertical="center"/>
    </xf>
    <xf numFmtId="0" fontId="60" fillId="0" borderId="0" xfId="0" applyFont="1">
      <alignment vertical="center"/>
    </xf>
    <xf numFmtId="0" fontId="58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191" fontId="53" fillId="0" borderId="0" xfId="0" applyNumberFormat="1" applyFont="1">
      <alignment vertical="center"/>
    </xf>
    <xf numFmtId="191" fontId="55" fillId="0" borderId="0" xfId="0" applyNumberFormat="1" applyFont="1">
      <alignment vertical="center"/>
    </xf>
    <xf numFmtId="193" fontId="56" fillId="0" borderId="31" xfId="0" applyNumberFormat="1" applyFont="1" applyBorder="1">
      <alignment vertical="center"/>
    </xf>
    <xf numFmtId="0" fontId="43" fillId="0" borderId="0" xfId="0" applyFont="1" applyAlignment="1">
      <alignment horizontal="left" vertical="center"/>
    </xf>
    <xf numFmtId="193" fontId="56" fillId="0" borderId="0" xfId="0" applyNumberFormat="1" applyFont="1" applyAlignment="1">
      <alignment horizontal="center" vertical="center"/>
    </xf>
    <xf numFmtId="193" fontId="56" fillId="0" borderId="0" xfId="0" applyNumberFormat="1" applyFont="1">
      <alignment vertical="center"/>
    </xf>
    <xf numFmtId="41" fontId="51" fillId="0" borderId="31" xfId="1" applyFont="1" applyBorder="1" applyAlignment="1">
      <alignment vertical="center"/>
    </xf>
    <xf numFmtId="0" fontId="43" fillId="0" borderId="0" xfId="0" quotePrefix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3" fillId="0" borderId="0" xfId="0" applyFont="1">
      <alignment vertical="center"/>
    </xf>
    <xf numFmtId="0" fontId="43" fillId="0" borderId="0" xfId="0" applyFont="1" applyAlignment="1">
      <alignment horizontal="distributed" vertical="center"/>
    </xf>
    <xf numFmtId="0" fontId="43" fillId="0" borderId="2" xfId="0" applyFont="1" applyBorder="1">
      <alignment vertical="center"/>
    </xf>
    <xf numFmtId="0" fontId="43" fillId="0" borderId="5" xfId="0" applyFont="1" applyBorder="1">
      <alignment vertical="center"/>
    </xf>
    <xf numFmtId="0" fontId="43" fillId="0" borderId="3" xfId="0" applyFont="1" applyBorder="1">
      <alignment vertical="center"/>
    </xf>
    <xf numFmtId="0" fontId="64" fillId="0" borderId="5" xfId="0" applyFont="1" applyBorder="1">
      <alignment vertical="center"/>
    </xf>
    <xf numFmtId="0" fontId="64" fillId="0" borderId="3" xfId="0" applyFont="1" applyBorder="1">
      <alignment vertical="center"/>
    </xf>
    <xf numFmtId="0" fontId="64" fillId="0" borderId="32" xfId="0" applyFont="1" applyBorder="1">
      <alignment vertical="center"/>
    </xf>
    <xf numFmtId="0" fontId="64" fillId="0" borderId="34" xfId="0" applyFont="1" applyBorder="1">
      <alignment vertical="center"/>
    </xf>
    <xf numFmtId="0" fontId="64" fillId="0" borderId="13" xfId="0" applyFont="1" applyBorder="1">
      <alignment vertical="center"/>
    </xf>
    <xf numFmtId="0" fontId="45" fillId="0" borderId="4" xfId="0" applyFont="1" applyBorder="1" applyAlignment="1">
      <alignment vertical="center" shrinkToFit="1"/>
    </xf>
    <xf numFmtId="0" fontId="64" fillId="0" borderId="4" xfId="0" applyFont="1" applyBorder="1">
      <alignment vertical="center"/>
    </xf>
    <xf numFmtId="0" fontId="64" fillId="0" borderId="35" xfId="0" applyFont="1" applyBorder="1">
      <alignment vertical="center"/>
    </xf>
    <xf numFmtId="0" fontId="43" fillId="0" borderId="0" xfId="0" quotePrefix="1" applyFont="1">
      <alignment vertical="center"/>
    </xf>
    <xf numFmtId="0" fontId="43" fillId="0" borderId="0" xfId="0" quotePrefix="1" applyFont="1" applyAlignment="1">
      <alignment horizontal="left" vertical="center"/>
    </xf>
    <xf numFmtId="0" fontId="65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41" fontId="0" fillId="9" borderId="1" xfId="1" applyFont="1" applyFill="1" applyBorder="1" applyAlignment="1">
      <alignment horizontal="center" vertical="center"/>
    </xf>
    <xf numFmtId="180" fontId="29" fillId="0" borderId="1" xfId="0" applyNumberFormat="1" applyFont="1" applyBorder="1" applyAlignment="1">
      <alignment horizontal="center" vertical="center"/>
    </xf>
    <xf numFmtId="180" fontId="29" fillId="10" borderId="1" xfId="0" applyNumberFormat="1" applyFont="1" applyFill="1" applyBorder="1" applyAlignment="1">
      <alignment horizontal="center" vertical="center"/>
    </xf>
    <xf numFmtId="180" fontId="29" fillId="10" borderId="0" xfId="0" applyNumberFormat="1" applyFont="1" applyFill="1" applyAlignment="1">
      <alignment horizontal="center" vertical="center"/>
    </xf>
    <xf numFmtId="181" fontId="7" fillId="0" borderId="0" xfId="0" applyNumberFormat="1" applyFont="1">
      <alignment vertical="center"/>
    </xf>
    <xf numFmtId="0" fontId="0" fillId="11" borderId="0" xfId="0" applyFill="1" applyAlignment="1">
      <alignment horizontal="center" vertical="center"/>
    </xf>
    <xf numFmtId="180" fontId="13" fillId="11" borderId="0" xfId="0" applyNumberFormat="1" applyFont="1" applyFill="1" applyAlignment="1">
      <alignment horizontal="center" vertical="center"/>
    </xf>
    <xf numFmtId="0" fontId="0" fillId="11" borderId="0" xfId="0" applyFill="1">
      <alignment vertical="center"/>
    </xf>
    <xf numFmtId="197" fontId="13" fillId="11" borderId="0" xfId="0" applyNumberFormat="1" applyFont="1" applyFill="1" applyAlignment="1">
      <alignment horizontal="center" vertical="center"/>
    </xf>
    <xf numFmtId="198" fontId="13" fillId="11" borderId="0" xfId="0" applyNumberFormat="1" applyFont="1" applyFill="1" applyAlignment="1">
      <alignment horizontal="center" vertical="center"/>
    </xf>
    <xf numFmtId="199" fontId="13" fillId="0" borderId="0" xfId="0" applyNumberFormat="1" applyFont="1">
      <alignment vertical="center"/>
    </xf>
    <xf numFmtId="181" fontId="29" fillId="4" borderId="1" xfId="0" applyNumberFormat="1" applyFont="1" applyFill="1" applyBorder="1">
      <alignment vertical="center"/>
    </xf>
    <xf numFmtId="0" fontId="0" fillId="6" borderId="0" xfId="0" applyFill="1" applyAlignment="1">
      <alignment horizontal="center" vertical="center"/>
    </xf>
    <xf numFmtId="200" fontId="29" fillId="6" borderId="0" xfId="0" applyNumberFormat="1" applyFont="1" applyFill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41" fontId="13" fillId="9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7" fillId="0" borderId="0" xfId="4" applyAlignment="1">
      <alignment vertical="center"/>
    </xf>
    <xf numFmtId="0" fontId="68" fillId="0" borderId="0" xfId="4" applyFont="1" applyAlignment="1">
      <alignment horizontal="right" vertical="center"/>
    </xf>
    <xf numFmtId="0" fontId="70" fillId="0" borderId="0" xfId="5" applyAlignment="1">
      <alignment vertical="center"/>
    </xf>
    <xf numFmtId="0" fontId="71" fillId="0" borderId="0" xfId="4" applyFont="1" applyAlignment="1">
      <alignment horizontal="centerContinuous" vertical="center"/>
    </xf>
    <xf numFmtId="0" fontId="67" fillId="0" borderId="0" xfId="4" applyAlignment="1">
      <alignment horizontal="centerContinuous" vertical="center"/>
    </xf>
    <xf numFmtId="0" fontId="74" fillId="0" borderId="0" xfId="4" applyFont="1" applyAlignment="1">
      <alignment horizontal="right"/>
    </xf>
    <xf numFmtId="0" fontId="68" fillId="0" borderId="1" xfId="4" applyFont="1" applyBorder="1" applyAlignment="1">
      <alignment horizontal="center" vertical="center"/>
    </xf>
    <xf numFmtId="0" fontId="67" fillId="0" borderId="0" xfId="4" applyAlignment="1">
      <alignment horizontal="center" vertical="center"/>
    </xf>
    <xf numFmtId="0" fontId="68" fillId="0" borderId="1" xfId="4" applyFont="1" applyBorder="1" applyAlignment="1">
      <alignment horizontal="center" vertical="center" wrapText="1"/>
    </xf>
    <xf numFmtId="3" fontId="77" fillId="0" borderId="1" xfId="6" applyFont="1" applyBorder="1" applyAlignment="1">
      <alignment horizontal="center" vertical="center"/>
    </xf>
    <xf numFmtId="0" fontId="77" fillId="0" borderId="0" xfId="4" applyFont="1" applyAlignment="1">
      <alignment vertical="center"/>
    </xf>
    <xf numFmtId="3" fontId="77" fillId="0" borderId="1" xfId="4" applyNumberFormat="1" applyFont="1" applyBorder="1" applyAlignment="1">
      <alignment horizontal="center" vertical="center"/>
    </xf>
    <xf numFmtId="0" fontId="77" fillId="0" borderId="1" xfId="4" applyFont="1" applyBorder="1" applyAlignment="1">
      <alignment vertical="center"/>
    </xf>
    <xf numFmtId="0" fontId="77" fillId="0" borderId="1" xfId="4" applyFont="1" applyBorder="1" applyAlignment="1">
      <alignment horizontal="center" vertical="center"/>
    </xf>
    <xf numFmtId="0" fontId="68" fillId="0" borderId="0" xfId="4" applyFont="1" applyAlignment="1">
      <alignment vertical="center"/>
    </xf>
    <xf numFmtId="0" fontId="68" fillId="0" borderId="1" xfId="4" applyFont="1" applyBorder="1" applyAlignment="1">
      <alignment vertical="center" wrapText="1"/>
    </xf>
    <xf numFmtId="0" fontId="79" fillId="0" borderId="1" xfId="4" applyFont="1" applyBorder="1" applyAlignment="1">
      <alignment horizontal="center" vertical="center" wrapText="1"/>
    </xf>
    <xf numFmtId="0" fontId="67" fillId="0" borderId="0" xfId="4" applyAlignment="1">
      <alignment horizontal="left" vertical="center"/>
    </xf>
    <xf numFmtId="201" fontId="77" fillId="0" borderId="1" xfId="4" applyNumberFormat="1" applyFont="1" applyBorder="1" applyAlignment="1">
      <alignment vertical="center" shrinkToFit="1"/>
    </xf>
    <xf numFmtId="3" fontId="77" fillId="0" borderId="1" xfId="6" applyFont="1" applyBorder="1" applyAlignment="1">
      <alignment horizontal="center" vertical="center" shrinkToFit="1"/>
    </xf>
    <xf numFmtId="3" fontId="80" fillId="0" borderId="1" xfId="6" applyFont="1" applyBorder="1" applyAlignment="1">
      <alignment horizontal="center" vertical="center" shrinkToFit="1"/>
    </xf>
    <xf numFmtId="3" fontId="80" fillId="0" borderId="1" xfId="6" applyFont="1" applyBorder="1" applyAlignment="1">
      <alignment vertical="center" shrinkToFit="1"/>
    </xf>
    <xf numFmtId="3" fontId="77" fillId="0" borderId="1" xfId="6" applyFont="1" applyBorder="1" applyAlignment="1">
      <alignment vertical="center" shrinkToFit="1"/>
    </xf>
    <xf numFmtId="0" fontId="50" fillId="0" borderId="38" xfId="0" applyFont="1" applyBorder="1" applyAlignment="1">
      <alignment horizontal="centerContinuous" vertical="center"/>
    </xf>
    <xf numFmtId="0" fontId="0" fillId="0" borderId="39" xfId="0" applyBorder="1" applyAlignment="1">
      <alignment horizontal="centerContinuous" vertical="center"/>
    </xf>
    <xf numFmtId="0" fontId="0" fillId="0" borderId="0" xfId="0" applyBorder="1">
      <alignment vertical="center"/>
    </xf>
    <xf numFmtId="0" fontId="0" fillId="0" borderId="32" xfId="0" applyBorder="1">
      <alignment vertical="center"/>
    </xf>
    <xf numFmtId="0" fontId="0" fillId="0" borderId="41" xfId="0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0" fontId="0" fillId="0" borderId="50" xfId="0" applyBorder="1" applyAlignment="1">
      <alignment horizontal="centerContinuous" vertical="center"/>
    </xf>
    <xf numFmtId="0" fontId="0" fillId="0" borderId="51" xfId="0" applyBorder="1">
      <alignment vertical="center"/>
    </xf>
    <xf numFmtId="0" fontId="0" fillId="0" borderId="12" xfId="0" applyBorder="1">
      <alignment vertical="center"/>
    </xf>
    <xf numFmtId="0" fontId="81" fillId="0" borderId="1" xfId="0" applyFont="1" applyBorder="1" applyAlignment="1">
      <alignment horizontal="justify" vertical="center"/>
    </xf>
    <xf numFmtId="0" fontId="0" fillId="0" borderId="13" xfId="0" applyBorder="1">
      <alignment vertical="center"/>
    </xf>
    <xf numFmtId="0" fontId="0" fillId="0" borderId="35" xfId="0" applyBorder="1">
      <alignment vertical="center"/>
    </xf>
    <xf numFmtId="0" fontId="7" fillId="0" borderId="4" xfId="0" applyFont="1" applyBorder="1" applyAlignment="1">
      <alignment horizontal="center" vertical="center"/>
    </xf>
    <xf numFmtId="202" fontId="7" fillId="0" borderId="32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8" fontId="5" fillId="0" borderId="1" xfId="0" applyNumberFormat="1" applyFont="1" applyBorder="1" applyAlignment="1">
      <alignment horizontal="right" vertical="center"/>
    </xf>
    <xf numFmtId="205" fontId="0" fillId="0" borderId="1" xfId="0" applyNumberFormat="1" applyBorder="1">
      <alignment vertical="center"/>
    </xf>
    <xf numFmtId="20" fontId="20" fillId="7" borderId="1" xfId="0" applyNumberFormat="1" applyFont="1" applyFill="1" applyBorder="1" applyAlignment="1">
      <alignment horizontal="center" vertical="center"/>
    </xf>
    <xf numFmtId="20" fontId="20" fillId="12" borderId="1" xfId="0" applyNumberFormat="1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" fontId="5" fillId="0" borderId="0" xfId="0" applyNumberFormat="1" applyFont="1" applyBorder="1" applyAlignment="1">
      <alignment horizontal="right" vertical="center"/>
    </xf>
    <xf numFmtId="204" fontId="0" fillId="0" borderId="0" xfId="0" applyNumberFormat="1" applyBorder="1">
      <alignment vertical="center"/>
    </xf>
    <xf numFmtId="205" fontId="0" fillId="0" borderId="0" xfId="0" applyNumberFormat="1" applyBorder="1">
      <alignment vertical="center"/>
    </xf>
    <xf numFmtId="204" fontId="0" fillId="0" borderId="1" xfId="0" applyNumberForma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18" fillId="0" borderId="0" xfId="2" applyAlignment="1">
      <alignment vertical="center"/>
    </xf>
    <xf numFmtId="0" fontId="85" fillId="0" borderId="0" xfId="0" applyFont="1">
      <alignment vertical="center"/>
    </xf>
    <xf numFmtId="0" fontId="5" fillId="0" borderId="0" xfId="0" applyFont="1">
      <alignment vertical="center"/>
    </xf>
    <xf numFmtId="41" fontId="0" fillId="0" borderId="0" xfId="1" applyFont="1">
      <alignment vertical="center"/>
    </xf>
    <xf numFmtId="41" fontId="0" fillId="0" borderId="0" xfId="1" applyFont="1" applyAlignment="1">
      <alignment horizontal="center" vertical="center"/>
    </xf>
    <xf numFmtId="207" fontId="0" fillId="0" borderId="0" xfId="1" applyNumberFormat="1" applyFont="1">
      <alignment vertical="center"/>
    </xf>
    <xf numFmtId="41" fontId="0" fillId="0" borderId="0" xfId="1" quotePrefix="1" applyFont="1">
      <alignment vertical="center"/>
    </xf>
    <xf numFmtId="41" fontId="29" fillId="0" borderId="0" xfId="1" applyFont="1">
      <alignment vertical="center"/>
    </xf>
    <xf numFmtId="208" fontId="0" fillId="0" borderId="0" xfId="1" applyNumberFormat="1" applyFont="1">
      <alignment vertical="center"/>
    </xf>
    <xf numFmtId="0" fontId="88" fillId="0" borderId="0" xfId="0" applyFont="1">
      <alignment vertical="center"/>
    </xf>
    <xf numFmtId="41" fontId="37" fillId="0" borderId="0" xfId="1" applyFont="1">
      <alignment vertical="center"/>
    </xf>
    <xf numFmtId="41" fontId="0" fillId="0" borderId="0" xfId="1" applyFont="1" applyAlignment="1">
      <alignment horizontal="left" vertical="center" indent="1"/>
    </xf>
    <xf numFmtId="41" fontId="89" fillId="0" borderId="0" xfId="2" applyNumberFormat="1" applyFont="1">
      <alignment vertical="center"/>
    </xf>
    <xf numFmtId="41" fontId="17" fillId="0" borderId="0" xfId="1" applyFont="1">
      <alignment vertical="center"/>
    </xf>
    <xf numFmtId="41" fontId="90" fillId="0" borderId="0" xfId="1" applyFont="1">
      <alignment vertical="center"/>
    </xf>
    <xf numFmtId="41" fontId="43" fillId="0" borderId="0" xfId="1" applyFont="1">
      <alignment vertical="center"/>
    </xf>
    <xf numFmtId="196" fontId="5" fillId="0" borderId="0" xfId="1" applyNumberFormat="1" applyFont="1">
      <alignment vertical="center"/>
    </xf>
    <xf numFmtId="209" fontId="0" fillId="0" borderId="0" xfId="1" applyNumberFormat="1" applyFont="1">
      <alignment vertical="center"/>
    </xf>
    <xf numFmtId="41" fontId="92" fillId="0" borderId="0" xfId="1" applyFont="1">
      <alignment vertical="center"/>
    </xf>
    <xf numFmtId="210" fontId="5" fillId="0" borderId="0" xfId="1" applyNumberFormat="1" applyFont="1">
      <alignment vertical="center"/>
    </xf>
    <xf numFmtId="212" fontId="5" fillId="0" borderId="0" xfId="1" applyNumberFormat="1" applyFont="1">
      <alignment vertical="center"/>
    </xf>
    <xf numFmtId="213" fontId="5" fillId="0" borderId="0" xfId="1" applyNumberFormat="1" applyFont="1">
      <alignment vertical="center"/>
    </xf>
    <xf numFmtId="214" fontId="5" fillId="0" borderId="0" xfId="1" applyNumberFormat="1" applyFont="1">
      <alignment vertical="center"/>
    </xf>
    <xf numFmtId="215" fontId="5" fillId="0" borderId="0" xfId="1" applyNumberFormat="1" applyFont="1">
      <alignment vertical="center"/>
    </xf>
    <xf numFmtId="216" fontId="91" fillId="0" borderId="0" xfId="1" applyNumberFormat="1" applyFont="1">
      <alignment vertical="center"/>
    </xf>
    <xf numFmtId="217" fontId="91" fillId="0" borderId="0" xfId="1" applyNumberFormat="1" applyFont="1" applyAlignment="1">
      <alignment horizontal="center" vertical="center"/>
    </xf>
    <xf numFmtId="3" fontId="0" fillId="0" borderId="0" xfId="1" applyNumberFormat="1" applyFont="1" applyAlignment="1">
      <alignment horizontal="center" vertical="center"/>
    </xf>
    <xf numFmtId="219" fontId="0" fillId="0" borderId="0" xfId="1" applyNumberFormat="1" applyFont="1">
      <alignment vertical="center"/>
    </xf>
    <xf numFmtId="220" fontId="0" fillId="0" borderId="0" xfId="1" applyNumberFormat="1" applyFont="1" applyAlignment="1">
      <alignment horizontal="center" vertical="center"/>
    </xf>
    <xf numFmtId="206" fontId="0" fillId="0" borderId="0" xfId="1" applyNumberFormat="1" applyFont="1">
      <alignment vertical="center"/>
    </xf>
    <xf numFmtId="41" fontId="5" fillId="0" borderId="0" xfId="1" applyFont="1">
      <alignment vertical="center"/>
    </xf>
    <xf numFmtId="222" fontId="0" fillId="0" borderId="0" xfId="1" applyNumberFormat="1" applyFont="1">
      <alignment vertical="center"/>
    </xf>
    <xf numFmtId="41" fontId="0" fillId="0" borderId="0" xfId="1" applyFont="1" applyAlignment="1">
      <alignment vertical="center"/>
    </xf>
    <xf numFmtId="41" fontId="8" fillId="0" borderId="0" xfId="1" applyFont="1">
      <alignment vertical="center"/>
    </xf>
    <xf numFmtId="223" fontId="0" fillId="0" borderId="0" xfId="1" applyNumberFormat="1" applyFont="1">
      <alignment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1" fontId="0" fillId="0" borderId="0" xfId="1" quotePrefix="1" applyFont="1" applyAlignment="1">
      <alignment horizontal="left" vertical="center"/>
    </xf>
    <xf numFmtId="41" fontId="19" fillId="0" borderId="0" xfId="1" applyFont="1">
      <alignment vertical="center"/>
    </xf>
    <xf numFmtId="41" fontId="13" fillId="0" borderId="0" xfId="1" applyFont="1">
      <alignment vertical="center"/>
    </xf>
    <xf numFmtId="41" fontId="33" fillId="0" borderId="0" xfId="1" applyFont="1">
      <alignment vertical="center"/>
    </xf>
    <xf numFmtId="41" fontId="96" fillId="0" borderId="0" xfId="1" applyFont="1">
      <alignment vertical="center"/>
    </xf>
    <xf numFmtId="41" fontId="97" fillId="0" borderId="0" xfId="1" applyFont="1">
      <alignment vertical="center"/>
    </xf>
    <xf numFmtId="209" fontId="96" fillId="0" borderId="0" xfId="1" quotePrefix="1" applyNumberFormat="1" applyFont="1">
      <alignment vertical="center"/>
    </xf>
    <xf numFmtId="0" fontId="13" fillId="13" borderId="0" xfId="0" quotePrefix="1" applyFont="1" applyFill="1" applyAlignment="1">
      <alignment horizontal="center" vertical="center"/>
    </xf>
    <xf numFmtId="224" fontId="13" fillId="0" borderId="0" xfId="0" applyNumberFormat="1" applyFont="1">
      <alignment vertical="center"/>
    </xf>
    <xf numFmtId="224" fontId="0" fillId="0" borderId="1" xfId="0" applyNumberFormat="1" applyBorder="1">
      <alignment vertical="center"/>
    </xf>
    <xf numFmtId="0" fontId="28" fillId="0" borderId="0" xfId="0" applyFont="1" applyAlignment="1">
      <alignment horizontal="center" vertical="center"/>
    </xf>
    <xf numFmtId="180" fontId="0" fillId="13" borderId="1" xfId="0" applyNumberFormat="1" applyFill="1" applyBorder="1" applyAlignment="1">
      <alignment horizontal="center" vertical="center"/>
    </xf>
    <xf numFmtId="226" fontId="13" fillId="14" borderId="1" xfId="0" applyNumberFormat="1" applyFont="1" applyFill="1" applyBorder="1">
      <alignment vertical="center"/>
    </xf>
    <xf numFmtId="0" fontId="0" fillId="0" borderId="6" xfId="0" applyFill="1" applyBorder="1" applyAlignment="1">
      <alignment horizontal="center" vertical="center"/>
    </xf>
    <xf numFmtId="226" fontId="13" fillId="4" borderId="0" xfId="0" applyNumberFormat="1" applyFont="1" applyFill="1">
      <alignment vertical="center"/>
    </xf>
    <xf numFmtId="227" fontId="13" fillId="4" borderId="0" xfId="0" applyNumberFormat="1" applyFont="1" applyFill="1">
      <alignment vertical="center"/>
    </xf>
    <xf numFmtId="227" fontId="13" fillId="10" borderId="0" xfId="0" applyNumberFormat="1" applyFont="1" applyFill="1">
      <alignment vertical="center"/>
    </xf>
    <xf numFmtId="225" fontId="0" fillId="3" borderId="1" xfId="0" applyNumberFormat="1" applyFill="1" applyBorder="1" applyAlignment="1">
      <alignment horizontal="center" vertical="center"/>
    </xf>
    <xf numFmtId="224" fontId="0" fillId="8" borderId="1" xfId="0" applyNumberFormat="1" applyFill="1" applyBorder="1">
      <alignment vertical="center"/>
    </xf>
    <xf numFmtId="9" fontId="0" fillId="0" borderId="0" xfId="0" applyNumberFormat="1">
      <alignment vertical="center"/>
    </xf>
    <xf numFmtId="0" fontId="33" fillId="0" borderId="1" xfId="0" applyFont="1" applyBorder="1" applyAlignment="1">
      <alignment horizontal="center" vertical="center"/>
    </xf>
    <xf numFmtId="225" fontId="8" fillId="3" borderId="1" xfId="0" applyNumberFormat="1" applyFont="1" applyFill="1" applyBorder="1" applyAlignment="1">
      <alignment horizontal="center" vertical="center"/>
    </xf>
    <xf numFmtId="228" fontId="0" fillId="0" borderId="0" xfId="0" applyNumberFormat="1" applyAlignment="1">
      <alignment horizontal="center" vertical="center"/>
    </xf>
    <xf numFmtId="228" fontId="0" fillId="8" borderId="0" xfId="0" applyNumberFormat="1" applyFill="1" applyAlignment="1">
      <alignment horizontal="center" vertical="center"/>
    </xf>
    <xf numFmtId="228" fontId="0" fillId="0" borderId="0" xfId="0" applyNumberFormat="1">
      <alignment vertical="center"/>
    </xf>
    <xf numFmtId="3" fontId="0" fillId="0" borderId="0" xfId="0" applyNumberFormat="1">
      <alignment vertical="center"/>
    </xf>
    <xf numFmtId="229" fontId="0" fillId="0" borderId="0" xfId="0" applyNumberFormat="1" applyAlignment="1">
      <alignment horizontal="center" vertical="center"/>
    </xf>
    <xf numFmtId="4" fontId="0" fillId="0" borderId="0" xfId="0" applyNumberFormat="1">
      <alignment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1" fillId="7" borderId="0" xfId="2" applyFont="1" applyFill="1">
      <alignment vertical="center"/>
    </xf>
    <xf numFmtId="0" fontId="100" fillId="7" borderId="0" xfId="2" applyFont="1" applyFill="1">
      <alignment vertical="center"/>
    </xf>
    <xf numFmtId="0" fontId="0" fillId="7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0" borderId="0" xfId="0" applyFont="1">
      <alignment vertical="center"/>
    </xf>
    <xf numFmtId="224" fontId="5" fillId="0" borderId="1" xfId="0" applyNumberFormat="1" applyFont="1" applyBorder="1">
      <alignment vertical="center"/>
    </xf>
    <xf numFmtId="230" fontId="0" fillId="0" borderId="0" xfId="0" quotePrefix="1" applyNumberFormat="1">
      <alignment vertical="center"/>
    </xf>
    <xf numFmtId="224" fontId="91" fillId="0" borderId="1" xfId="0" applyNumberFormat="1" applyFont="1" applyBorder="1">
      <alignment vertical="center"/>
    </xf>
    <xf numFmtId="0" fontId="0" fillId="15" borderId="1" xfId="0" applyFill="1" applyBorder="1">
      <alignment vertical="center"/>
    </xf>
    <xf numFmtId="3" fontId="0" fillId="15" borderId="1" xfId="0" applyNumberFormat="1" applyFill="1" applyBorder="1">
      <alignment vertical="center"/>
    </xf>
    <xf numFmtId="230" fontId="29" fillId="0" borderId="0" xfId="0" quotePrefix="1" applyNumberFormat="1" applyFont="1">
      <alignment vertical="center"/>
    </xf>
    <xf numFmtId="0" fontId="0" fillId="0" borderId="0" xfId="0" quotePrefix="1" applyAlignment="1">
      <alignment horizontal="right" vertical="center"/>
    </xf>
    <xf numFmtId="231" fontId="0" fillId="15" borderId="0" xfId="0" applyNumberFormat="1" applyFill="1">
      <alignment vertical="center"/>
    </xf>
    <xf numFmtId="0" fontId="0" fillId="0" borderId="0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180" fontId="0" fillId="0" borderId="1" xfId="0" applyNumberFormat="1" applyBorder="1">
      <alignment vertical="center"/>
    </xf>
    <xf numFmtId="226" fontId="0" fillId="0" borderId="1" xfId="0" applyNumberFormat="1" applyBorder="1">
      <alignment vertical="center"/>
    </xf>
    <xf numFmtId="180" fontId="7" fillId="0" borderId="0" xfId="0" applyNumberFormat="1" applyFont="1" applyBorder="1" applyAlignment="1">
      <alignment horizontal="center" vertical="center"/>
    </xf>
    <xf numFmtId="180" fontId="29" fillId="0" borderId="0" xfId="0" applyNumberFormat="1" applyFont="1" applyBorder="1" applyAlignment="1">
      <alignment horizontal="center" vertical="center"/>
    </xf>
    <xf numFmtId="180" fontId="0" fillId="0" borderId="0" xfId="0" applyNumberFormat="1" applyBorder="1">
      <alignment vertical="center"/>
    </xf>
    <xf numFmtId="226" fontId="0" fillId="0" borderId="0" xfId="0" applyNumberFormat="1" applyBorder="1">
      <alignment vertical="center"/>
    </xf>
    <xf numFmtId="0" fontId="13" fillId="0" borderId="0" xfId="0" applyFont="1">
      <alignment vertical="center"/>
    </xf>
    <xf numFmtId="0" fontId="46" fillId="0" borderId="0" xfId="0" applyFont="1" applyBorder="1" applyAlignment="1">
      <alignment horizontal="left" vertical="center"/>
    </xf>
    <xf numFmtId="0" fontId="103" fillId="12" borderId="0" xfId="0" applyFont="1" applyFill="1">
      <alignment vertical="center"/>
    </xf>
    <xf numFmtId="194" fontId="0" fillId="13" borderId="0" xfId="0" applyNumberFormat="1" applyFill="1">
      <alignment vertical="center"/>
    </xf>
    <xf numFmtId="196" fontId="29" fillId="0" borderId="1" xfId="1" applyNumberFormat="1" applyFont="1" applyBorder="1">
      <alignment vertical="center"/>
    </xf>
    <xf numFmtId="0" fontId="0" fillId="13" borderId="1" xfId="0" applyFill="1" applyBorder="1">
      <alignment vertical="center"/>
    </xf>
    <xf numFmtId="0" fontId="0" fillId="13" borderId="1" xfId="0" applyFill="1" applyBorder="1" applyAlignment="1">
      <alignment horizontal="center" vertical="center"/>
    </xf>
    <xf numFmtId="41" fontId="0" fillId="13" borderId="1" xfId="1" applyFont="1" applyFill="1" applyBorder="1">
      <alignment vertical="center"/>
    </xf>
    <xf numFmtId="194" fontId="0" fillId="0" borderId="0" xfId="0" applyNumberFormat="1">
      <alignment vertical="center"/>
    </xf>
    <xf numFmtId="196" fontId="0" fillId="0" borderId="0" xfId="0" applyNumberFormat="1">
      <alignment vertical="center"/>
    </xf>
    <xf numFmtId="232" fontId="0" fillId="0" borderId="0" xfId="0" applyNumberFormat="1">
      <alignment vertical="center"/>
    </xf>
    <xf numFmtId="196" fontId="0" fillId="0" borderId="0" xfId="0" applyNumberFormat="1" applyAlignment="1">
      <alignment horizontal="center" vertical="center"/>
    </xf>
    <xf numFmtId="0" fontId="106" fillId="0" borderId="0" xfId="7" applyFont="1">
      <alignment vertical="center"/>
    </xf>
    <xf numFmtId="0" fontId="106" fillId="16" borderId="63" xfId="7" applyFont="1" applyFill="1" applyBorder="1" applyAlignment="1">
      <alignment horizontal="center" vertical="center" wrapText="1"/>
    </xf>
    <xf numFmtId="0" fontId="106" fillId="16" borderId="63" xfId="0" applyFont="1" applyFill="1" applyBorder="1" applyAlignment="1">
      <alignment horizontal="center" vertical="center" wrapText="1"/>
    </xf>
    <xf numFmtId="3" fontId="106" fillId="16" borderId="63" xfId="7" applyNumberFormat="1" applyFont="1" applyFill="1" applyBorder="1" applyAlignment="1">
      <alignment horizontal="center" vertical="center" wrapText="1"/>
    </xf>
    <xf numFmtId="3" fontId="106" fillId="0" borderId="63" xfId="7" applyNumberFormat="1" applyFont="1" applyBorder="1" applyAlignment="1">
      <alignment horizontal="center" vertical="center" wrapText="1"/>
    </xf>
    <xf numFmtId="0" fontId="106" fillId="0" borderId="63" xfId="7" applyFont="1" applyBorder="1" applyAlignment="1">
      <alignment horizontal="center" vertical="center" wrapText="1"/>
    </xf>
    <xf numFmtId="0" fontId="107" fillId="0" borderId="0" xfId="0" quotePrefix="1" applyFont="1" applyAlignment="1">
      <alignment horizontal="center" vertical="center"/>
    </xf>
    <xf numFmtId="9" fontId="0" fillId="15" borderId="1" xfId="0" applyNumberFormat="1" applyFill="1" applyBorder="1">
      <alignment vertical="center"/>
    </xf>
    <xf numFmtId="188" fontId="0" fillId="13" borderId="1" xfId="0" applyNumberFormat="1" applyFill="1" applyBorder="1">
      <alignment vertical="center"/>
    </xf>
    <xf numFmtId="0" fontId="0" fillId="14" borderId="0" xfId="0" applyFill="1">
      <alignment vertical="center"/>
    </xf>
    <xf numFmtId="41" fontId="7" fillId="0" borderId="1" xfId="1" applyFont="1" applyBorder="1">
      <alignment vertical="center"/>
    </xf>
    <xf numFmtId="41" fontId="96" fillId="0" borderId="1" xfId="1" applyFont="1" applyBorder="1">
      <alignment vertical="center"/>
    </xf>
    <xf numFmtId="0" fontId="109" fillId="0" borderId="0" xfId="0" applyFont="1">
      <alignment vertical="center"/>
    </xf>
    <xf numFmtId="196" fontId="7" fillId="0" borderId="1" xfId="1" applyNumberFormat="1" applyFont="1" applyBorder="1">
      <alignment vertical="center"/>
    </xf>
    <xf numFmtId="0" fontId="110" fillId="0" borderId="0" xfId="0" applyFont="1">
      <alignment vertical="center"/>
    </xf>
    <xf numFmtId="0" fontId="6" fillId="0" borderId="56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0" fillId="0" borderId="0" xfId="0" applyNumberFormat="1">
      <alignment vertical="center"/>
    </xf>
    <xf numFmtId="194" fontId="0" fillId="14" borderId="0" xfId="0" applyNumberFormat="1" applyFill="1">
      <alignment vertical="center"/>
    </xf>
    <xf numFmtId="194" fontId="0" fillId="14" borderId="0" xfId="3" applyNumberFormat="1" applyFont="1" applyFill="1">
      <alignment vertical="center"/>
    </xf>
    <xf numFmtId="183" fontId="7" fillId="0" borderId="26" xfId="0" applyNumberFormat="1" applyFont="1" applyBorder="1" applyAlignment="1">
      <alignment horizontal="center" vertical="center" shrinkToFit="1"/>
    </xf>
    <xf numFmtId="0" fontId="18" fillId="0" borderId="0" xfId="2" applyAlignment="1">
      <alignment horizontal="left" vertical="center"/>
    </xf>
    <xf numFmtId="0" fontId="0" fillId="7" borderId="1" xfId="0" applyFill="1" applyBorder="1">
      <alignment vertical="center"/>
    </xf>
    <xf numFmtId="0" fontId="13" fillId="10" borderId="1" xfId="0" applyFont="1" applyFill="1" applyBorder="1" applyAlignment="1">
      <alignment horizontal="center" vertical="center"/>
    </xf>
    <xf numFmtId="10" fontId="7" fillId="7" borderId="1" xfId="0" applyNumberFormat="1" applyFont="1" applyFill="1" applyBorder="1">
      <alignment vertical="center"/>
    </xf>
    <xf numFmtId="9" fontId="7" fillId="3" borderId="1" xfId="0" applyNumberFormat="1" applyFont="1" applyFill="1" applyBorder="1">
      <alignment vertical="center"/>
    </xf>
    <xf numFmtId="10" fontId="7" fillId="3" borderId="1" xfId="0" applyNumberFormat="1" applyFont="1" applyFill="1" applyBorder="1">
      <alignment vertical="center"/>
    </xf>
    <xf numFmtId="10" fontId="113" fillId="0" borderId="16" xfId="0" applyNumberFormat="1" applyFont="1" applyBorder="1" applyAlignment="1">
      <alignment vertical="center" shrinkToFit="1"/>
    </xf>
    <xf numFmtId="10" fontId="113" fillId="0" borderId="18" xfId="0" applyNumberFormat="1" applyFont="1" applyBorder="1" applyAlignment="1">
      <alignment vertical="center" shrinkToFit="1"/>
    </xf>
    <xf numFmtId="233" fontId="113" fillId="0" borderId="16" xfId="0" applyNumberFormat="1" applyFont="1" applyBorder="1" applyAlignment="1">
      <alignment vertical="center" shrinkToFit="1"/>
    </xf>
    <xf numFmtId="233" fontId="113" fillId="0" borderId="18" xfId="0" applyNumberFormat="1" applyFont="1" applyBorder="1" applyAlignment="1">
      <alignment vertical="center" shrinkToFit="1"/>
    </xf>
    <xf numFmtId="234" fontId="113" fillId="0" borderId="15" xfId="0" applyNumberFormat="1" applyFont="1" applyBorder="1" applyAlignment="1">
      <alignment vertical="center" shrinkToFit="1"/>
    </xf>
    <xf numFmtId="234" fontId="113" fillId="0" borderId="19" xfId="0" applyNumberFormat="1" applyFont="1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10" borderId="1" xfId="0" applyFill="1" applyBorder="1" applyAlignment="1">
      <alignment horizontal="center" vertical="center"/>
    </xf>
    <xf numFmtId="235" fontId="0" fillId="0" borderId="0" xfId="0" applyNumberFormat="1" applyAlignment="1">
      <alignment horizontal="center" vertical="center"/>
    </xf>
    <xf numFmtId="0" fontId="114" fillId="0" borderId="0" xfId="8" applyAlignment="1" applyProtection="1">
      <alignment vertical="center"/>
    </xf>
    <xf numFmtId="235" fontId="0" fillId="0" borderId="0" xfId="0" applyNumberFormat="1" applyAlignment="1">
      <alignment horizontal="left" vertical="center"/>
    </xf>
    <xf numFmtId="235" fontId="0" fillId="0" borderId="0" xfId="0" quotePrefix="1" applyNumberFormat="1" applyAlignment="1">
      <alignment horizontal="left" vertical="center"/>
    </xf>
    <xf numFmtId="235" fontId="0" fillId="0" borderId="71" xfId="0" applyNumberFormat="1" applyBorder="1" applyAlignment="1">
      <alignment horizontal="center" vertical="center"/>
    </xf>
    <xf numFmtId="235" fontId="0" fillId="0" borderId="0" xfId="0" applyNumberForma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28" fillId="0" borderId="0" xfId="0" applyFont="1" applyAlignment="1">
      <alignment vertical="center" shrinkToFit="1"/>
    </xf>
    <xf numFmtId="0" fontId="115" fillId="0" borderId="0" xfId="0" quotePrefix="1" applyFont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116" fillId="0" borderId="0" xfId="0" quotePrefix="1" applyFont="1" applyAlignment="1">
      <alignment vertical="center" shrinkToFit="1"/>
    </xf>
    <xf numFmtId="0" fontId="116" fillId="0" borderId="0" xfId="0" applyFont="1" applyAlignment="1">
      <alignment vertical="center" shrinkToFit="1"/>
    </xf>
    <xf numFmtId="14" fontId="0" fillId="0" borderId="0" xfId="0" applyNumberFormat="1" applyAlignment="1">
      <alignment horizontal="center" vertical="center" shrinkToFit="1"/>
    </xf>
    <xf numFmtId="0" fontId="117" fillId="17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3" fontId="0" fillId="11" borderId="1" xfId="1" applyNumberFormat="1" applyFont="1" applyFill="1" applyBorder="1" applyAlignment="1">
      <alignment horizontal="center" vertical="center"/>
    </xf>
    <xf numFmtId="14" fontId="0" fillId="11" borderId="1" xfId="0" applyNumberFormat="1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236" fontId="0" fillId="11" borderId="1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235" fontId="57" fillId="0" borderId="1" xfId="0" quotePrefix="1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7" fontId="20" fillId="0" borderId="19" xfId="0" applyNumberFormat="1" applyFont="1" applyBorder="1" applyAlignment="1">
      <alignment horizontal="center" vertical="center"/>
    </xf>
    <xf numFmtId="185" fontId="20" fillId="0" borderId="73" xfId="1" applyNumberFormat="1" applyFont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197" fontId="7" fillId="0" borderId="3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28" fillId="0" borderId="43" xfId="0" applyFont="1" applyBorder="1" applyAlignment="1">
      <alignment horizontal="right" vertical="center"/>
    </xf>
    <xf numFmtId="3" fontId="120" fillId="16" borderId="63" xfId="7" applyNumberFormat="1" applyFont="1" applyFill="1" applyBorder="1" applyAlignment="1">
      <alignment horizontal="center" vertical="center" wrapText="1"/>
    </xf>
    <xf numFmtId="183" fontId="6" fillId="0" borderId="2" xfId="1" applyNumberFormat="1" applyFont="1" applyBorder="1" applyAlignment="1">
      <alignment horizontal="center" vertical="center"/>
    </xf>
    <xf numFmtId="183" fontId="6" fillId="0" borderId="1" xfId="1" applyNumberFormat="1" applyFont="1" applyBorder="1" applyAlignment="1">
      <alignment horizontal="center" vertical="center"/>
    </xf>
    <xf numFmtId="196" fontId="6" fillId="0" borderId="1" xfId="1" applyNumberFormat="1" applyFont="1" applyBorder="1">
      <alignment vertical="center"/>
    </xf>
    <xf numFmtId="41" fontId="112" fillId="19" borderId="1" xfId="1" applyFont="1" applyFill="1" applyBorder="1">
      <alignment vertical="center"/>
    </xf>
    <xf numFmtId="0" fontId="0" fillId="0" borderId="1" xfId="0" applyBorder="1" applyAlignment="1">
      <alignment horizontal="center" vertical="center"/>
    </xf>
    <xf numFmtId="188" fontId="0" fillId="6" borderId="1" xfId="0" applyNumberFormat="1" applyFill="1" applyBorder="1">
      <alignment vertical="center"/>
    </xf>
    <xf numFmtId="0" fontId="13" fillId="0" borderId="0" xfId="0" quotePrefix="1" applyFont="1">
      <alignment vertical="center"/>
    </xf>
    <xf numFmtId="0" fontId="18" fillId="0" borderId="0" xfId="2" quotePrefix="1">
      <alignment vertical="center"/>
    </xf>
    <xf numFmtId="3" fontId="0" fillId="7" borderId="1" xfId="1" applyNumberFormat="1" applyFont="1" applyFill="1" applyBorder="1" applyAlignment="1">
      <alignment horizontal="center" vertical="center"/>
    </xf>
    <xf numFmtId="240" fontId="0" fillId="5" borderId="0" xfId="3" applyNumberFormat="1" applyFont="1" applyFill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4" fontId="0" fillId="7" borderId="0" xfId="1" applyNumberFormat="1" applyFont="1" applyFill="1" applyAlignment="1">
      <alignment horizontal="center" vertical="center"/>
    </xf>
    <xf numFmtId="20" fontId="0" fillId="0" borderId="43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39" fillId="7" borderId="38" xfId="0" applyFont="1" applyFill="1" applyBorder="1">
      <alignment vertical="center"/>
    </xf>
    <xf numFmtId="0" fontId="0" fillId="7" borderId="39" xfId="0" applyFill="1" applyBorder="1">
      <alignment vertical="center"/>
    </xf>
    <xf numFmtId="0" fontId="0" fillId="7" borderId="82" xfId="0" applyFill="1" applyBorder="1">
      <alignment vertical="center"/>
    </xf>
    <xf numFmtId="0" fontId="40" fillId="7" borderId="42" xfId="0" applyFont="1" applyFill="1" applyBorder="1">
      <alignment vertical="center"/>
    </xf>
    <xf numFmtId="0" fontId="0" fillId="7" borderId="43" xfId="0" applyFill="1" applyBorder="1">
      <alignment vertical="center"/>
    </xf>
    <xf numFmtId="0" fontId="0" fillId="7" borderId="44" xfId="0" applyFill="1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18" fillId="7" borderId="1" xfId="2" applyNumberFormat="1" applyFill="1" applyBorder="1">
      <alignment vertical="center"/>
    </xf>
    <xf numFmtId="4" fontId="1" fillId="2" borderId="1" xfId="1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41" fontId="1" fillId="2" borderId="1" xfId="0" applyNumberFormat="1" applyFont="1" applyFill="1" applyBorder="1">
      <alignment vertical="center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1" fontId="0" fillId="2" borderId="0" xfId="1" applyFont="1" applyFill="1">
      <alignment vertical="center"/>
    </xf>
    <xf numFmtId="41" fontId="0" fillId="2" borderId="43" xfId="1" applyFont="1" applyFill="1" applyBorder="1">
      <alignment vertical="center"/>
    </xf>
    <xf numFmtId="243" fontId="7" fillId="0" borderId="0" xfId="1" applyNumberFormat="1" applyFont="1">
      <alignment vertical="center"/>
    </xf>
    <xf numFmtId="215" fontId="7" fillId="0" borderId="0" xfId="1" applyNumberFormat="1" applyFont="1">
      <alignment vertical="center"/>
    </xf>
    <xf numFmtId="3" fontId="0" fillId="2" borderId="0" xfId="0" applyNumberFormat="1" applyFill="1" applyAlignment="1">
      <alignment horizontal="center" vertical="center"/>
    </xf>
    <xf numFmtId="242" fontId="0" fillId="2" borderId="0" xfId="0" applyNumberFormat="1" applyFill="1">
      <alignment vertical="center"/>
    </xf>
    <xf numFmtId="242" fontId="7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244" fontId="0" fillId="2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244" fontId="13" fillId="2" borderId="1" xfId="0" applyNumberFormat="1" applyFont="1" applyFill="1" applyBorder="1" applyAlignment="1">
      <alignment horizontal="center" vertical="center"/>
    </xf>
    <xf numFmtId="41" fontId="0" fillId="2" borderId="1" xfId="1" applyFont="1" applyFill="1" applyBorder="1">
      <alignment vertical="center"/>
    </xf>
    <xf numFmtId="41" fontId="0" fillId="2" borderId="1" xfId="0" applyNumberFormat="1" applyFill="1" applyBorder="1">
      <alignment vertical="center"/>
    </xf>
    <xf numFmtId="41" fontId="13" fillId="2" borderId="1" xfId="1" applyFont="1" applyFill="1" applyBorder="1">
      <alignment vertical="center"/>
    </xf>
    <xf numFmtId="41" fontId="13" fillId="2" borderId="1" xfId="0" applyNumberFormat="1" applyFont="1" applyFill="1" applyBorder="1">
      <alignment vertical="center"/>
    </xf>
    <xf numFmtId="41" fontId="96" fillId="2" borderId="1" xfId="1" applyFont="1" applyFill="1" applyBorder="1">
      <alignment vertical="center"/>
    </xf>
    <xf numFmtId="41" fontId="29" fillId="2" borderId="1" xfId="1" applyFont="1" applyFill="1" applyBorder="1">
      <alignment vertical="center"/>
    </xf>
    <xf numFmtId="194" fontId="0" fillId="13" borderId="1" xfId="0" applyNumberFormat="1" applyFill="1" applyBorder="1">
      <alignment vertical="center"/>
    </xf>
    <xf numFmtId="0" fontId="0" fillId="2" borderId="0" xfId="0" applyFill="1">
      <alignment vertical="center"/>
    </xf>
    <xf numFmtId="237" fontId="0" fillId="2" borderId="1" xfId="1" applyNumberFormat="1" applyFont="1" applyFill="1" applyBorder="1">
      <alignment vertical="center"/>
    </xf>
    <xf numFmtId="0" fontId="0" fillId="0" borderId="50" xfId="0" applyBorder="1">
      <alignment vertical="center"/>
    </xf>
    <xf numFmtId="20" fontId="13" fillId="15" borderId="0" xfId="0" applyNumberFormat="1" applyFont="1" applyFill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215" fontId="7" fillId="0" borderId="50" xfId="1" applyNumberFormat="1" applyFont="1" applyBorder="1">
      <alignment vertical="center"/>
    </xf>
    <xf numFmtId="0" fontId="0" fillId="0" borderId="33" xfId="0" applyBorder="1">
      <alignment vertical="center"/>
    </xf>
    <xf numFmtId="0" fontId="0" fillId="0" borderId="6" xfId="0" applyBorder="1">
      <alignment vertical="center"/>
    </xf>
    <xf numFmtId="0" fontId="0" fillId="0" borderId="34" xfId="0" applyBorder="1">
      <alignment vertical="center"/>
    </xf>
    <xf numFmtId="0" fontId="0" fillId="0" borderId="32" xfId="0" quotePrefix="1" applyBorder="1">
      <alignment vertical="center"/>
    </xf>
    <xf numFmtId="0" fontId="0" fillId="0" borderId="0" xfId="0" quotePrefix="1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86" fontId="0" fillId="0" borderId="26" xfId="0" applyNumberFormat="1" applyBorder="1" applyAlignment="1">
      <alignment horizontal="center" vertical="center"/>
    </xf>
    <xf numFmtId="182" fontId="7" fillId="0" borderId="73" xfId="1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47" fontId="7" fillId="0" borderId="2" xfId="0" applyNumberFormat="1" applyFont="1" applyBorder="1" applyAlignment="1">
      <alignment horizontal="center" vertical="center"/>
    </xf>
    <xf numFmtId="245" fontId="96" fillId="0" borderId="3" xfId="0" applyNumberFormat="1" applyFont="1" applyBorder="1" applyAlignment="1">
      <alignment horizontal="center" vertical="center"/>
    </xf>
    <xf numFmtId="246" fontId="7" fillId="0" borderId="76" xfId="1" applyNumberFormat="1" applyFont="1" applyBorder="1" applyAlignment="1">
      <alignment vertical="center"/>
    </xf>
    <xf numFmtId="182" fontId="7" fillId="0" borderId="87" xfId="1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187" fontId="20" fillId="0" borderId="18" xfId="0" applyNumberFormat="1" applyFont="1" applyBorder="1" applyAlignment="1">
      <alignment horizontal="center" vertical="center"/>
    </xf>
    <xf numFmtId="188" fontId="0" fillId="2" borderId="1" xfId="0" applyNumberForma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246" fontId="7" fillId="0" borderId="73" xfId="1" applyNumberFormat="1" applyFont="1" applyBorder="1" applyAlignment="1">
      <alignment vertical="center"/>
    </xf>
    <xf numFmtId="248" fontId="112" fillId="0" borderId="89" xfId="0" applyNumberFormat="1" applyFont="1" applyBorder="1" applyAlignment="1">
      <alignment vertical="center"/>
    </xf>
    <xf numFmtId="246" fontId="112" fillId="0" borderId="82" xfId="0" applyNumberFormat="1" applyFont="1" applyBorder="1" applyAlignment="1">
      <alignment horizontal="center" vertical="center"/>
    </xf>
    <xf numFmtId="0" fontId="127" fillId="0" borderId="0" xfId="0" applyFont="1">
      <alignment vertical="center"/>
    </xf>
    <xf numFmtId="249" fontId="0" fillId="0" borderId="1" xfId="1" applyNumberFormat="1" applyFont="1" applyBorder="1" applyAlignment="1">
      <alignment horizontal="center" vertical="center"/>
    </xf>
    <xf numFmtId="249" fontId="0" fillId="0" borderId="1" xfId="0" applyNumberFormat="1" applyBorder="1" applyAlignment="1">
      <alignment horizontal="center" vertical="center"/>
    </xf>
    <xf numFmtId="215" fontId="0" fillId="0" borderId="1" xfId="1" applyNumberFormat="1" applyFont="1" applyBorder="1">
      <alignment vertical="center"/>
    </xf>
    <xf numFmtId="250" fontId="0" fillId="0" borderId="1" xfId="1" applyNumberFormat="1" applyFont="1" applyBorder="1">
      <alignment vertical="center"/>
    </xf>
    <xf numFmtId="182" fontId="0" fillId="3" borderId="1" xfId="0" applyNumberFormat="1" applyFill="1" applyBorder="1" applyAlignment="1">
      <alignment horizontal="center" vertical="center"/>
    </xf>
    <xf numFmtId="251" fontId="0" fillId="6" borderId="0" xfId="1" applyNumberFormat="1" applyFont="1" applyFill="1" applyAlignment="1">
      <alignment horizontal="center" vertical="center"/>
    </xf>
    <xf numFmtId="0" fontId="18" fillId="15" borderId="1" xfId="2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28" fillId="0" borderId="0" xfId="2" applyFont="1">
      <alignment vertical="center"/>
    </xf>
    <xf numFmtId="183" fontId="7" fillId="0" borderId="11" xfId="0" applyNumberFormat="1" applyFont="1" applyBorder="1" applyAlignment="1">
      <alignment horizontal="center" vertical="center" shrinkToFit="1"/>
    </xf>
    <xf numFmtId="0" fontId="22" fillId="3" borderId="1" xfId="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06" fontId="129" fillId="0" borderId="1" xfId="1" applyNumberFormat="1" applyFont="1" applyBorder="1" applyAlignment="1">
      <alignment horizontal="center" vertical="center" shrinkToFit="1"/>
    </xf>
    <xf numFmtId="41" fontId="129" fillId="0" borderId="37" xfId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8" fillId="20" borderId="1" xfId="2" applyFill="1" applyBorder="1">
      <alignment vertical="center"/>
    </xf>
    <xf numFmtId="252" fontId="20" fillId="20" borderId="1" xfId="0" applyNumberFormat="1" applyFont="1" applyFill="1" applyBorder="1" applyAlignment="1">
      <alignment horizontal="center" vertical="center"/>
    </xf>
    <xf numFmtId="188" fontId="0" fillId="0" borderId="0" xfId="0" applyNumberFormat="1">
      <alignment vertical="center"/>
    </xf>
    <xf numFmtId="3" fontId="13" fillId="10" borderId="1" xfId="1" applyNumberFormat="1" applyFont="1" applyFill="1" applyBorder="1" applyAlignment="1">
      <alignment horizontal="center" vertical="center"/>
    </xf>
    <xf numFmtId="182" fontId="7" fillId="0" borderId="50" xfId="1" applyNumberFormat="1" applyFont="1" applyBorder="1" applyAlignment="1">
      <alignment horizontal="center" vertical="center"/>
    </xf>
    <xf numFmtId="0" fontId="5" fillId="0" borderId="72" xfId="0" quotePrefix="1" applyFont="1" applyBorder="1" applyAlignment="1">
      <alignment horizontal="center" vertical="center"/>
    </xf>
    <xf numFmtId="184" fontId="21" fillId="0" borderId="72" xfId="1" applyNumberFormat="1" applyFont="1" applyBorder="1" applyAlignment="1">
      <alignment vertical="center"/>
    </xf>
    <xf numFmtId="187" fontId="7" fillId="0" borderId="26" xfId="0" applyNumberFormat="1" applyFont="1" applyBorder="1" applyAlignment="1">
      <alignment horizontal="center" vertical="center"/>
    </xf>
    <xf numFmtId="187" fontId="7" fillId="0" borderId="15" xfId="0" applyNumberFormat="1" applyFont="1" applyBorder="1" applyAlignment="1">
      <alignment horizontal="center" vertical="center"/>
    </xf>
    <xf numFmtId="187" fontId="7" fillId="0" borderId="19" xfId="0" applyNumberFormat="1" applyFont="1" applyBorder="1" applyAlignment="1">
      <alignment horizontal="center" vertical="center"/>
    </xf>
    <xf numFmtId="187" fontId="7" fillId="0" borderId="23" xfId="0" applyNumberFormat="1" applyFont="1" applyBorder="1" applyAlignment="1">
      <alignment horizontal="center" vertical="center"/>
    </xf>
    <xf numFmtId="185" fontId="7" fillId="0" borderId="73" xfId="1" applyNumberFormat="1" applyFont="1" applyBorder="1" applyAlignment="1">
      <alignment horizontal="center" vertical="center"/>
    </xf>
    <xf numFmtId="253" fontId="29" fillId="0" borderId="37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8" fillId="7" borderId="1" xfId="2" applyFill="1" applyBorder="1" applyAlignment="1">
      <alignment horizontal="center" vertical="center"/>
    </xf>
    <xf numFmtId="41" fontId="18" fillId="0" borderId="0" xfId="2" applyNumberFormat="1">
      <alignment vertical="center"/>
    </xf>
    <xf numFmtId="0" fontId="131" fillId="0" borderId="0" xfId="0" applyFont="1">
      <alignment vertical="center"/>
    </xf>
    <xf numFmtId="0" fontId="132" fillId="0" borderId="0" xfId="0" applyFont="1">
      <alignment vertical="center"/>
    </xf>
    <xf numFmtId="0" fontId="135" fillId="0" borderId="0" xfId="0" applyFont="1">
      <alignment vertical="center"/>
    </xf>
    <xf numFmtId="0" fontId="139" fillId="0" borderId="0" xfId="0" applyFont="1">
      <alignment vertical="center"/>
    </xf>
    <xf numFmtId="0" fontId="18" fillId="7" borderId="2" xfId="2" applyFill="1" applyBorder="1" applyAlignment="1">
      <alignment horizontal="center" vertical="center"/>
    </xf>
    <xf numFmtId="188" fontId="0" fillId="13" borderId="37" xfId="0" applyNumberFormat="1" applyFill="1" applyBorder="1">
      <alignment vertical="center"/>
    </xf>
    <xf numFmtId="0" fontId="22" fillId="20" borderId="1" xfId="2" applyFont="1" applyFill="1" applyBorder="1" applyAlignment="1">
      <alignment horizontal="center" vertical="center"/>
    </xf>
    <xf numFmtId="0" fontId="22" fillId="20" borderId="1" xfId="2" applyFont="1" applyFill="1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0" fillId="10" borderId="1" xfId="0" applyNumberFormat="1" applyFill="1" applyBorder="1" applyAlignment="1">
      <alignment horizontal="center" vertical="center"/>
    </xf>
    <xf numFmtId="3" fontId="28" fillId="10" borderId="1" xfId="0" applyNumberFormat="1" applyFont="1" applyFill="1" applyBorder="1" applyAlignment="1">
      <alignment horizontal="left" vertical="center"/>
    </xf>
    <xf numFmtId="0" fontId="64" fillId="10" borderId="1" xfId="0" applyFont="1" applyFill="1" applyBorder="1">
      <alignment vertical="center"/>
    </xf>
    <xf numFmtId="0" fontId="28" fillId="15" borderId="1" xfId="0" applyFont="1" applyFill="1" applyBorder="1" applyAlignment="1">
      <alignment horizontal="center" vertical="center"/>
    </xf>
    <xf numFmtId="3" fontId="28" fillId="15" borderId="1" xfId="0" applyNumberFormat="1" applyFont="1" applyFill="1" applyBorder="1" applyAlignment="1">
      <alignment horizontal="center" vertical="center"/>
    </xf>
    <xf numFmtId="3" fontId="0" fillId="15" borderId="1" xfId="0" applyNumberFormat="1" applyFill="1" applyBorder="1" applyAlignment="1">
      <alignment horizontal="center" vertical="center"/>
    </xf>
    <xf numFmtId="0" fontId="0" fillId="10" borderId="36" xfId="0" applyFill="1" applyBorder="1" applyAlignment="1">
      <alignment horizontal="center" vertical="center"/>
    </xf>
    <xf numFmtId="0" fontId="7" fillId="0" borderId="90" xfId="0" applyFont="1" applyFill="1" applyBorder="1" applyAlignment="1">
      <alignment horizontal="center" vertical="center"/>
    </xf>
    <xf numFmtId="0" fontId="64" fillId="0" borderId="0" xfId="0" applyFont="1">
      <alignment vertical="center"/>
    </xf>
    <xf numFmtId="3" fontId="13" fillId="2" borderId="37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201" fontId="0" fillId="0" borderId="1" xfId="0" applyNumberFormat="1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201" fontId="0" fillId="0" borderId="37" xfId="0" applyNumberFormat="1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9" fillId="21" borderId="90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 vertical="center"/>
    </xf>
    <xf numFmtId="0" fontId="29" fillId="0" borderId="35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7" fillId="0" borderId="91" xfId="0" applyFont="1" applyBorder="1" applyAlignment="1">
      <alignment horizontal="center" vertical="center"/>
    </xf>
    <xf numFmtId="0" fontId="7" fillId="0" borderId="92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18" fillId="7" borderId="5" xfId="2" applyFill="1" applyBorder="1" applyAlignment="1">
      <alignment horizontal="center" vertical="center"/>
    </xf>
    <xf numFmtId="181" fontId="5" fillId="0" borderId="94" xfId="1" applyNumberFormat="1" applyFont="1" applyBorder="1" applyAlignment="1">
      <alignment horizontal="center" vertical="center"/>
    </xf>
    <xf numFmtId="41" fontId="7" fillId="21" borderId="90" xfId="1" applyFont="1" applyFill="1" applyBorder="1">
      <alignment vertical="center"/>
    </xf>
    <xf numFmtId="0" fontId="140" fillId="21" borderId="1" xfId="0" applyFont="1" applyFill="1" applyBorder="1" applyAlignment="1">
      <alignment horizontal="center" vertical="center"/>
    </xf>
    <xf numFmtId="0" fontId="141" fillId="21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85" fontId="7" fillId="0" borderId="73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14" fontId="142" fillId="2" borderId="1" xfId="2" applyNumberFormat="1" applyFont="1" applyFill="1" applyBorder="1" applyAlignment="1">
      <alignment horizontal="center" vertical="center"/>
    </xf>
    <xf numFmtId="10" fontId="0" fillId="7" borderId="1" xfId="3" applyNumberFormat="1" applyFont="1" applyFill="1" applyBorder="1" applyAlignment="1">
      <alignment horizontal="center" vertical="center"/>
    </xf>
    <xf numFmtId="196" fontId="29" fillId="0" borderId="3" xfId="1" applyNumberFormat="1" applyFont="1" applyBorder="1">
      <alignment vertical="center"/>
    </xf>
    <xf numFmtId="179" fontId="16" fillId="0" borderId="0" xfId="0" applyNumberFormat="1" applyFont="1" applyBorder="1" applyAlignment="1">
      <alignment horizontal="center" vertical="center" shrinkToFit="1"/>
    </xf>
    <xf numFmtId="0" fontId="0" fillId="0" borderId="36" xfId="0" applyBorder="1" applyAlignment="1">
      <alignment horizontal="center" vertical="center"/>
    </xf>
    <xf numFmtId="183" fontId="7" fillId="0" borderId="110" xfId="0" applyNumberFormat="1" applyFont="1" applyBorder="1" applyAlignment="1">
      <alignment horizontal="center" vertical="center" shrinkToFit="1"/>
    </xf>
    <xf numFmtId="197" fontId="29" fillId="0" borderId="101" xfId="0" applyNumberFormat="1" applyFont="1" applyBorder="1" applyAlignment="1">
      <alignment horizontal="center" vertical="center"/>
    </xf>
    <xf numFmtId="197" fontId="29" fillId="0" borderId="89" xfId="0" applyNumberFormat="1" applyFont="1" applyBorder="1" applyAlignment="1">
      <alignment horizontal="center" vertical="center"/>
    </xf>
    <xf numFmtId="180" fontId="29" fillId="0" borderId="52" xfId="0" applyNumberFormat="1" applyFont="1" applyBorder="1" applyAlignment="1">
      <alignment horizontal="center" vertical="center"/>
    </xf>
    <xf numFmtId="4" fontId="29" fillId="22" borderId="1" xfId="1" applyNumberFormat="1" applyFont="1" applyFill="1" applyBorder="1" applyAlignment="1">
      <alignment horizontal="center" vertical="center"/>
    </xf>
    <xf numFmtId="3" fontId="0" fillId="22" borderId="1" xfId="0" applyNumberFormat="1" applyFill="1" applyBorder="1" applyAlignment="1">
      <alignment horizontal="center" vertical="center"/>
    </xf>
    <xf numFmtId="20" fontId="0" fillId="0" borderId="0" xfId="0" applyNumberFormat="1">
      <alignment vertical="center"/>
    </xf>
    <xf numFmtId="20" fontId="0" fillId="0" borderId="4" xfId="0" applyNumberFormat="1" applyBorder="1">
      <alignment vertical="center"/>
    </xf>
    <xf numFmtId="254" fontId="16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6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26" fontId="7" fillId="0" borderId="1" xfId="0" applyNumberFormat="1" applyFont="1" applyBorder="1" applyAlignment="1">
      <alignment horizontal="center" vertical="center"/>
    </xf>
    <xf numFmtId="20" fontId="0" fillId="8" borderId="0" xfId="0" applyNumberFormat="1" applyFill="1" applyAlignment="1">
      <alignment horizontal="center" vertical="center"/>
    </xf>
    <xf numFmtId="0" fontId="0" fillId="8" borderId="0" xfId="0" applyFill="1">
      <alignment vertical="center"/>
    </xf>
    <xf numFmtId="255" fontId="0" fillId="8" borderId="1" xfId="1" applyNumberFormat="1" applyFont="1" applyFill="1" applyBorder="1" applyAlignment="1">
      <alignment horizontal="center" vertical="center"/>
    </xf>
    <xf numFmtId="254" fontId="7" fillId="0" borderId="2" xfId="0" applyNumberFormat="1" applyFont="1" applyBorder="1" applyAlignment="1">
      <alignment horizontal="center" vertical="center"/>
    </xf>
    <xf numFmtId="256" fontId="7" fillId="0" borderId="116" xfId="1" applyNumberFormat="1" applyFon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201" fontId="0" fillId="2" borderId="1" xfId="0" applyNumberFormat="1" applyFill="1" applyBorder="1" applyAlignment="1">
      <alignment horizontal="left" vertical="center"/>
    </xf>
    <xf numFmtId="3" fontId="0" fillId="2" borderId="1" xfId="0" applyNumberForma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201" fontId="0" fillId="2" borderId="73" xfId="0" applyNumberFormat="1" applyFill="1" applyBorder="1" applyAlignment="1">
      <alignment horizontal="left" vertical="center"/>
    </xf>
    <xf numFmtId="3" fontId="0" fillId="2" borderId="73" xfId="0" applyNumberForma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/>
    </xf>
    <xf numFmtId="0" fontId="29" fillId="2" borderId="73" xfId="0" applyFont="1" applyFill="1" applyBorder="1" applyAlignment="1">
      <alignment horizontal="center" vertical="center"/>
    </xf>
    <xf numFmtId="201" fontId="0" fillId="2" borderId="37" xfId="0" applyNumberFormat="1" applyFill="1" applyBorder="1" applyAlignment="1">
      <alignment horizontal="left" vertical="center"/>
    </xf>
    <xf numFmtId="3" fontId="0" fillId="2" borderId="37" xfId="0" applyNumberFormat="1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29" fillId="2" borderId="37" xfId="0" applyFont="1" applyFill="1" applyBorder="1" applyAlignment="1">
      <alignment horizontal="center" vertical="center"/>
    </xf>
    <xf numFmtId="201" fontId="0" fillId="3" borderId="37" xfId="0" applyNumberFormat="1" applyFill="1" applyBorder="1" applyAlignment="1">
      <alignment horizontal="left" vertical="center"/>
    </xf>
    <xf numFmtId="3" fontId="0" fillId="3" borderId="37" xfId="0" applyNumberFormat="1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201" fontId="0" fillId="3" borderId="1" xfId="0" applyNumberFormat="1" applyFill="1" applyBorder="1" applyAlignment="1">
      <alignment horizontal="left" vertical="center"/>
    </xf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201" fontId="0" fillId="3" borderId="73" xfId="0" applyNumberFormat="1" applyFill="1" applyBorder="1" applyAlignment="1">
      <alignment horizontal="left" vertical="center"/>
    </xf>
    <xf numFmtId="3" fontId="0" fillId="3" borderId="73" xfId="0" applyNumberFormat="1" applyFill="1" applyBorder="1" applyAlignment="1">
      <alignment horizontal="center" vertical="center"/>
    </xf>
    <xf numFmtId="0" fontId="0" fillId="3" borderId="73" xfId="0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29" fillId="3" borderId="73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/>
    </xf>
    <xf numFmtId="0" fontId="0" fillId="21" borderId="1" xfId="0" applyFill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145" fillId="0" borderId="1" xfId="0" applyFont="1" applyBorder="1" applyAlignment="1">
      <alignment horizontal="center" vertical="center"/>
    </xf>
    <xf numFmtId="180" fontId="91" fillId="0" borderId="1" xfId="0" applyNumberFormat="1" applyFont="1" applyBorder="1" applyAlignment="1">
      <alignment horizontal="center" vertical="center"/>
    </xf>
    <xf numFmtId="210" fontId="0" fillId="0" borderId="1" xfId="1" applyNumberFormat="1" applyFont="1" applyBorder="1" applyAlignment="1">
      <alignment horizontal="center" vertical="center"/>
    </xf>
    <xf numFmtId="0" fontId="115" fillId="0" borderId="1" xfId="0" applyFont="1" applyBorder="1">
      <alignment vertical="center"/>
    </xf>
    <xf numFmtId="0" fontId="9" fillId="0" borderId="0" xfId="0" applyFont="1">
      <alignment vertical="center"/>
    </xf>
    <xf numFmtId="43" fontId="9" fillId="0" borderId="0" xfId="0" applyNumberFormat="1" applyFont="1">
      <alignment vertical="center"/>
    </xf>
    <xf numFmtId="0" fontId="0" fillId="21" borderId="1" xfId="0" applyFill="1" applyBorder="1" applyAlignment="1">
      <alignment horizontal="center" vertical="center"/>
    </xf>
    <xf numFmtId="3" fontId="0" fillId="21" borderId="1" xfId="0" applyNumberFormat="1" applyFill="1" applyBorder="1" applyAlignment="1">
      <alignment horizontal="center" vertical="center"/>
    </xf>
    <xf numFmtId="43" fontId="5" fillId="0" borderId="0" xfId="0" applyNumberFormat="1" applyFont="1">
      <alignment vertical="center"/>
    </xf>
    <xf numFmtId="0" fontId="0" fillId="0" borderId="1" xfId="0" applyBorder="1" applyAlignment="1">
      <alignment horizontal="center" vertical="center"/>
    </xf>
    <xf numFmtId="241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58" fontId="0" fillId="0" borderId="0" xfId="1" applyNumberFormat="1" applyFont="1">
      <alignment vertical="center"/>
    </xf>
    <xf numFmtId="259" fontId="0" fillId="0" borderId="0" xfId="0" applyNumberFormat="1">
      <alignment vertical="center"/>
    </xf>
    <xf numFmtId="259" fontId="0" fillId="2" borderId="0" xfId="0" applyNumberFormat="1" applyFill="1">
      <alignment vertical="center"/>
    </xf>
    <xf numFmtId="259" fontId="7" fillId="0" borderId="0" xfId="0" applyNumberFormat="1" applyFont="1">
      <alignment vertical="center"/>
    </xf>
    <xf numFmtId="259" fontId="0" fillId="3" borderId="1" xfId="0" applyNumberFormat="1" applyFill="1" applyBorder="1">
      <alignment vertical="center"/>
    </xf>
    <xf numFmtId="0" fontId="0" fillId="3" borderId="1" xfId="0" applyFill="1" applyBorder="1">
      <alignment vertical="center"/>
    </xf>
    <xf numFmtId="260" fontId="0" fillId="0" borderId="0" xfId="1" applyNumberFormat="1" applyFont="1">
      <alignment vertical="center"/>
    </xf>
    <xf numFmtId="261" fontId="0" fillId="0" borderId="0" xfId="1" applyNumberFormat="1" applyFont="1">
      <alignment vertical="center"/>
    </xf>
    <xf numFmtId="41" fontId="91" fillId="0" borderId="1" xfId="1" applyFont="1" applyBorder="1">
      <alignment vertical="center"/>
    </xf>
    <xf numFmtId="9" fontId="0" fillId="0" borderId="1" xfId="3" applyFont="1" applyBorder="1" applyAlignment="1">
      <alignment horizontal="center" vertical="center"/>
    </xf>
    <xf numFmtId="206" fontId="0" fillId="0" borderId="1" xfId="1" applyNumberFormat="1" applyFont="1" applyBorder="1" applyAlignment="1">
      <alignment horizontal="center" vertical="center"/>
    </xf>
    <xf numFmtId="9" fontId="29" fillId="0" borderId="1" xfId="3" applyFont="1" applyBorder="1" applyAlignment="1">
      <alignment horizontal="center" vertical="center"/>
    </xf>
    <xf numFmtId="206" fontId="0" fillId="0" borderId="0" xfId="1" applyNumberFormat="1" applyFont="1" applyBorder="1" applyAlignment="1">
      <alignment horizontal="center" vertical="center"/>
    </xf>
    <xf numFmtId="41" fontId="39" fillId="0" borderId="1" xfId="1" applyFont="1" applyBorder="1" applyAlignment="1">
      <alignment horizontal="center" vertical="center"/>
    </xf>
    <xf numFmtId="41" fontId="19" fillId="0" borderId="1" xfId="1" applyFont="1" applyBorder="1" applyAlignment="1">
      <alignment horizontal="center" vertical="center"/>
    </xf>
    <xf numFmtId="41" fontId="39" fillId="21" borderId="1" xfId="1" applyFont="1" applyFill="1" applyBorder="1" applyAlignment="1">
      <alignment horizontal="center" vertical="center"/>
    </xf>
    <xf numFmtId="41" fontId="19" fillId="21" borderId="1" xfId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41" fontId="7" fillId="0" borderId="117" xfId="1" applyFont="1" applyBorder="1" applyAlignment="1">
      <alignment horizontal="center" vertical="center"/>
    </xf>
    <xf numFmtId="41" fontId="7" fillId="0" borderId="118" xfId="1" applyFont="1" applyBorder="1" applyAlignment="1">
      <alignment horizontal="center" vertical="center"/>
    </xf>
    <xf numFmtId="41" fontId="7" fillId="0" borderId="119" xfId="1" applyFont="1" applyBorder="1" applyAlignment="1">
      <alignment horizontal="center" vertical="center"/>
    </xf>
    <xf numFmtId="41" fontId="7" fillId="0" borderId="120" xfId="1" applyFont="1" applyBorder="1" applyAlignment="1">
      <alignment horizontal="center" vertical="center"/>
    </xf>
    <xf numFmtId="41" fontId="7" fillId="0" borderId="121" xfId="1" applyFont="1" applyBorder="1" applyAlignment="1">
      <alignment horizontal="center" vertical="center"/>
    </xf>
    <xf numFmtId="41" fontId="7" fillId="0" borderId="122" xfId="1" applyFont="1" applyBorder="1" applyAlignment="1">
      <alignment horizontal="center" vertical="center"/>
    </xf>
    <xf numFmtId="41" fontId="7" fillId="0" borderId="2" xfId="1" applyFont="1" applyBorder="1">
      <alignment vertical="center"/>
    </xf>
    <xf numFmtId="41" fontId="91" fillId="0" borderId="37" xfId="1" applyFont="1" applyBorder="1">
      <alignment vertical="center"/>
    </xf>
    <xf numFmtId="41" fontId="7" fillId="0" borderId="95" xfId="1" applyFont="1" applyBorder="1">
      <alignment vertical="center"/>
    </xf>
    <xf numFmtId="41" fontId="7" fillId="0" borderId="96" xfId="1" applyFont="1" applyBorder="1">
      <alignment vertical="center"/>
    </xf>
    <xf numFmtId="41" fontId="7" fillId="0" borderId="97" xfId="1" applyFont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146" fillId="10" borderId="2" xfId="2" applyFont="1" applyFill="1" applyBorder="1">
      <alignment vertical="center"/>
    </xf>
    <xf numFmtId="239" fontId="18" fillId="5" borderId="0" xfId="2" applyNumberFormat="1" applyFill="1" applyAlignment="1">
      <alignment horizontal="center" vertical="center"/>
    </xf>
    <xf numFmtId="41" fontId="0" fillId="0" borderId="1" xfId="1" applyFont="1" applyBorder="1">
      <alignment vertical="center"/>
    </xf>
    <xf numFmtId="41" fontId="0" fillId="21" borderId="1" xfId="1" applyFont="1" applyFill="1" applyBorder="1">
      <alignment vertical="center"/>
    </xf>
    <xf numFmtId="180" fontId="0" fillId="2" borderId="1" xfId="0" applyNumberFormat="1" applyFill="1" applyBorder="1" applyAlignment="1">
      <alignment horizontal="center" vertical="center"/>
    </xf>
    <xf numFmtId="3" fontId="0" fillId="0" borderId="1" xfId="0" applyNumberFormat="1" applyBorder="1">
      <alignment vertical="center"/>
    </xf>
    <xf numFmtId="41" fontId="0" fillId="3" borderId="1" xfId="0" applyNumberFormat="1" applyFill="1" applyBorder="1">
      <alignment vertical="center"/>
    </xf>
    <xf numFmtId="206" fontId="29" fillId="3" borderId="1" xfId="0" applyNumberFormat="1" applyFont="1" applyFill="1" applyBorder="1" applyAlignment="1">
      <alignment horizontal="center" vertical="center"/>
    </xf>
    <xf numFmtId="227" fontId="29" fillId="0" borderId="1" xfId="0" applyNumberFormat="1" applyFont="1" applyBorder="1" applyAlignment="1">
      <alignment horizontal="center" vertical="center"/>
    </xf>
    <xf numFmtId="227" fontId="147" fillId="0" borderId="1" xfId="0" applyNumberFormat="1" applyFont="1" applyBorder="1" applyAlignment="1">
      <alignment horizontal="center" vertical="center"/>
    </xf>
    <xf numFmtId="208" fontId="148" fillId="0" borderId="1" xfId="1" applyNumberFormat="1" applyFont="1" applyBorder="1" applyAlignment="1">
      <alignment horizontal="center" vertical="center"/>
    </xf>
    <xf numFmtId="262" fontId="0" fillId="8" borderId="0" xfId="0" applyNumberFormat="1" applyFill="1">
      <alignment vertical="center"/>
    </xf>
    <xf numFmtId="196" fontId="147" fillId="3" borderId="1" xfId="0" applyNumberFormat="1" applyFont="1" applyFill="1" applyBorder="1" applyAlignment="1">
      <alignment horizontal="center" vertical="center"/>
    </xf>
    <xf numFmtId="43" fontId="115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9" fontId="16" fillId="0" borderId="0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0" fillId="23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24" borderId="1" xfId="0" applyFill="1" applyBorder="1" applyAlignment="1">
      <alignment horizontal="center" vertical="center"/>
    </xf>
    <xf numFmtId="14" fontId="0" fillId="0" borderId="127" xfId="0" applyNumberFormat="1" applyBorder="1" applyAlignment="1">
      <alignment horizontal="center" vertical="center"/>
    </xf>
    <xf numFmtId="0" fontId="0" fillId="24" borderId="127" xfId="0" applyFill="1" applyBorder="1" applyAlignment="1">
      <alignment horizontal="center" vertical="center"/>
    </xf>
    <xf numFmtId="0" fontId="153" fillId="0" borderId="129" xfId="9" applyFont="1" applyBorder="1" applyAlignment="1">
      <alignment horizontal="center" vertical="center" shrinkToFit="1"/>
    </xf>
    <xf numFmtId="0" fontId="0" fillId="23" borderId="37" xfId="0" applyFill="1" applyBorder="1" applyAlignment="1">
      <alignment horizontal="center" vertical="center"/>
    </xf>
    <xf numFmtId="0" fontId="52" fillId="3" borderId="24" xfId="0" applyFont="1" applyFill="1" applyBorder="1" applyAlignment="1">
      <alignment horizontal="center" vertical="center"/>
    </xf>
    <xf numFmtId="263" fontId="28" fillId="0" borderId="130" xfId="0" applyNumberFormat="1" applyFont="1" applyBorder="1" applyAlignment="1">
      <alignment horizontal="center" vertical="center"/>
    </xf>
    <xf numFmtId="263" fontId="28" fillId="0" borderId="24" xfId="0" applyNumberFormat="1" applyFont="1" applyBorder="1" applyAlignment="1">
      <alignment horizontal="center" vertical="center"/>
    </xf>
    <xf numFmtId="41" fontId="0" fillId="22" borderId="111" xfId="1" applyFont="1" applyFill="1" applyBorder="1" applyAlignment="1">
      <alignment vertical="center"/>
    </xf>
    <xf numFmtId="235" fontId="156" fillId="0" borderId="131" xfId="9" applyNumberFormat="1" applyFont="1" applyBorder="1" applyAlignment="1">
      <alignment horizontal="center" vertical="center" shrinkToFit="1"/>
    </xf>
    <xf numFmtId="0" fontId="0" fillId="10" borderId="73" xfId="0" applyFill="1" applyBorder="1" applyAlignment="1">
      <alignment horizontal="center" vertical="center"/>
    </xf>
    <xf numFmtId="0" fontId="0" fillId="24" borderId="73" xfId="0" applyFill="1" applyBorder="1" applyAlignment="1">
      <alignment horizontal="center" vertical="center"/>
    </xf>
    <xf numFmtId="0" fontId="52" fillId="3" borderId="77" xfId="0" applyFont="1" applyFill="1" applyBorder="1" applyAlignment="1">
      <alignment horizontal="center" vertical="center"/>
    </xf>
    <xf numFmtId="263" fontId="28" fillId="0" borderId="132" xfId="0" applyNumberFormat="1" applyFont="1" applyBorder="1" applyAlignment="1">
      <alignment horizontal="center" vertical="center"/>
    </xf>
    <xf numFmtId="41" fontId="0" fillId="22" borderId="102" xfId="1" applyFont="1" applyFill="1" applyBorder="1" applyAlignment="1">
      <alignment vertical="center"/>
    </xf>
    <xf numFmtId="0" fontId="153" fillId="0" borderId="133" xfId="9" applyFont="1" applyBorder="1" applyAlignment="1">
      <alignment horizontal="center" vertical="center" shrinkToFit="1"/>
    </xf>
    <xf numFmtId="0" fontId="52" fillId="3" borderId="9" xfId="0" applyFont="1" applyFill="1" applyBorder="1" applyAlignment="1">
      <alignment horizontal="center" vertical="center"/>
    </xf>
    <xf numFmtId="263" fontId="28" fillId="0" borderId="14" xfId="0" applyNumberFormat="1" applyFont="1" applyBorder="1" applyAlignment="1">
      <alignment horizontal="center" vertical="center"/>
    </xf>
    <xf numFmtId="263" fontId="28" fillId="0" borderId="9" xfId="0" applyNumberFormat="1" applyFont="1" applyBorder="1" applyAlignment="1">
      <alignment horizontal="center" vertical="center"/>
    </xf>
    <xf numFmtId="41" fontId="0" fillId="22" borderId="52" xfId="1" applyFont="1" applyFill="1" applyBorder="1" applyAlignment="1">
      <alignment vertical="center"/>
    </xf>
    <xf numFmtId="0" fontId="0" fillId="23" borderId="3" xfId="0" applyFill="1" applyBorder="1" applyAlignment="1">
      <alignment horizontal="center" vertical="center"/>
    </xf>
    <xf numFmtId="41" fontId="28" fillId="22" borderId="136" xfId="1" applyFont="1" applyFill="1" applyBorder="1" applyAlignment="1">
      <alignment horizontal="center" vertical="center"/>
    </xf>
    <xf numFmtId="41" fontId="28" fillId="22" borderId="137" xfId="1" applyFont="1" applyFill="1" applyBorder="1" applyAlignment="1">
      <alignment horizontal="center" vertical="center"/>
    </xf>
    <xf numFmtId="41" fontId="28" fillId="22" borderId="138" xfId="1" applyFont="1" applyFill="1" applyBorder="1" applyAlignment="1">
      <alignment horizontal="center" vertical="center"/>
    </xf>
    <xf numFmtId="0" fontId="0" fillId="23" borderId="83" xfId="0" applyFill="1" applyBorder="1" applyAlignment="1">
      <alignment horizontal="center" vertical="center"/>
    </xf>
    <xf numFmtId="0" fontId="0" fillId="23" borderId="76" xfId="0" applyFill="1" applyBorder="1" applyAlignment="1">
      <alignment horizontal="center" vertical="center"/>
    </xf>
    <xf numFmtId="41" fontId="28" fillId="22" borderId="140" xfId="1" applyFont="1" applyFill="1" applyBorder="1" applyAlignment="1">
      <alignment horizontal="center" vertical="center"/>
    </xf>
    <xf numFmtId="41" fontId="28" fillId="22" borderId="114" xfId="1" applyFont="1" applyFill="1" applyBorder="1" applyAlignment="1">
      <alignment horizontal="center" vertical="center"/>
    </xf>
    <xf numFmtId="41" fontId="28" fillId="22" borderId="115" xfId="1" applyFont="1" applyFill="1" applyBorder="1" applyAlignment="1">
      <alignment horizontal="center" vertical="center"/>
    </xf>
    <xf numFmtId="206" fontId="16" fillId="0" borderId="1" xfId="1" applyNumberFormat="1" applyFont="1" applyBorder="1" applyAlignment="1">
      <alignment horizontal="center" vertical="center" shrinkToFit="1"/>
    </xf>
    <xf numFmtId="1" fontId="0" fillId="0" borderId="0" xfId="0" applyNumberFormat="1">
      <alignment vertical="center"/>
    </xf>
    <xf numFmtId="41" fontId="7" fillId="0" borderId="1" xfId="1" applyFont="1" applyFill="1" applyBorder="1">
      <alignment vertical="center"/>
    </xf>
    <xf numFmtId="253" fontId="113" fillId="0" borderId="89" xfId="0" applyNumberFormat="1" applyFont="1" applyBorder="1" applyAlignment="1">
      <alignment horizontal="center" vertical="center"/>
    </xf>
    <xf numFmtId="43" fontId="18" fillId="0" borderId="0" xfId="2" applyNumberFormat="1">
      <alignment vertical="center"/>
    </xf>
    <xf numFmtId="0" fontId="0" fillId="13" borderId="3" xfId="0" applyFill="1" applyBorder="1">
      <alignment vertical="center"/>
    </xf>
    <xf numFmtId="43" fontId="0" fillId="22" borderId="1" xfId="0" applyNumberFormat="1" applyFill="1" applyBorder="1">
      <alignment vertical="center"/>
    </xf>
    <xf numFmtId="188" fontId="0" fillId="22" borderId="1" xfId="0" applyNumberFormat="1" applyFill="1" applyBorder="1">
      <alignment vertical="center"/>
    </xf>
    <xf numFmtId="196" fontId="4" fillId="0" borderId="0" xfId="0" applyNumberFormat="1" applyFont="1">
      <alignment vertical="center"/>
    </xf>
    <xf numFmtId="194" fontId="0" fillId="22" borderId="1" xfId="3" applyNumberFormat="1" applyFont="1" applyFill="1" applyBorder="1">
      <alignment vertical="center"/>
    </xf>
    <xf numFmtId="41" fontId="158" fillId="0" borderId="37" xfId="1" applyFont="1" applyBorder="1" applyAlignment="1">
      <alignment horizontal="center" vertical="center"/>
    </xf>
    <xf numFmtId="206" fontId="129" fillId="0" borderId="3" xfId="1" applyNumberFormat="1" applyFont="1" applyBorder="1" applyAlignment="1">
      <alignment horizontal="center" vertical="center" shrinkToFit="1"/>
    </xf>
    <xf numFmtId="196" fontId="29" fillId="0" borderId="36" xfId="1" applyNumberFormat="1" applyFont="1" applyBorder="1">
      <alignment vertical="center"/>
    </xf>
    <xf numFmtId="196" fontId="29" fillId="0" borderId="94" xfId="1" applyNumberFormat="1" applyFont="1" applyBorder="1">
      <alignment vertical="center"/>
    </xf>
    <xf numFmtId="43" fontId="0" fillId="8" borderId="0" xfId="0" applyNumberFormat="1" applyFill="1">
      <alignment vertical="center"/>
    </xf>
    <xf numFmtId="262" fontId="0" fillId="8" borderId="13" xfId="0" applyNumberFormat="1" applyFill="1" applyBorder="1">
      <alignment vertical="center"/>
    </xf>
    <xf numFmtId="43" fontId="0" fillId="2" borderId="0" xfId="0" applyNumberFormat="1" applyFill="1">
      <alignment vertical="center"/>
    </xf>
    <xf numFmtId="188" fontId="28" fillId="6" borderId="1" xfId="0" applyNumberFormat="1" applyFont="1" applyFill="1" applyBorder="1">
      <alignment vertical="center"/>
    </xf>
    <xf numFmtId="0" fontId="159" fillId="0" borderId="0" xfId="7" applyFont="1">
      <alignment vertical="center"/>
    </xf>
    <xf numFmtId="0" fontId="0" fillId="0" borderId="81" xfId="0" applyBorder="1" applyAlignment="1">
      <alignment vertical="center"/>
    </xf>
    <xf numFmtId="0" fontId="0" fillId="0" borderId="84" xfId="0" applyBorder="1" applyAlignment="1">
      <alignment vertical="center"/>
    </xf>
    <xf numFmtId="185" fontId="160" fillId="0" borderId="8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" fillId="0" borderId="141" xfId="0" applyFont="1" applyBorder="1" applyAlignment="1">
      <alignment horizontal="center" vertical="center"/>
    </xf>
    <xf numFmtId="201" fontId="0" fillId="0" borderId="73" xfId="0" applyNumberFormat="1" applyBorder="1" applyAlignment="1">
      <alignment horizontal="left" vertical="center"/>
    </xf>
    <xf numFmtId="3" fontId="0" fillId="0" borderId="73" xfId="0" applyNumberFormat="1" applyBorder="1" applyAlignment="1">
      <alignment horizontal="center" vertical="center"/>
    </xf>
    <xf numFmtId="3" fontId="0" fillId="0" borderId="74" xfId="0" applyNumberFormat="1" applyBorder="1" applyAlignment="1">
      <alignment horizontal="center" vertical="center"/>
    </xf>
    <xf numFmtId="0" fontId="7" fillId="0" borderId="142" xfId="0" applyFont="1" applyBorder="1" applyAlignment="1">
      <alignment horizontal="center" vertical="center"/>
    </xf>
    <xf numFmtId="0" fontId="29" fillId="0" borderId="76" xfId="0" applyFont="1" applyBorder="1" applyAlignment="1">
      <alignment horizontal="center" vertical="center"/>
    </xf>
    <xf numFmtId="201" fontId="0" fillId="7" borderId="1" xfId="0" applyNumberFormat="1" applyFill="1" applyBorder="1" applyAlignment="1">
      <alignment horizontal="left" vertical="center"/>
    </xf>
    <xf numFmtId="265" fontId="7" fillId="0" borderId="0" xfId="0" applyNumberFormat="1" applyFont="1" applyBorder="1" applyAlignment="1">
      <alignment horizontal="center" vertical="center"/>
    </xf>
    <xf numFmtId="194" fontId="7" fillId="7" borderId="1" xfId="0" applyNumberFormat="1" applyFont="1" applyFill="1" applyBorder="1">
      <alignment vertical="center"/>
    </xf>
    <xf numFmtId="14" fontId="0" fillId="0" borderId="0" xfId="0" applyNumberFormat="1">
      <alignment vertical="center"/>
    </xf>
    <xf numFmtId="0" fontId="0" fillId="7" borderId="0" xfId="0" applyFill="1" applyAlignment="1">
      <alignment horizontal="center" vertical="center"/>
    </xf>
    <xf numFmtId="266" fontId="28" fillId="7" borderId="0" xfId="0" applyNumberFormat="1" applyFont="1" applyFill="1">
      <alignment vertical="center"/>
    </xf>
    <xf numFmtId="0" fontId="0" fillId="2" borderId="1" xfId="0" applyFill="1" applyBorder="1" applyAlignment="1">
      <alignment horizontal="center" vertical="center"/>
    </xf>
    <xf numFmtId="10" fontId="7" fillId="3" borderId="36" xfId="0" applyNumberFormat="1" applyFont="1" applyFill="1" applyBorder="1">
      <alignment vertical="center"/>
    </xf>
    <xf numFmtId="0" fontId="0" fillId="3" borderId="14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96" fontId="147" fillId="3" borderId="143" xfId="0" applyNumberFormat="1" applyFont="1" applyFill="1" applyBorder="1" applyAlignment="1">
      <alignment horizontal="center" vertical="center"/>
    </xf>
    <xf numFmtId="196" fontId="96" fillId="0" borderId="0" xfId="1" applyNumberFormat="1" applyFont="1" applyAlignment="1">
      <alignment horizontal="center" vertical="center"/>
    </xf>
    <xf numFmtId="211" fontId="0" fillId="0" borderId="0" xfId="1" applyNumberFormat="1" applyFont="1" applyAlignment="1">
      <alignment horizontal="left" vertical="center"/>
    </xf>
    <xf numFmtId="181" fontId="0" fillId="0" borderId="0" xfId="1" applyNumberFormat="1" applyFont="1" applyAlignment="1">
      <alignment horizontal="left" vertical="center"/>
    </xf>
    <xf numFmtId="218" fontId="0" fillId="0" borderId="0" xfId="1" applyNumberFormat="1" applyFont="1" applyAlignment="1">
      <alignment horizontal="center" vertical="center"/>
    </xf>
    <xf numFmtId="221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96" fontId="7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0" fontId="6" fillId="0" borderId="72" xfId="0" applyFont="1" applyBorder="1" applyAlignment="1">
      <alignment horizontal="center" vertical="center" shrinkToFit="1"/>
    </xf>
    <xf numFmtId="0" fontId="6" fillId="0" borderId="26" xfId="0" applyFont="1" applyBorder="1" applyAlignment="1">
      <alignment horizontal="center" vertical="center" shrinkToFit="1"/>
    </xf>
    <xf numFmtId="41" fontId="11" fillId="0" borderId="11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113" fillId="0" borderId="17" xfId="0" applyFont="1" applyBorder="1" applyAlignment="1">
      <alignment horizontal="left" vertical="center" shrinkToFit="1"/>
    </xf>
    <xf numFmtId="0" fontId="113" fillId="0" borderId="18" xfId="0" applyFont="1" applyBorder="1" applyAlignment="1">
      <alignment horizontal="left" vertical="center" shrinkToFit="1"/>
    </xf>
    <xf numFmtId="0" fontId="113" fillId="0" borderId="19" xfId="0" applyFont="1" applyBorder="1" applyAlignment="1">
      <alignment horizontal="left" vertical="center" shrinkToFit="1"/>
    </xf>
    <xf numFmtId="41" fontId="11" fillId="0" borderId="10" xfId="1" applyFont="1" applyBorder="1" applyAlignment="1">
      <alignment horizontal="center" vertical="center"/>
    </xf>
    <xf numFmtId="0" fontId="0" fillId="0" borderId="9" xfId="0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41" fontId="11" fillId="0" borderId="14" xfId="1" applyFont="1" applyBorder="1" applyAlignment="1">
      <alignment horizontal="center" vertical="center"/>
    </xf>
    <xf numFmtId="41" fontId="11" fillId="0" borderId="16" xfId="1" applyFont="1" applyBorder="1" applyAlignment="1">
      <alignment horizontal="center" vertical="center"/>
    </xf>
    <xf numFmtId="41" fontId="11" fillId="0" borderId="15" xfId="1" applyFont="1" applyBorder="1" applyAlignment="1">
      <alignment horizontal="center" vertical="center"/>
    </xf>
    <xf numFmtId="0" fontId="91" fillId="0" borderId="25" xfId="0" applyFont="1" applyBorder="1" applyAlignment="1">
      <alignment horizontal="center" vertical="center" shrinkToFit="1"/>
    </xf>
    <xf numFmtId="0" fontId="91" fillId="0" borderId="72" xfId="0" applyFont="1" applyBorder="1" applyAlignment="1">
      <alignment horizontal="center" vertical="center" shrinkToFit="1"/>
    </xf>
    <xf numFmtId="0" fontId="91" fillId="0" borderId="26" xfId="0" applyFont="1" applyBorder="1" applyAlignment="1">
      <alignment horizontal="center" vertical="center" shrinkToFit="1"/>
    </xf>
    <xf numFmtId="41" fontId="11" fillId="0" borderId="25" xfId="1" applyFont="1" applyBorder="1" applyAlignment="1">
      <alignment horizontal="center" vertical="center"/>
    </xf>
    <xf numFmtId="41" fontId="11" fillId="0" borderId="72" xfId="1" applyFont="1" applyBorder="1" applyAlignment="1">
      <alignment horizontal="center" vertical="center"/>
    </xf>
    <xf numFmtId="41" fontId="11" fillId="0" borderId="26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 shrinkToFit="1"/>
    </xf>
    <xf numFmtId="0" fontId="113" fillId="0" borderId="14" xfId="0" applyFont="1" applyBorder="1" applyAlignment="1">
      <alignment horizontal="left" vertical="center" shrinkToFit="1"/>
    </xf>
    <xf numFmtId="0" fontId="113" fillId="0" borderId="16" xfId="0" applyFont="1" applyBorder="1" applyAlignment="1">
      <alignment horizontal="left" vertical="center" shrinkToFit="1"/>
    </xf>
    <xf numFmtId="0" fontId="113" fillId="0" borderId="15" xfId="0" applyFont="1" applyBorder="1" applyAlignment="1">
      <alignment horizontal="left" vertical="center" shrinkToFit="1"/>
    </xf>
    <xf numFmtId="41" fontId="11" fillId="0" borderId="24" xfId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shrinkToFit="1"/>
    </xf>
    <xf numFmtId="186" fontId="7" fillId="0" borderId="17" xfId="0" applyNumberFormat="1" applyFont="1" applyBorder="1" applyAlignment="1">
      <alignment horizontal="right" vertical="center"/>
    </xf>
    <xf numFmtId="186" fontId="7" fillId="0" borderId="18" xfId="0" applyNumberFormat="1" applyFont="1" applyBorder="1" applyAlignment="1">
      <alignment horizontal="right" vertical="center"/>
    </xf>
    <xf numFmtId="0" fontId="30" fillId="0" borderId="25" xfId="0" applyFont="1" applyBorder="1" applyAlignment="1">
      <alignment horizontal="center" vertical="center" shrinkToFit="1"/>
    </xf>
    <xf numFmtId="0" fontId="30" fillId="0" borderId="26" xfId="0" applyFont="1" applyBorder="1" applyAlignment="1">
      <alignment horizontal="center" vertical="center" shrinkToFit="1"/>
    </xf>
    <xf numFmtId="186" fontId="0" fillId="0" borderId="25" xfId="0" applyNumberFormat="1" applyBorder="1" applyAlignment="1">
      <alignment horizontal="center" vertical="center"/>
    </xf>
    <xf numFmtId="186" fontId="0" fillId="0" borderId="72" xfId="0" applyNumberFormat="1" applyBorder="1" applyAlignment="1">
      <alignment horizontal="center" vertical="center"/>
    </xf>
    <xf numFmtId="186" fontId="0" fillId="0" borderId="26" xfId="0" applyNumberFormat="1" applyBorder="1" applyAlignment="1">
      <alignment horizontal="center" vertical="center"/>
    </xf>
    <xf numFmtId="41" fontId="124" fillId="0" borderId="25" xfId="1" applyFont="1" applyBorder="1" applyAlignment="1">
      <alignment horizontal="center" vertical="center"/>
    </xf>
    <xf numFmtId="41" fontId="124" fillId="0" borderId="72" xfId="1" applyFont="1" applyBorder="1" applyAlignment="1">
      <alignment horizontal="center" vertical="center"/>
    </xf>
    <xf numFmtId="41" fontId="124" fillId="0" borderId="26" xfId="1" applyFont="1" applyBorder="1" applyAlignment="1">
      <alignment horizontal="center" vertical="center"/>
    </xf>
    <xf numFmtId="186" fontId="21" fillId="0" borderId="17" xfId="0" applyNumberFormat="1" applyFont="1" applyBorder="1" applyAlignment="1">
      <alignment horizontal="right" vertical="center"/>
    </xf>
    <xf numFmtId="186" fontId="21" fillId="0" borderId="18" xfId="0" applyNumberFormat="1" applyFont="1" applyBorder="1" applyAlignment="1">
      <alignment horizontal="right" vertical="center"/>
    </xf>
    <xf numFmtId="0" fontId="30" fillId="0" borderId="20" xfId="0" applyFont="1" applyBorder="1" applyAlignment="1">
      <alignment horizontal="center" vertical="center" shrinkToFit="1"/>
    </xf>
    <xf numFmtId="186" fontId="21" fillId="0" borderId="21" xfId="0" applyNumberFormat="1" applyFont="1" applyBorder="1" applyAlignment="1">
      <alignment horizontal="right" vertical="center"/>
    </xf>
    <xf numFmtId="186" fontId="21" fillId="0" borderId="22" xfId="0" applyNumberFormat="1" applyFont="1" applyBorder="1" applyAlignment="1">
      <alignment horizontal="right" vertical="center"/>
    </xf>
    <xf numFmtId="41" fontId="11" fillId="0" borderId="20" xfId="1" applyFont="1" applyBorder="1" applyAlignment="1">
      <alignment horizontal="center" vertical="center"/>
    </xf>
    <xf numFmtId="0" fontId="22" fillId="5" borderId="78" xfId="2" applyFont="1" applyFill="1" applyBorder="1" applyAlignment="1">
      <alignment horizontal="center" vertical="center"/>
    </xf>
    <xf numFmtId="0" fontId="23" fillId="5" borderId="78" xfId="2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0" fillId="0" borderId="9" xfId="0" applyFont="1" applyBorder="1" applyAlignment="1">
      <alignment horizontal="center" vertical="center" shrinkToFit="1"/>
    </xf>
    <xf numFmtId="186" fontId="21" fillId="0" borderId="14" xfId="0" applyNumberFormat="1" applyFont="1" applyBorder="1" applyAlignment="1">
      <alignment horizontal="right" vertical="center"/>
    </xf>
    <xf numFmtId="186" fontId="21" fillId="0" borderId="16" xfId="0" applyNumberFormat="1" applyFont="1" applyBorder="1" applyAlignment="1">
      <alignment horizontal="right" vertical="center"/>
    </xf>
    <xf numFmtId="41" fontId="11" fillId="0" borderId="9" xfId="1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 vertical="center"/>
    </xf>
    <xf numFmtId="0" fontId="28" fillId="14" borderId="2" xfId="0" applyFont="1" applyFill="1" applyBorder="1" applyAlignment="1">
      <alignment horizontal="center" vertical="center"/>
    </xf>
    <xf numFmtId="0" fontId="64" fillId="14" borderId="5" xfId="0" applyFont="1" applyFill="1" applyBorder="1" applyAlignment="1">
      <alignment horizontal="center" vertical="center"/>
    </xf>
    <xf numFmtId="0" fontId="64" fillId="14" borderId="3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185" fontId="29" fillId="0" borderId="74" xfId="1" applyNumberFormat="1" applyFont="1" applyBorder="1" applyAlignment="1">
      <alignment horizontal="center" vertical="center"/>
    </xf>
    <xf numFmtId="185" fontId="29" fillId="0" borderId="75" xfId="1" applyNumberFormat="1" applyFont="1" applyBorder="1" applyAlignment="1">
      <alignment horizontal="center" vertical="center"/>
    </xf>
    <xf numFmtId="185" fontId="29" fillId="0" borderId="76" xfId="1" applyNumberFormat="1" applyFont="1" applyBorder="1" applyAlignment="1">
      <alignment horizontal="center" vertical="center"/>
    </xf>
    <xf numFmtId="185" fontId="29" fillId="0" borderId="73" xfId="1" applyNumberFormat="1" applyFont="1" applyBorder="1" applyAlignment="1">
      <alignment horizontal="center" vertical="center"/>
    </xf>
    <xf numFmtId="185" fontId="20" fillId="0" borderId="74" xfId="1" applyNumberFormat="1" applyFont="1" applyBorder="1" applyAlignment="1">
      <alignment horizontal="center" vertical="center"/>
    </xf>
    <xf numFmtId="185" fontId="20" fillId="0" borderId="76" xfId="1" applyNumberFormat="1" applyFont="1" applyBorder="1" applyAlignment="1">
      <alignment horizontal="center" vertical="center"/>
    </xf>
    <xf numFmtId="186" fontId="160" fillId="0" borderId="80" xfId="0" applyNumberFormat="1" applyFont="1" applyBorder="1" applyAlignment="1">
      <alignment horizontal="center" vertical="center"/>
    </xf>
    <xf numFmtId="0" fontId="160" fillId="0" borderId="81" xfId="0" applyFont="1" applyBorder="1" applyAlignment="1">
      <alignment horizontal="center" vertical="center"/>
    </xf>
    <xf numFmtId="188" fontId="10" fillId="0" borderId="2" xfId="1" applyNumberFormat="1" applyFont="1" applyBorder="1" applyAlignment="1">
      <alignment horizontal="right" vertical="center"/>
    </xf>
    <xf numFmtId="188" fontId="10" fillId="0" borderId="5" xfId="1" applyNumberFormat="1" applyFont="1" applyBorder="1" applyAlignment="1">
      <alignment horizontal="right" vertical="center"/>
    </xf>
    <xf numFmtId="188" fontId="10" fillId="0" borderId="3" xfId="1" applyNumberFormat="1" applyFont="1" applyBorder="1" applyAlignment="1">
      <alignment horizontal="right" vertical="center"/>
    </xf>
    <xf numFmtId="0" fontId="22" fillId="2" borderId="37" xfId="2" applyFont="1" applyFill="1" applyBorder="1" applyAlignment="1">
      <alignment horizontal="center" vertical="center"/>
    </xf>
    <xf numFmtId="0" fontId="23" fillId="2" borderId="37" xfId="2" applyFont="1" applyFill="1" applyBorder="1" applyAlignment="1">
      <alignment horizontal="center" vertical="center"/>
    </xf>
    <xf numFmtId="181" fontId="7" fillId="0" borderId="37" xfId="1" applyNumberFormat="1" applyFont="1" applyBorder="1" applyAlignment="1">
      <alignment horizontal="right" vertical="center"/>
    </xf>
    <xf numFmtId="0" fontId="28" fillId="4" borderId="5" xfId="0" applyFont="1" applyFill="1" applyBorder="1" applyAlignment="1">
      <alignment horizontal="center" vertical="center"/>
    </xf>
    <xf numFmtId="0" fontId="64" fillId="4" borderId="35" xfId="0" applyFont="1" applyFill="1" applyBorder="1" applyAlignment="1">
      <alignment horizontal="center" vertical="center"/>
    </xf>
    <xf numFmtId="182" fontId="7" fillId="0" borderId="86" xfId="0" applyNumberFormat="1" applyFont="1" applyBorder="1" applyAlignment="1">
      <alignment horizontal="center" vertical="center"/>
    </xf>
    <xf numFmtId="182" fontId="7" fillId="0" borderId="81" xfId="0" applyNumberFormat="1" applyFont="1" applyBorder="1" applyAlignment="1">
      <alignment horizontal="center" vertical="center"/>
    </xf>
    <xf numFmtId="182" fontId="7" fillId="0" borderId="85" xfId="0" applyNumberFormat="1" applyFont="1" applyBorder="1" applyAlignment="1">
      <alignment horizontal="center" vertical="center"/>
    </xf>
    <xf numFmtId="0" fontId="18" fillId="2" borderId="1" xfId="2" applyFill="1" applyBorder="1" applyAlignment="1">
      <alignment horizontal="center" vertical="center"/>
    </xf>
    <xf numFmtId="181" fontId="29" fillId="0" borderId="1" xfId="1" applyNumberFormat="1" applyFont="1" applyBorder="1" applyAlignment="1">
      <alignment horizontal="right" vertical="center"/>
    </xf>
    <xf numFmtId="0" fontId="28" fillId="2" borderId="1" xfId="0" applyFont="1" applyFill="1" applyBorder="1" applyAlignment="1">
      <alignment horizontal="center" vertical="center"/>
    </xf>
    <xf numFmtId="0" fontId="64" fillId="2" borderId="1" xfId="0" applyFont="1" applyFill="1" applyBorder="1" applyAlignment="1">
      <alignment horizontal="center" vertical="center"/>
    </xf>
    <xf numFmtId="0" fontId="0" fillId="3" borderId="74" xfId="0" applyFill="1" applyBorder="1" applyAlignment="1">
      <alignment horizontal="center" vertical="center"/>
    </xf>
    <xf numFmtId="0" fontId="0" fillId="3" borderId="75" xfId="0" applyFill="1" applyBorder="1" applyAlignment="1">
      <alignment horizontal="center" vertical="center"/>
    </xf>
    <xf numFmtId="0" fontId="0" fillId="3" borderId="76" xfId="0" applyFill="1" applyBorder="1" applyAlignment="1">
      <alignment horizontal="center" vertical="center"/>
    </xf>
    <xf numFmtId="188" fontId="9" fillId="0" borderId="74" xfId="1" applyNumberFormat="1" applyFont="1" applyBorder="1" applyAlignment="1">
      <alignment horizontal="right" vertical="center"/>
    </xf>
    <xf numFmtId="188" fontId="9" fillId="0" borderId="76" xfId="1" applyNumberFormat="1" applyFont="1" applyBorder="1" applyAlignment="1">
      <alignment horizontal="right" vertical="center"/>
    </xf>
    <xf numFmtId="0" fontId="0" fillId="3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22" fillId="2" borderId="80" xfId="2" applyFont="1" applyFill="1" applyBorder="1" applyAlignment="1">
      <alignment horizontal="center" vertical="center"/>
    </xf>
    <xf numFmtId="0" fontId="23" fillId="2" borderId="81" xfId="2" applyFont="1" applyFill="1" applyBorder="1" applyAlignment="1">
      <alignment horizontal="center" vertical="center"/>
    </xf>
    <xf numFmtId="182" fontId="29" fillId="0" borderId="80" xfId="1" applyNumberFormat="1" applyFont="1" applyBorder="1" applyAlignment="1">
      <alignment horizontal="center" vertical="center"/>
    </xf>
    <xf numFmtId="182" fontId="29" fillId="0" borderId="81" xfId="1" applyNumberFormat="1" applyFont="1" applyBorder="1" applyAlignment="1">
      <alignment horizontal="center" vertical="center"/>
    </xf>
    <xf numFmtId="182" fontId="29" fillId="0" borderId="84" xfId="1" applyNumberFormat="1" applyFont="1" applyBorder="1" applyAlignment="1">
      <alignment horizontal="center" vertical="center"/>
    </xf>
    <xf numFmtId="0" fontId="0" fillId="4" borderId="88" xfId="0" applyFill="1" applyBorder="1" applyAlignment="1">
      <alignment horizontal="center" vertical="center"/>
    </xf>
    <xf numFmtId="0" fontId="0" fillId="4" borderId="75" xfId="0" applyFill="1" applyBorder="1" applyAlignment="1">
      <alignment horizontal="center" vertical="center"/>
    </xf>
    <xf numFmtId="0" fontId="0" fillId="4" borderId="76" xfId="0" applyFill="1" applyBorder="1" applyAlignment="1">
      <alignment horizontal="center" vertical="center"/>
    </xf>
    <xf numFmtId="188" fontId="5" fillId="0" borderId="74" xfId="1" applyNumberFormat="1" applyFont="1" applyBorder="1" applyAlignment="1">
      <alignment horizontal="right" vertical="center"/>
    </xf>
    <xf numFmtId="188" fontId="5" fillId="0" borderId="75" xfId="1" applyNumberFormat="1" applyFont="1" applyBorder="1" applyAlignment="1">
      <alignment horizontal="right" vertical="center"/>
    </xf>
    <xf numFmtId="188" fontId="5" fillId="0" borderId="76" xfId="1" applyNumberFormat="1" applyFont="1" applyBorder="1" applyAlignment="1">
      <alignment horizontal="right" vertical="center"/>
    </xf>
    <xf numFmtId="257" fontId="144" fillId="0" borderId="5" xfId="0" applyNumberFormat="1" applyFont="1" applyBorder="1" applyAlignment="1">
      <alignment horizontal="center" vertical="center"/>
    </xf>
    <xf numFmtId="257" fontId="144" fillId="0" borderId="3" xfId="0" applyNumberFormat="1" applyFont="1" applyBorder="1" applyAlignment="1">
      <alignment horizontal="center" vertical="center"/>
    </xf>
    <xf numFmtId="0" fontId="122" fillId="0" borderId="2" xfId="0" applyFont="1" applyBorder="1" applyAlignment="1">
      <alignment horizontal="left" vertical="center" shrinkToFit="1"/>
    </xf>
    <xf numFmtId="0" fontId="122" fillId="0" borderId="5" xfId="0" applyFont="1" applyBorder="1" applyAlignment="1">
      <alignment horizontal="left" vertical="center" shrinkToFit="1"/>
    </xf>
    <xf numFmtId="0" fontId="122" fillId="0" borderId="3" xfId="0" applyFont="1" applyBorder="1" applyAlignment="1">
      <alignment horizontal="left" vertical="center" shrinkToFit="1"/>
    </xf>
    <xf numFmtId="188" fontId="121" fillId="0" borderId="2" xfId="1" applyNumberFormat="1" applyFont="1" applyBorder="1" applyAlignment="1">
      <alignment horizontal="right" vertical="center"/>
    </xf>
    <xf numFmtId="188" fontId="121" fillId="0" borderId="3" xfId="1" applyNumberFormat="1" applyFont="1" applyBorder="1" applyAlignment="1">
      <alignment horizontal="right" vertical="center"/>
    </xf>
    <xf numFmtId="41" fontId="5" fillId="0" borderId="2" xfId="1" applyFont="1" applyBorder="1" applyAlignment="1">
      <alignment horizontal="left" vertical="center"/>
    </xf>
    <xf numFmtId="41" fontId="5" fillId="0" borderId="5" xfId="1" applyFont="1" applyBorder="1" applyAlignment="1">
      <alignment horizontal="left" vertical="center"/>
    </xf>
    <xf numFmtId="41" fontId="5" fillId="0" borderId="3" xfId="1" applyFont="1" applyBorder="1" applyAlignment="1">
      <alignment horizontal="left" vertical="center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8" fillId="0" borderId="2" xfId="2" applyBorder="1" applyAlignment="1">
      <alignment horizontal="left" vertical="center" shrinkToFit="1"/>
    </xf>
    <xf numFmtId="0" fontId="18" fillId="0" borderId="5" xfId="2" applyBorder="1" applyAlignment="1">
      <alignment horizontal="left" vertical="center" shrinkToFit="1"/>
    </xf>
    <xf numFmtId="0" fontId="18" fillId="0" borderId="3" xfId="2" applyBorder="1" applyAlignment="1">
      <alignment horizontal="left" vertical="center" shrinkToFit="1"/>
    </xf>
    <xf numFmtId="0" fontId="6" fillId="0" borderId="2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41" fontId="6" fillId="0" borderId="2" xfId="1" applyFont="1" applyBorder="1" applyAlignment="1">
      <alignment horizontal="left" vertical="center"/>
    </xf>
    <xf numFmtId="41" fontId="6" fillId="0" borderId="5" xfId="1" applyFont="1" applyBorder="1" applyAlignment="1">
      <alignment horizontal="left" vertical="center"/>
    </xf>
    <xf numFmtId="41" fontId="6" fillId="0" borderId="3" xfId="1" applyFont="1" applyBorder="1" applyAlignment="1">
      <alignment horizontal="left" vertical="center"/>
    </xf>
    <xf numFmtId="188" fontId="122" fillId="0" borderId="2" xfId="1" applyNumberFormat="1" applyFont="1" applyBorder="1" applyAlignment="1">
      <alignment horizontal="right" vertical="center"/>
    </xf>
    <xf numFmtId="188" fontId="122" fillId="0" borderId="5" xfId="1" applyNumberFormat="1" applyFont="1" applyBorder="1" applyAlignment="1">
      <alignment horizontal="right" vertical="center"/>
    </xf>
    <xf numFmtId="188" fontId="122" fillId="0" borderId="3" xfId="1" applyNumberFormat="1" applyFont="1" applyBorder="1" applyAlignment="1">
      <alignment horizontal="right" vertical="center"/>
    </xf>
    <xf numFmtId="188" fontId="8" fillId="0" borderId="2" xfId="1" applyNumberFormat="1" applyFont="1" applyBorder="1" applyAlignment="1">
      <alignment horizontal="right" vertical="center"/>
    </xf>
    <xf numFmtId="188" fontId="8" fillId="0" borderId="5" xfId="1" applyNumberFormat="1" applyFont="1" applyBorder="1" applyAlignment="1">
      <alignment horizontal="right" vertical="center"/>
    </xf>
    <xf numFmtId="188" fontId="8" fillId="0" borderId="3" xfId="1" applyNumberFormat="1" applyFont="1" applyBorder="1" applyAlignment="1">
      <alignment horizontal="right" vertical="center"/>
    </xf>
    <xf numFmtId="41" fontId="6" fillId="0" borderId="2" xfId="2" applyNumberFormat="1" applyFont="1" applyBorder="1" applyAlignment="1">
      <alignment horizontal="left" vertical="center"/>
    </xf>
    <xf numFmtId="41" fontId="6" fillId="0" borderId="5" xfId="2" applyNumberFormat="1" applyFont="1" applyBorder="1" applyAlignment="1">
      <alignment horizontal="left" vertical="center"/>
    </xf>
    <xf numFmtId="41" fontId="6" fillId="0" borderId="3" xfId="2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8" fillId="0" borderId="2" xfId="2" applyBorder="1" applyAlignment="1">
      <alignment horizontal="center" vertical="center"/>
    </xf>
    <xf numFmtId="0" fontId="18" fillId="0" borderId="5" xfId="2" applyBorder="1" applyAlignment="1">
      <alignment horizontal="center" vertical="center"/>
    </xf>
    <xf numFmtId="0" fontId="18" fillId="0" borderId="3" xfId="2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1" fontId="44" fillId="0" borderId="2" xfId="1" applyFont="1" applyBorder="1" applyAlignment="1">
      <alignment horizontal="left" vertical="center"/>
    </xf>
    <xf numFmtId="41" fontId="44" fillId="0" borderId="5" xfId="1" applyFont="1" applyBorder="1" applyAlignment="1">
      <alignment horizontal="left" vertical="center"/>
    </xf>
    <xf numFmtId="41" fontId="44" fillId="0" borderId="3" xfId="1" applyFont="1" applyBorder="1" applyAlignment="1">
      <alignment horizontal="left" vertical="center"/>
    </xf>
    <xf numFmtId="0" fontId="56" fillId="0" borderId="74" xfId="2" applyFont="1" applyBorder="1" applyAlignment="1">
      <alignment horizontal="center" vertical="center"/>
    </xf>
    <xf numFmtId="0" fontId="56" fillId="0" borderId="75" xfId="2" applyFont="1" applyBorder="1" applyAlignment="1">
      <alignment horizontal="center" vertical="center"/>
    </xf>
    <xf numFmtId="0" fontId="56" fillId="0" borderId="76" xfId="2" applyFont="1" applyBorder="1" applyAlignment="1">
      <alignment horizontal="center" vertical="center"/>
    </xf>
    <xf numFmtId="0" fontId="112" fillId="0" borderId="74" xfId="2" applyFont="1" applyBorder="1" applyAlignment="1">
      <alignment horizontal="center" vertical="center"/>
    </xf>
    <xf numFmtId="0" fontId="112" fillId="0" borderId="76" xfId="2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0" fillId="5" borderId="77" xfId="0" applyFill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179" fontId="16" fillId="0" borderId="4" xfId="0" applyNumberFormat="1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77" fontId="7" fillId="0" borderId="7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25" xfId="0" applyFont="1" applyBorder="1" applyAlignment="1">
      <alignment horizontal="left" vertical="center" shrinkToFit="1"/>
    </xf>
    <xf numFmtId="0" fontId="6" fillId="0" borderId="72" xfId="0" applyFont="1" applyBorder="1" applyAlignment="1">
      <alignment horizontal="left" vertical="center" shrinkToFit="1"/>
    </xf>
    <xf numFmtId="0" fontId="6" fillId="0" borderId="26" xfId="0" applyFont="1" applyBorder="1" applyAlignment="1">
      <alignment horizontal="left" vertical="center" shrinkToFit="1"/>
    </xf>
    <xf numFmtId="0" fontId="0" fillId="0" borderId="10" xfId="0" applyBorder="1" applyAlignment="1">
      <alignment horizontal="center" vertical="center"/>
    </xf>
    <xf numFmtId="0" fontId="5" fillId="0" borderId="17" xfId="0" applyFont="1" applyBorder="1" applyAlignment="1">
      <alignment horizontal="left" vertical="center" shrinkToFit="1"/>
    </xf>
    <xf numFmtId="0" fontId="5" fillId="0" borderId="18" xfId="0" applyFont="1" applyBorder="1" applyAlignment="1">
      <alignment horizontal="left" vertical="center" shrinkToFit="1"/>
    </xf>
    <xf numFmtId="0" fontId="5" fillId="0" borderId="19" xfId="0" applyFont="1" applyBorder="1" applyAlignment="1">
      <alignment horizontal="left" vertical="center" shrinkToFit="1"/>
    </xf>
    <xf numFmtId="0" fontId="0" fillId="0" borderId="9" xfId="0" applyBorder="1" applyAlignment="1">
      <alignment horizontal="center" vertical="center"/>
    </xf>
    <xf numFmtId="0" fontId="5" fillId="0" borderId="14" xfId="0" applyFont="1" applyBorder="1" applyAlignment="1">
      <alignment horizontal="left" vertical="center" shrinkToFit="1"/>
    </xf>
    <xf numFmtId="0" fontId="5" fillId="0" borderId="16" xfId="0" applyFont="1" applyBorder="1" applyAlignment="1">
      <alignment horizontal="left" vertical="center" shrinkToFit="1"/>
    </xf>
    <xf numFmtId="0" fontId="5" fillId="0" borderId="15" xfId="0" applyFont="1" applyBorder="1" applyAlignment="1">
      <alignment horizontal="left" vertical="center" shrinkToFit="1"/>
    </xf>
    <xf numFmtId="0" fontId="91" fillId="0" borderId="25" xfId="0" applyFont="1" applyBorder="1" applyAlignment="1">
      <alignment horizontal="left" vertical="center" shrinkToFit="1"/>
    </xf>
    <xf numFmtId="0" fontId="91" fillId="0" borderId="72" xfId="0" applyFont="1" applyBorder="1" applyAlignment="1">
      <alignment horizontal="left" vertical="center" shrinkToFit="1"/>
    </xf>
    <xf numFmtId="0" fontId="91" fillId="0" borderId="26" xfId="0" applyFont="1" applyBorder="1" applyAlignment="1">
      <alignment horizontal="left" vertical="center" shrinkToFit="1"/>
    </xf>
    <xf numFmtId="0" fontId="0" fillId="0" borderId="24" xfId="0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22" fillId="5" borderId="77" xfId="2" applyFont="1" applyFill="1" applyBorder="1" applyAlignment="1">
      <alignment horizontal="center" vertical="center"/>
    </xf>
    <xf numFmtId="0" fontId="23" fillId="5" borderId="77" xfId="2" applyFont="1" applyFill="1" applyBorder="1" applyAlignment="1">
      <alignment horizontal="center" vertical="center"/>
    </xf>
    <xf numFmtId="185" fontId="29" fillId="0" borderId="79" xfId="1" applyNumberFormat="1" applyFont="1" applyBorder="1" applyAlignment="1">
      <alignment horizontal="center" vertical="center"/>
    </xf>
    <xf numFmtId="181" fontId="29" fillId="0" borderId="2" xfId="1" applyNumberFormat="1" applyFont="1" applyBorder="1" applyAlignment="1">
      <alignment horizontal="right" vertical="center"/>
    </xf>
    <xf numFmtId="181" fontId="29" fillId="0" borderId="5" xfId="1" applyNumberFormat="1" applyFont="1" applyBorder="1" applyAlignment="1">
      <alignment horizontal="right" vertical="center"/>
    </xf>
    <xf numFmtId="181" fontId="29" fillId="0" borderId="3" xfId="1" applyNumberFormat="1" applyFont="1" applyBorder="1" applyAlignment="1">
      <alignment horizontal="right" vertical="center"/>
    </xf>
    <xf numFmtId="0" fontId="30" fillId="2" borderId="1" xfId="0" applyFont="1" applyFill="1" applyBorder="1" applyAlignment="1">
      <alignment horizontal="center" vertical="center"/>
    </xf>
    <xf numFmtId="0" fontId="22" fillId="0" borderId="80" xfId="2" applyFont="1" applyFill="1" applyBorder="1" applyAlignment="1">
      <alignment horizontal="center" vertical="center"/>
    </xf>
    <xf numFmtId="0" fontId="23" fillId="0" borderId="81" xfId="2" applyFont="1" applyFill="1" applyBorder="1" applyAlignment="1">
      <alignment horizontal="center" vertical="center"/>
    </xf>
    <xf numFmtId="181" fontId="7" fillId="0" borderId="81" xfId="1" applyNumberFormat="1" applyFont="1" applyBorder="1" applyAlignment="1">
      <alignment horizontal="right" vertical="center"/>
    </xf>
    <xf numFmtId="188" fontId="6" fillId="0" borderId="2" xfId="1" applyNumberFormat="1" applyFont="1" applyBorder="1" applyAlignment="1">
      <alignment horizontal="right" vertical="center"/>
    </xf>
    <xf numFmtId="188" fontId="6" fillId="0" borderId="3" xfId="1" applyNumberFormat="1" applyFont="1" applyBorder="1" applyAlignment="1">
      <alignment horizontal="right" vertical="center"/>
    </xf>
    <xf numFmtId="188" fontId="121" fillId="0" borderId="74" xfId="1" applyNumberFormat="1" applyFont="1" applyBorder="1" applyAlignment="1">
      <alignment horizontal="right" vertical="center"/>
    </xf>
    <xf numFmtId="188" fontId="121" fillId="0" borderId="76" xfId="1" applyNumberFormat="1" applyFont="1" applyBorder="1" applyAlignment="1">
      <alignment horizontal="right" vertical="center"/>
    </xf>
    <xf numFmtId="178" fontId="7" fillId="0" borderId="8" xfId="0" applyNumberFormat="1" applyFont="1" applyBorder="1" applyAlignment="1">
      <alignment horizontal="center" vertical="center"/>
    </xf>
    <xf numFmtId="178" fontId="7" fillId="0" borderId="5" xfId="0" applyNumberFormat="1" applyFont="1" applyBorder="1" applyAlignment="1">
      <alignment horizontal="center" vertical="center"/>
    </xf>
    <xf numFmtId="178" fontId="7" fillId="0" borderId="3" xfId="0" applyNumberFormat="1" applyFont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28" fillId="2" borderId="35" xfId="0" applyFont="1" applyFill="1" applyBorder="1" applyAlignment="1">
      <alignment horizontal="center" vertical="center"/>
    </xf>
    <xf numFmtId="238" fontId="29" fillId="0" borderId="2" xfId="1" applyNumberFormat="1" applyFont="1" applyBorder="1" applyAlignment="1">
      <alignment horizontal="center" vertical="center"/>
    </xf>
    <xf numFmtId="238" fontId="29" fillId="0" borderId="3" xfId="1" applyNumberFormat="1" applyFont="1" applyBorder="1" applyAlignment="1">
      <alignment horizontal="center" vertical="center"/>
    </xf>
    <xf numFmtId="188" fontId="9" fillId="0" borderId="2" xfId="1" applyNumberFormat="1" applyFont="1" applyBorder="1" applyAlignment="1">
      <alignment horizontal="right" vertical="center"/>
    </xf>
    <xf numFmtId="188" fontId="9" fillId="0" borderId="3" xfId="1" applyNumberFormat="1" applyFont="1" applyBorder="1" applyAlignment="1">
      <alignment horizontal="right" vertical="center"/>
    </xf>
    <xf numFmtId="0" fontId="123" fillId="0" borderId="2" xfId="0" applyFont="1" applyBorder="1" applyAlignment="1">
      <alignment horizontal="center" vertical="center" shrinkToFit="1"/>
    </xf>
    <xf numFmtId="0" fontId="123" fillId="0" borderId="5" xfId="0" applyFont="1" applyBorder="1" applyAlignment="1">
      <alignment horizontal="center" vertical="center" shrinkToFit="1"/>
    </xf>
    <xf numFmtId="0" fontId="123" fillId="0" borderId="3" xfId="0" applyFont="1" applyBorder="1" applyAlignment="1">
      <alignment horizontal="center" vertical="center" shrinkToFit="1"/>
    </xf>
    <xf numFmtId="0" fontId="118" fillId="2" borderId="1" xfId="2" applyFont="1" applyFill="1" applyBorder="1" applyAlignment="1">
      <alignment horizontal="center" vertical="center"/>
    </xf>
    <xf numFmtId="181" fontId="29" fillId="0" borderId="1" xfId="3" applyNumberFormat="1" applyFont="1" applyBorder="1" applyAlignment="1">
      <alignment horizontal="right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84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 shrinkToFit="1"/>
    </xf>
    <xf numFmtId="0" fontId="113" fillId="0" borderId="69" xfId="0" applyFont="1" applyBorder="1" applyAlignment="1">
      <alignment horizontal="center" vertical="center" shrinkToFit="1"/>
    </xf>
    <xf numFmtId="0" fontId="113" fillId="0" borderId="63" xfId="0" applyFont="1" applyBorder="1" applyAlignment="1">
      <alignment horizontal="center" vertical="center" shrinkToFit="1"/>
    </xf>
    <xf numFmtId="0" fontId="113" fillId="0" borderId="59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91" fillId="0" borderId="11" xfId="0" applyFont="1" applyBorder="1" applyAlignment="1">
      <alignment horizontal="center" vertical="center" shrinkToFit="1"/>
    </xf>
    <xf numFmtId="0" fontId="112" fillId="0" borderId="11" xfId="0" applyFont="1" applyBorder="1" applyAlignment="1">
      <alignment horizontal="center" vertical="center" shrinkToFit="1"/>
    </xf>
    <xf numFmtId="0" fontId="113" fillId="0" borderId="67" xfId="0" applyFont="1" applyBorder="1" applyAlignment="1">
      <alignment horizontal="center" vertical="center" shrinkToFit="1"/>
    </xf>
    <xf numFmtId="0" fontId="113" fillId="0" borderId="68" xfId="0" applyFont="1" applyBorder="1" applyAlignment="1">
      <alignment horizontal="center" vertical="center" shrinkToFit="1"/>
    </xf>
    <xf numFmtId="0" fontId="113" fillId="0" borderId="70" xfId="0" applyFont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/>
    </xf>
    <xf numFmtId="0" fontId="116" fillId="2" borderId="2" xfId="0" applyFont="1" applyFill="1" applyBorder="1" applyAlignment="1">
      <alignment horizontal="center" vertical="center"/>
    </xf>
    <xf numFmtId="0" fontId="116" fillId="2" borderId="5" xfId="0" applyFont="1" applyFill="1" applyBorder="1" applyAlignment="1">
      <alignment horizontal="center" vertical="center"/>
    </xf>
    <xf numFmtId="0" fontId="116" fillId="2" borderId="3" xfId="0" applyFont="1" applyFill="1" applyBorder="1" applyAlignment="1">
      <alignment horizontal="center" vertical="center"/>
    </xf>
    <xf numFmtId="41" fontId="45" fillId="0" borderId="3" xfId="1" applyFont="1" applyBorder="1" applyAlignment="1">
      <alignment horizontal="left" vertical="center"/>
    </xf>
    <xf numFmtId="0" fontId="0" fillId="4" borderId="83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shrinkToFit="1"/>
    </xf>
    <xf numFmtId="0" fontId="22" fillId="0" borderId="2" xfId="2" applyFont="1" applyBorder="1" applyAlignment="1">
      <alignment horizontal="left" vertical="center" shrinkToFit="1"/>
    </xf>
    <xf numFmtId="0" fontId="23" fillId="0" borderId="5" xfId="2" applyFont="1" applyBorder="1" applyAlignment="1">
      <alignment horizontal="left" vertical="center" shrinkToFit="1"/>
    </xf>
    <xf numFmtId="0" fontId="23" fillId="0" borderId="3" xfId="2" applyFont="1" applyBorder="1" applyAlignment="1">
      <alignment horizontal="left" vertical="center" shrinkToFit="1"/>
    </xf>
    <xf numFmtId="188" fontId="5" fillId="0" borderId="2" xfId="1" applyNumberFormat="1" applyFont="1" applyBorder="1" applyAlignment="1">
      <alignment horizontal="right" vertical="center"/>
    </xf>
    <xf numFmtId="188" fontId="5" fillId="0" borderId="3" xfId="1" applyNumberFormat="1" applyFont="1" applyBorder="1" applyAlignment="1">
      <alignment horizontal="right" vertical="center"/>
    </xf>
    <xf numFmtId="0" fontId="40" fillId="0" borderId="2" xfId="2" applyFont="1" applyBorder="1" applyAlignment="1">
      <alignment horizontal="left" vertical="center" shrinkToFit="1"/>
    </xf>
    <xf numFmtId="0" fontId="40" fillId="0" borderId="5" xfId="2" applyFont="1" applyBorder="1" applyAlignment="1">
      <alignment horizontal="left" vertical="center" shrinkToFit="1"/>
    </xf>
    <xf numFmtId="0" fontId="40" fillId="0" borderId="3" xfId="2" applyFont="1" applyBorder="1" applyAlignment="1">
      <alignment horizontal="left" vertical="center" shrinkToFit="1"/>
    </xf>
    <xf numFmtId="0" fontId="123" fillId="0" borderId="2" xfId="0" applyFont="1" applyBorder="1" applyAlignment="1">
      <alignment horizontal="left" vertical="center" shrinkToFit="1"/>
    </xf>
    <xf numFmtId="0" fontId="123" fillId="0" borderId="5" xfId="0" applyFont="1" applyBorder="1" applyAlignment="1">
      <alignment horizontal="left" vertical="center" shrinkToFit="1"/>
    </xf>
    <xf numFmtId="0" fontId="123" fillId="0" borderId="3" xfId="0" applyFont="1" applyBorder="1" applyAlignment="1">
      <alignment horizontal="left" vertical="center" shrinkToFit="1"/>
    </xf>
    <xf numFmtId="188" fontId="9" fillId="0" borderId="2" xfId="1" applyNumberFormat="1" applyFont="1" applyBorder="1" applyAlignment="1">
      <alignment horizontal="center" vertical="center"/>
    </xf>
    <xf numFmtId="188" fontId="9" fillId="0" borderId="3" xfId="1" applyNumberFormat="1" applyFont="1" applyBorder="1" applyAlignment="1">
      <alignment horizontal="center" vertical="center"/>
    </xf>
    <xf numFmtId="0" fontId="64" fillId="2" borderId="37" xfId="0" applyFont="1" applyFill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182" fontId="6" fillId="0" borderId="13" xfId="1" applyNumberFormat="1" applyFont="1" applyBorder="1" applyAlignment="1">
      <alignment horizontal="center" vertical="center"/>
    </xf>
    <xf numFmtId="182" fontId="6" fillId="0" borderId="35" xfId="1" applyNumberFormat="1" applyFont="1" applyBorder="1" applyAlignment="1">
      <alignment horizontal="center" vertical="center"/>
    </xf>
    <xf numFmtId="179" fontId="16" fillId="0" borderId="0" xfId="0" applyNumberFormat="1" applyFont="1" applyBorder="1" applyAlignment="1">
      <alignment horizontal="center" vertical="center" shrinkToFit="1"/>
    </xf>
    <xf numFmtId="177" fontId="7" fillId="0" borderId="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56" fillId="0" borderId="12" xfId="2" applyFont="1" applyBorder="1" applyAlignment="1">
      <alignment horizontal="center" vertical="center"/>
    </xf>
    <xf numFmtId="0" fontId="56" fillId="0" borderId="32" xfId="2" applyFont="1" applyBorder="1" applyAlignment="1">
      <alignment horizontal="center" vertical="center"/>
    </xf>
    <xf numFmtId="0" fontId="56" fillId="0" borderId="33" xfId="2" applyFont="1" applyBorder="1" applyAlignment="1">
      <alignment horizontal="center" vertical="center"/>
    </xf>
    <xf numFmtId="0" fontId="112" fillId="0" borderId="12" xfId="2" applyFont="1" applyBorder="1" applyAlignment="1">
      <alignment horizontal="center" vertical="center"/>
    </xf>
    <xf numFmtId="0" fontId="112" fillId="0" borderId="33" xfId="2" applyFont="1" applyBorder="1" applyAlignment="1">
      <alignment horizontal="center" vertical="center"/>
    </xf>
    <xf numFmtId="0" fontId="18" fillId="0" borderId="1" xfId="2" applyBorder="1" applyAlignment="1">
      <alignment horizontal="center" vertical="center"/>
    </xf>
    <xf numFmtId="0" fontId="6" fillId="0" borderId="1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35" xfId="0" applyFont="1" applyBorder="1" applyAlignment="1">
      <alignment horizontal="left" vertical="center" shrinkToFit="1"/>
    </xf>
    <xf numFmtId="188" fontId="9" fillId="0" borderId="13" xfId="1" applyNumberFormat="1" applyFont="1" applyBorder="1" applyAlignment="1">
      <alignment horizontal="right" vertical="center"/>
    </xf>
    <xf numFmtId="188" fontId="9" fillId="0" borderId="35" xfId="1" applyNumberFormat="1" applyFont="1" applyBorder="1" applyAlignment="1">
      <alignment horizontal="right" vertical="center"/>
    </xf>
    <xf numFmtId="41" fontId="5" fillId="0" borderId="13" xfId="1" applyFont="1" applyBorder="1" applyAlignment="1">
      <alignment horizontal="left" vertical="center"/>
    </xf>
    <xf numFmtId="41" fontId="5" fillId="0" borderId="35" xfId="1" applyFont="1" applyBorder="1" applyAlignment="1">
      <alignment horizontal="left" vertical="center"/>
    </xf>
    <xf numFmtId="0" fontId="23" fillId="0" borderId="2" xfId="2" applyFont="1" applyBorder="1" applyAlignment="1">
      <alignment horizontal="left" vertical="center" shrinkToFit="1"/>
    </xf>
    <xf numFmtId="0" fontId="130" fillId="0" borderId="2" xfId="2" applyFont="1" applyBorder="1" applyAlignment="1">
      <alignment horizontal="left" vertical="center" shrinkToFit="1"/>
    </xf>
    <xf numFmtId="0" fontId="130" fillId="0" borderId="5" xfId="2" applyFont="1" applyBorder="1" applyAlignment="1">
      <alignment horizontal="left" vertical="center" shrinkToFit="1"/>
    </xf>
    <xf numFmtId="0" fontId="130" fillId="0" borderId="3" xfId="2" applyFont="1" applyBorder="1" applyAlignment="1">
      <alignment horizontal="left" vertical="center" shrinkToFit="1"/>
    </xf>
    <xf numFmtId="188" fontId="7" fillId="0" borderId="2" xfId="1" applyNumberFormat="1" applyFont="1" applyBorder="1" applyAlignment="1">
      <alignment horizontal="right" vertical="center"/>
    </xf>
    <xf numFmtId="188" fontId="7" fillId="0" borderId="3" xfId="1" applyNumberFormat="1" applyFont="1" applyBorder="1" applyAlignment="1">
      <alignment horizontal="right" vertical="center"/>
    </xf>
    <xf numFmtId="0" fontId="64" fillId="2" borderId="5" xfId="0" applyFont="1" applyFill="1" applyBorder="1" applyAlignment="1">
      <alignment horizontal="center" vertical="center"/>
    </xf>
    <xf numFmtId="182" fontId="7" fillId="0" borderId="73" xfId="1" applyNumberFormat="1" applyFont="1" applyBorder="1" applyAlignment="1">
      <alignment horizontal="center" vertical="center"/>
    </xf>
    <xf numFmtId="185" fontId="7" fillId="0" borderId="73" xfId="1" applyNumberFormat="1" applyFont="1" applyBorder="1" applyAlignment="1">
      <alignment horizontal="center" vertical="center"/>
    </xf>
    <xf numFmtId="0" fontId="126" fillId="2" borderId="1" xfId="2" applyFont="1" applyFill="1" applyBorder="1" applyAlignment="1">
      <alignment horizontal="center" vertical="center" shrinkToFit="1"/>
    </xf>
    <xf numFmtId="196" fontId="29" fillId="0" borderId="1" xfId="1" applyNumberFormat="1" applyFont="1" applyBorder="1" applyAlignment="1">
      <alignment horizontal="right" vertical="center"/>
    </xf>
    <xf numFmtId="0" fontId="22" fillId="2" borderId="37" xfId="2" applyFont="1" applyFill="1" applyBorder="1" applyAlignment="1">
      <alignment horizontal="center" vertical="center" shrinkToFit="1"/>
    </xf>
    <xf numFmtId="0" fontId="23" fillId="2" borderId="37" xfId="2" applyFont="1" applyFill="1" applyBorder="1" applyAlignment="1">
      <alignment horizontal="center" vertical="center" shrinkToFit="1"/>
    </xf>
    <xf numFmtId="0" fontId="18" fillId="2" borderId="1" xfId="2" applyFill="1" applyBorder="1" applyAlignment="1">
      <alignment horizontal="center" vertical="center" shrinkToFit="1"/>
    </xf>
    <xf numFmtId="196" fontId="29" fillId="0" borderId="2" xfId="1" applyNumberFormat="1" applyFont="1" applyBorder="1" applyAlignment="1">
      <alignment horizontal="right" vertical="center"/>
    </xf>
    <xf numFmtId="196" fontId="29" fillId="0" borderId="5" xfId="1" applyNumberFormat="1" applyFont="1" applyBorder="1" applyAlignment="1">
      <alignment horizontal="right" vertical="center"/>
    </xf>
    <xf numFmtId="196" fontId="29" fillId="0" borderId="3" xfId="1" applyNumberFormat="1" applyFont="1" applyBorder="1" applyAlignment="1">
      <alignment horizontal="right" vertical="center"/>
    </xf>
    <xf numFmtId="0" fontId="28" fillId="2" borderId="1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188" fontId="5" fillId="0" borderId="73" xfId="1" applyNumberFormat="1" applyFont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185" fontId="7" fillId="0" borderId="102" xfId="1" applyNumberFormat="1" applyFon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30" fillId="0" borderId="108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186" fontId="7" fillId="0" borderId="25" xfId="0" applyNumberFormat="1" applyFont="1" applyBorder="1" applyAlignment="1">
      <alignment horizontal="right" vertical="center"/>
    </xf>
    <xf numFmtId="186" fontId="7" fillId="0" borderId="72" xfId="0" applyNumberFormat="1" applyFont="1" applyBorder="1" applyAlignment="1">
      <alignment horizontal="right" vertical="center"/>
    </xf>
    <xf numFmtId="0" fontId="22" fillId="5" borderId="38" xfId="2" applyFont="1" applyFill="1" applyBorder="1" applyAlignment="1">
      <alignment horizontal="center" vertical="center"/>
    </xf>
    <xf numFmtId="0" fontId="22" fillId="5" borderId="39" xfId="2" applyFont="1" applyFill="1" applyBorder="1" applyAlignment="1">
      <alignment horizontal="center" vertical="center"/>
    </xf>
    <xf numFmtId="0" fontId="22" fillId="5" borderId="82" xfId="2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41" fontId="11" fillId="0" borderId="104" xfId="1" applyFont="1" applyBorder="1" applyAlignment="1">
      <alignment horizontal="center" vertical="center"/>
    </xf>
    <xf numFmtId="41" fontId="11" fillId="0" borderId="106" xfId="1" applyFont="1" applyBorder="1" applyAlignment="1">
      <alignment horizontal="center" vertical="center"/>
    </xf>
    <xf numFmtId="41" fontId="11" fillId="0" borderId="109" xfId="1" applyFont="1" applyBorder="1" applyAlignment="1">
      <alignment horizontal="center" vertical="center"/>
    </xf>
    <xf numFmtId="182" fontId="7" fillId="0" borderId="80" xfId="1" applyNumberFormat="1" applyFont="1" applyBorder="1" applyAlignment="1">
      <alignment horizontal="center" vertical="center"/>
    </xf>
    <xf numFmtId="182" fontId="7" fillId="0" borderId="81" xfId="1" applyNumberFormat="1" applyFont="1" applyBorder="1" applyAlignment="1">
      <alignment horizontal="center" vertical="center"/>
    </xf>
    <xf numFmtId="182" fontId="7" fillId="0" borderId="84" xfId="1" applyNumberFormat="1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6" fillId="0" borderId="114" xfId="0" applyFont="1" applyBorder="1" applyAlignment="1">
      <alignment horizontal="left" vertical="center" shrinkToFit="1"/>
    </xf>
    <xf numFmtId="0" fontId="0" fillId="0" borderId="105" xfId="0" applyBorder="1" applyAlignment="1">
      <alignment horizontal="center" vertical="center"/>
    </xf>
    <xf numFmtId="0" fontId="113" fillId="0" borderId="10" xfId="0" applyFont="1" applyBorder="1" applyAlignment="1">
      <alignment vertical="center" shrinkToFit="1"/>
    </xf>
    <xf numFmtId="0" fontId="91" fillId="0" borderId="9" xfId="0" applyFont="1" applyBorder="1" applyAlignment="1">
      <alignment horizontal="center" vertical="center" shrinkToFit="1"/>
    </xf>
    <xf numFmtId="0" fontId="0" fillId="0" borderId="112" xfId="0" applyBorder="1" applyAlignment="1">
      <alignment horizontal="center" vertical="center"/>
    </xf>
    <xf numFmtId="0" fontId="113" fillId="0" borderId="24" xfId="0" applyFont="1" applyBorder="1" applyAlignment="1">
      <alignment vertical="center" shrinkToFit="1"/>
    </xf>
    <xf numFmtId="0" fontId="30" fillId="0" borderId="107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1" fontId="11" fillId="0" borderId="37" xfId="1" applyFont="1" applyBorder="1" applyAlignment="1">
      <alignment horizontal="center" vertical="center"/>
    </xf>
    <xf numFmtId="41" fontId="11" fillId="0" borderId="111" xfId="1" applyFont="1" applyBorder="1" applyAlignment="1">
      <alignment horizontal="center" vertical="center"/>
    </xf>
    <xf numFmtId="41" fontId="11" fillId="0" borderId="114" xfId="1" applyFont="1" applyBorder="1" applyAlignment="1">
      <alignment horizontal="center" vertical="center"/>
    </xf>
    <xf numFmtId="41" fontId="11" fillId="0" borderId="115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8" fontId="10" fillId="0" borderId="1" xfId="1" applyNumberFormat="1" applyFont="1" applyBorder="1" applyAlignment="1">
      <alignment horizontal="center" vertical="center"/>
    </xf>
    <xf numFmtId="201" fontId="149" fillId="0" borderId="38" xfId="0" applyNumberFormat="1" applyFont="1" applyBorder="1" applyAlignment="1">
      <alignment horizontal="center" vertical="center"/>
    </xf>
    <xf numFmtId="201" fontId="149" fillId="0" borderId="39" xfId="0" applyNumberFormat="1" applyFont="1" applyBorder="1" applyAlignment="1">
      <alignment horizontal="center" vertical="center"/>
    </xf>
    <xf numFmtId="201" fontId="149" fillId="0" borderId="82" xfId="0" applyNumberFormat="1" applyFont="1" applyBorder="1" applyAlignment="1">
      <alignment horizontal="center" vertical="center"/>
    </xf>
    <xf numFmtId="201" fontId="149" fillId="0" borderId="57" xfId="0" applyNumberFormat="1" applyFont="1" applyBorder="1" applyAlignment="1">
      <alignment horizontal="center" vertical="center"/>
    </xf>
    <xf numFmtId="201" fontId="149" fillId="0" borderId="4" xfId="0" applyNumberFormat="1" applyFont="1" applyBorder="1" applyAlignment="1">
      <alignment horizontal="center" vertical="center"/>
    </xf>
    <xf numFmtId="201" fontId="149" fillId="0" borderId="51" xfId="0" applyNumberFormat="1" applyFont="1" applyBorder="1" applyAlignment="1">
      <alignment horizontal="center" vertical="center"/>
    </xf>
    <xf numFmtId="0" fontId="150" fillId="0" borderId="53" xfId="0" applyFont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0" fontId="107" fillId="0" borderId="12" xfId="0" applyFont="1" applyBorder="1" applyAlignment="1">
      <alignment horizontal="center" vertical="center"/>
    </xf>
    <xf numFmtId="0" fontId="107" fillId="0" borderId="32" xfId="0" applyFont="1" applyBorder="1" applyAlignment="1">
      <alignment horizontal="center" vertical="center"/>
    </xf>
    <xf numFmtId="0" fontId="107" fillId="0" borderId="46" xfId="0" applyFont="1" applyBorder="1" applyAlignment="1">
      <alignment horizontal="center" vertical="center"/>
    </xf>
    <xf numFmtId="0" fontId="107" fillId="0" borderId="13" xfId="0" applyFont="1" applyBorder="1" applyAlignment="1">
      <alignment horizontal="center" vertical="center"/>
    </xf>
    <xf numFmtId="0" fontId="107" fillId="0" borderId="4" xfId="0" applyFont="1" applyBorder="1" applyAlignment="1">
      <alignment horizontal="center" vertical="center"/>
    </xf>
    <xf numFmtId="0" fontId="107" fillId="0" borderId="51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2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8" fillId="0" borderId="36" xfId="0" applyFont="1" applyBorder="1" applyAlignment="1">
      <alignment horizontal="center"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44" fillId="0" borderId="56" xfId="0" applyFont="1" applyBorder="1" applyAlignment="1">
      <alignment horizontal="center" vertical="center" wrapText="1"/>
    </xf>
    <xf numFmtId="0" fontId="44" fillId="0" borderId="126" xfId="0" applyFont="1" applyBorder="1" applyAlignment="1">
      <alignment horizontal="center" vertical="center" wrapText="1"/>
    </xf>
    <xf numFmtId="0" fontId="28" fillId="0" borderId="124" xfId="0" applyFont="1" applyBorder="1" applyAlignment="1">
      <alignment horizontal="center" vertical="center" wrapText="1"/>
    </xf>
    <xf numFmtId="0" fontId="28" fillId="0" borderId="128" xfId="0" applyFont="1" applyBorder="1" applyAlignment="1">
      <alignment horizontal="center" vertical="center" wrapText="1"/>
    </xf>
    <xf numFmtId="0" fontId="28" fillId="0" borderId="126" xfId="0" applyFont="1" applyBorder="1" applyAlignment="1">
      <alignment horizontal="center" vertical="center" wrapText="1"/>
    </xf>
    <xf numFmtId="0" fontId="28" fillId="0" borderId="123" xfId="0" applyFont="1" applyBorder="1" applyAlignment="1">
      <alignment horizontal="center" vertical="center" wrapText="1"/>
    </xf>
    <xf numFmtId="0" fontId="28" fillId="0" borderId="111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151" fillId="0" borderId="37" xfId="0" applyFont="1" applyBorder="1" applyAlignment="1">
      <alignment horizontal="center" vertical="center"/>
    </xf>
    <xf numFmtId="0" fontId="155" fillId="0" borderId="1" xfId="0" applyFont="1" applyBorder="1" applyAlignment="1">
      <alignment horizontal="center" vertical="center"/>
    </xf>
    <xf numFmtId="0" fontId="154" fillId="0" borderId="56" xfId="9" applyFont="1" applyBorder="1" applyAlignment="1">
      <alignment horizontal="center" vertical="center" wrapText="1" shrinkToFit="1"/>
    </xf>
    <xf numFmtId="0" fontId="154" fillId="0" borderId="77" xfId="9" applyFont="1" applyBorder="1" applyAlignment="1">
      <alignment horizontal="center" vertical="center" wrapText="1" shrinkToFit="1"/>
    </xf>
    <xf numFmtId="263" fontId="44" fillId="0" borderId="56" xfId="0" applyNumberFormat="1" applyFont="1" applyBorder="1" applyAlignment="1">
      <alignment horizontal="center" vertical="center"/>
    </xf>
    <xf numFmtId="263" fontId="44" fillId="0" borderId="77" xfId="0" applyNumberFormat="1" applyFont="1" applyBorder="1" applyAlignment="1">
      <alignment horizontal="center" vertical="center"/>
    </xf>
    <xf numFmtId="41" fontId="28" fillId="3" borderId="56" xfId="1" applyFont="1" applyFill="1" applyBorder="1" applyAlignment="1">
      <alignment horizontal="center" vertical="center"/>
    </xf>
    <xf numFmtId="41" fontId="28" fillId="3" borderId="77" xfId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57" fillId="0" borderId="134" xfId="9" applyFont="1" applyBorder="1" applyAlignment="1">
      <alignment horizontal="center" vertical="center" wrapText="1" shrinkToFit="1"/>
    </xf>
    <xf numFmtId="0" fontId="157" fillId="0" borderId="77" xfId="9" applyFont="1" applyBorder="1" applyAlignment="1">
      <alignment horizontal="center" vertical="center" wrapText="1" shrinkToFit="1"/>
    </xf>
    <xf numFmtId="263" fontId="44" fillId="0" borderId="36" xfId="0" applyNumberFormat="1" applyFont="1" applyBorder="1" applyAlignment="1">
      <alignment horizontal="center" vertical="center"/>
    </xf>
    <xf numFmtId="41" fontId="28" fillId="3" borderId="36" xfId="1" applyFont="1" applyFill="1" applyBorder="1" applyAlignment="1">
      <alignment horizontal="center" vertical="center"/>
    </xf>
    <xf numFmtId="0" fontId="154" fillId="0" borderId="134" xfId="9" applyFont="1" applyBorder="1" applyAlignment="1">
      <alignment horizontal="center" vertical="center" wrapText="1" shrinkToFi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63" fontId="44" fillId="0" borderId="135" xfId="0" applyNumberFormat="1" applyFont="1" applyBorder="1" applyAlignment="1">
      <alignment horizontal="center" vertical="center"/>
    </xf>
    <xf numFmtId="263" fontId="44" fillId="0" borderId="139" xfId="0" applyNumberFormat="1" applyFont="1" applyBorder="1" applyAlignment="1">
      <alignment horizontal="center" vertical="center"/>
    </xf>
    <xf numFmtId="41" fontId="28" fillId="3" borderId="134" xfId="1" applyFont="1" applyFill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186" fontId="7" fillId="0" borderId="21" xfId="0" applyNumberFormat="1" applyFont="1" applyBorder="1" applyAlignment="1">
      <alignment horizontal="right" vertical="center"/>
    </xf>
    <xf numFmtId="186" fontId="7" fillId="0" borderId="22" xfId="0" applyNumberFormat="1" applyFont="1" applyBorder="1" applyAlignment="1">
      <alignment horizontal="right" vertical="center"/>
    </xf>
    <xf numFmtId="0" fontId="30" fillId="0" borderId="17" xfId="0" applyFont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0" fontId="64" fillId="2" borderId="34" xfId="0" applyFont="1" applyFill="1" applyBorder="1" applyAlignment="1">
      <alignment horizontal="center" vertical="center"/>
    </xf>
    <xf numFmtId="182" fontId="29" fillId="0" borderId="73" xfId="1" applyNumberFormat="1" applyFont="1" applyBorder="1" applyAlignment="1">
      <alignment horizontal="center" vertical="center"/>
    </xf>
    <xf numFmtId="182" fontId="29" fillId="0" borderId="74" xfId="1" applyNumberFormat="1" applyFont="1" applyBorder="1" applyAlignment="1">
      <alignment horizontal="center" vertical="center"/>
    </xf>
    <xf numFmtId="185" fontId="7" fillId="0" borderId="98" xfId="1" applyNumberFormat="1" applyFont="1" applyBorder="1" applyAlignment="1">
      <alignment horizontal="center" vertical="center"/>
    </xf>
    <xf numFmtId="185" fontId="7" fillId="0" borderId="99" xfId="1" applyNumberFormat="1" applyFont="1" applyBorder="1" applyAlignment="1">
      <alignment horizontal="center" vertical="center"/>
    </xf>
    <xf numFmtId="185" fontId="7" fillId="0" borderId="100" xfId="1" applyNumberFormat="1" applyFont="1" applyBorder="1" applyAlignment="1">
      <alignment horizontal="center" vertical="center"/>
    </xf>
    <xf numFmtId="181" fontId="29" fillId="0" borderId="36" xfId="1" applyNumberFormat="1" applyFont="1" applyBorder="1" applyAlignment="1">
      <alignment horizontal="right" vertical="center"/>
    </xf>
    <xf numFmtId="0" fontId="18" fillId="2" borderId="2" xfId="2" applyFill="1" applyBorder="1" applyAlignment="1">
      <alignment horizontal="center" vertical="center" shrinkToFit="1"/>
    </xf>
    <xf numFmtId="181" fontId="7" fillId="0" borderId="95" xfId="1" applyNumberFormat="1" applyFont="1" applyBorder="1" applyAlignment="1">
      <alignment horizontal="right" vertical="center"/>
    </xf>
    <xf numFmtId="181" fontId="7" fillId="0" borderId="96" xfId="1" applyNumberFormat="1" applyFont="1" applyBorder="1" applyAlignment="1">
      <alignment horizontal="right" vertical="center"/>
    </xf>
    <xf numFmtId="181" fontId="7" fillId="0" borderId="97" xfId="1" applyNumberFormat="1" applyFont="1" applyBorder="1" applyAlignment="1">
      <alignment horizontal="right" vertical="center"/>
    </xf>
    <xf numFmtId="188" fontId="29" fillId="0" borderId="74" xfId="1" applyNumberFormat="1" applyFont="1" applyBorder="1" applyAlignment="1">
      <alignment horizontal="right" vertical="center"/>
    </xf>
    <xf numFmtId="188" fontId="29" fillId="0" borderId="76" xfId="1" applyNumberFormat="1" applyFont="1" applyBorder="1" applyAlignment="1">
      <alignment horizontal="right" vertical="center"/>
    </xf>
    <xf numFmtId="0" fontId="0" fillId="6" borderId="37" xfId="0" applyFill="1" applyBorder="1" applyAlignment="1">
      <alignment horizontal="center" vertical="center"/>
    </xf>
    <xf numFmtId="264" fontId="29" fillId="0" borderId="73" xfId="1" applyNumberFormat="1" applyFont="1" applyBorder="1" applyAlignment="1">
      <alignment horizontal="center" vertical="center"/>
    </xf>
    <xf numFmtId="185" fontId="7" fillId="0" borderId="74" xfId="1" applyNumberFormat="1" applyFont="1" applyBorder="1" applyAlignment="1">
      <alignment horizontal="center" vertical="center"/>
    </xf>
    <xf numFmtId="185" fontId="7" fillId="0" borderId="75" xfId="1" applyNumberFormat="1" applyFont="1" applyBorder="1" applyAlignment="1">
      <alignment horizontal="center" vertical="center"/>
    </xf>
    <xf numFmtId="185" fontId="7" fillId="0" borderId="76" xfId="1" applyNumberFormat="1" applyFont="1" applyBorder="1" applyAlignment="1">
      <alignment horizontal="center" vertical="center"/>
    </xf>
    <xf numFmtId="181" fontId="7" fillId="0" borderId="1" xfId="1" applyNumberFormat="1" applyFont="1" applyBorder="1" applyAlignment="1">
      <alignment horizontal="right" vertical="center"/>
    </xf>
    <xf numFmtId="181" fontId="7" fillId="0" borderId="2" xfId="1" applyNumberFormat="1" applyFont="1" applyBorder="1" applyAlignment="1">
      <alignment horizontal="right" vertical="center"/>
    </xf>
    <xf numFmtId="0" fontId="106" fillId="16" borderId="58" xfId="7" applyFont="1" applyFill="1" applyBorder="1" applyAlignment="1">
      <alignment horizontal="center" vertical="center"/>
    </xf>
    <xf numFmtId="0" fontId="106" fillId="16" borderId="65" xfId="7" applyFont="1" applyFill="1" applyBorder="1" applyAlignment="1">
      <alignment horizontal="left" vertical="center"/>
    </xf>
    <xf numFmtId="0" fontId="106" fillId="16" borderId="22" xfId="7" applyFont="1" applyFill="1" applyBorder="1" applyAlignment="1">
      <alignment horizontal="left" vertical="center"/>
    </xf>
    <xf numFmtId="0" fontId="106" fillId="16" borderId="66" xfId="7" applyFont="1" applyFill="1" applyBorder="1" applyAlignment="1">
      <alignment horizontal="left" vertical="center"/>
    </xf>
    <xf numFmtId="0" fontId="106" fillId="16" borderId="61" xfId="7" applyFont="1" applyFill="1" applyBorder="1" applyAlignment="1">
      <alignment horizontal="left" vertical="center"/>
    </xf>
    <xf numFmtId="0" fontId="106" fillId="16" borderId="31" xfId="7" applyFont="1" applyFill="1" applyBorder="1" applyAlignment="1">
      <alignment horizontal="left" vertical="center"/>
    </xf>
    <xf numFmtId="0" fontId="106" fillId="16" borderId="62" xfId="7" applyFont="1" applyFill="1" applyBorder="1" applyAlignment="1">
      <alignment horizontal="left" vertical="center"/>
    </xf>
    <xf numFmtId="0" fontId="106" fillId="16" borderId="64" xfId="7" applyFont="1" applyFill="1" applyBorder="1" applyAlignment="1">
      <alignment horizontal="center" vertical="center"/>
    </xf>
    <xf numFmtId="0" fontId="106" fillId="16" borderId="63" xfId="7" applyFont="1" applyFill="1" applyBorder="1" applyAlignment="1">
      <alignment horizontal="left" vertical="center"/>
    </xf>
    <xf numFmtId="0" fontId="104" fillId="0" borderId="0" xfId="7" applyFont="1" applyAlignment="1">
      <alignment horizontal="center" vertical="center"/>
    </xf>
    <xf numFmtId="0" fontId="106" fillId="16" borderId="0" xfId="7" applyFont="1" applyFill="1" applyAlignment="1">
      <alignment horizontal="right" vertical="center" wrapText="1"/>
    </xf>
    <xf numFmtId="0" fontId="106" fillId="16" borderId="58" xfId="7" applyFont="1" applyFill="1" applyBorder="1" applyAlignment="1">
      <alignment horizontal="center" vertical="center" wrapText="1"/>
    </xf>
    <xf numFmtId="0" fontId="106" fillId="16" borderId="59" xfId="7" applyFont="1" applyFill="1" applyBorder="1" applyAlignment="1">
      <alignment horizontal="center" vertical="center"/>
    </xf>
    <xf numFmtId="0" fontId="106" fillId="16" borderId="18" xfId="7" applyFont="1" applyFill="1" applyBorder="1" applyAlignment="1">
      <alignment horizontal="center" vertical="center"/>
    </xf>
    <xf numFmtId="0" fontId="106" fillId="16" borderId="60" xfId="7" applyFont="1" applyFill="1" applyBorder="1" applyAlignment="1">
      <alignment horizontal="center" vertical="center"/>
    </xf>
    <xf numFmtId="0" fontId="106" fillId="16" borderId="61" xfId="7" applyFont="1" applyFill="1" applyBorder="1" applyAlignment="1">
      <alignment horizontal="center" vertical="center" shrinkToFit="1"/>
    </xf>
    <xf numFmtId="0" fontId="106" fillId="16" borderId="62" xfId="7" applyFont="1" applyFill="1" applyBorder="1" applyAlignment="1">
      <alignment horizontal="center" vertical="center" shrinkToFit="1"/>
    </xf>
    <xf numFmtId="191" fontId="51" fillId="0" borderId="31" xfId="0" applyNumberFormat="1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/>
    </xf>
    <xf numFmtId="0" fontId="50" fillId="0" borderId="29" xfId="0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6" fillId="0" borderId="31" xfId="0" applyFont="1" applyBorder="1" applyAlignment="1">
      <alignment horizontal="left" vertical="center"/>
    </xf>
    <xf numFmtId="192" fontId="6" fillId="0" borderId="18" xfId="0" applyNumberFormat="1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193" fontId="56" fillId="0" borderId="31" xfId="0" applyNumberFormat="1" applyFont="1" applyBorder="1" applyAlignment="1">
      <alignment horizontal="center" vertical="center"/>
    </xf>
    <xf numFmtId="0" fontId="53" fillId="0" borderId="0" xfId="0" quotePrefix="1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41" fontId="51" fillId="0" borderId="31" xfId="1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191" fontId="56" fillId="0" borderId="0" xfId="0" applyNumberFormat="1" applyFont="1" applyAlignment="1">
      <alignment horizontal="center" vertical="center"/>
    </xf>
    <xf numFmtId="0" fontId="58" fillId="0" borderId="31" xfId="0" applyFont="1" applyBorder="1" applyAlignment="1">
      <alignment horizontal="left" vertical="center" indent="1"/>
    </xf>
    <xf numFmtId="0" fontId="58" fillId="0" borderId="31" xfId="0" applyFont="1" applyBorder="1" applyAlignment="1">
      <alignment horizontal="center" vertical="center"/>
    </xf>
    <xf numFmtId="0" fontId="56" fillId="0" borderId="31" xfId="0" applyFont="1" applyBorder="1" applyAlignment="1">
      <alignment horizontal="left" vertical="center" indent="1"/>
    </xf>
    <xf numFmtId="0" fontId="5" fillId="0" borderId="42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203" fontId="7" fillId="0" borderId="6" xfId="0" applyNumberFormat="1" applyFont="1" applyBorder="1" applyAlignment="1">
      <alignment horizontal="center" vertical="center"/>
    </xf>
    <xf numFmtId="203" fontId="7" fillId="0" borderId="0" xfId="0" applyNumberFormat="1" applyFont="1" applyBorder="1" applyAlignment="1">
      <alignment horizontal="center" vertical="center"/>
    </xf>
    <xf numFmtId="203" fontId="7" fillId="0" borderId="34" xfId="0" applyNumberFormat="1" applyFont="1" applyBorder="1" applyAlignment="1">
      <alignment horizontal="center" vertical="center"/>
    </xf>
    <xf numFmtId="203" fontId="7" fillId="0" borderId="2" xfId="0" applyNumberFormat="1" applyFont="1" applyBorder="1" applyAlignment="1">
      <alignment horizontal="center" vertical="center"/>
    </xf>
    <xf numFmtId="203" fontId="7" fillId="0" borderId="48" xfId="0" applyNumberFormat="1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177" fontId="7" fillId="0" borderId="52" xfId="0" applyNumberFormat="1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44" fillId="0" borderId="41" xfId="0" applyFont="1" applyBorder="1" applyAlignment="1">
      <alignment horizontal="left" vertical="center"/>
    </xf>
    <xf numFmtId="0" fontId="44" fillId="0" borderId="13" xfId="0" applyFont="1" applyBorder="1" applyAlignment="1">
      <alignment horizontal="left" vertical="center"/>
    </xf>
    <xf numFmtId="0" fontId="44" fillId="0" borderId="4" xfId="0" applyFont="1" applyBorder="1" applyAlignment="1">
      <alignment horizontal="left" vertical="center"/>
    </xf>
    <xf numFmtId="0" fontId="44" fillId="0" borderId="51" xfId="0" applyFont="1" applyBorder="1" applyAlignment="1">
      <alignment horizontal="left" vertical="center"/>
    </xf>
    <xf numFmtId="0" fontId="5" fillId="0" borderId="45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46" xfId="0" applyFont="1" applyBorder="1" applyAlignment="1">
      <alignment horizontal="left" vertical="center"/>
    </xf>
    <xf numFmtId="0" fontId="0" fillId="0" borderId="53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82" fillId="0" borderId="47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/>
    </xf>
    <xf numFmtId="0" fontId="82" fillId="0" borderId="48" xfId="0" applyFont="1" applyBorder="1" applyAlignment="1">
      <alignment horizontal="center" vertical="center"/>
    </xf>
    <xf numFmtId="0" fontId="44" fillId="0" borderId="12" xfId="0" applyFont="1" applyBorder="1" applyAlignment="1">
      <alignment horizontal="left" vertical="center"/>
    </xf>
    <xf numFmtId="0" fontId="44" fillId="0" borderId="32" xfId="0" applyFont="1" applyBorder="1" applyAlignment="1">
      <alignment horizontal="left" vertical="center"/>
    </xf>
    <xf numFmtId="0" fontId="44" fillId="0" borderId="46" xfId="0" applyFont="1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203" fontId="7" fillId="0" borderId="12" xfId="0" applyNumberFormat="1" applyFont="1" applyBorder="1" applyAlignment="1">
      <alignment horizontal="center" vertical="center"/>
    </xf>
    <xf numFmtId="203" fontId="7" fillId="0" borderId="46" xfId="0" applyNumberFormat="1" applyFont="1" applyBorder="1" applyAlignment="1">
      <alignment horizontal="center" vertical="center"/>
    </xf>
    <xf numFmtId="203" fontId="7" fillId="0" borderId="13" xfId="0" applyNumberFormat="1" applyFont="1" applyBorder="1" applyAlignment="1">
      <alignment horizontal="center" vertical="center"/>
    </xf>
    <xf numFmtId="203" fontId="7" fillId="0" borderId="5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203" fontId="7" fillId="0" borderId="32" xfId="0" applyNumberFormat="1" applyFont="1" applyBorder="1" applyAlignment="1">
      <alignment horizontal="center" vertical="center"/>
    </xf>
    <xf numFmtId="203" fontId="7" fillId="0" borderId="33" xfId="0" applyNumberFormat="1" applyFont="1" applyBorder="1" applyAlignment="1">
      <alignment horizontal="center" vertical="center"/>
    </xf>
    <xf numFmtId="14" fontId="7" fillId="0" borderId="1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7" fillId="0" borderId="46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51" xfId="0" applyFont="1" applyBorder="1" applyAlignment="1">
      <alignment horizontal="left" vertical="center"/>
    </xf>
    <xf numFmtId="0" fontId="68" fillId="0" borderId="1" xfId="4" applyFont="1" applyBorder="1" applyAlignment="1">
      <alignment horizontal="center" vertical="center"/>
    </xf>
    <xf numFmtId="0" fontId="68" fillId="0" borderId="1" xfId="4" applyFont="1" applyBorder="1" applyAlignment="1">
      <alignment horizontal="center" vertical="center" wrapText="1"/>
    </xf>
    <xf numFmtId="0" fontId="78" fillId="0" borderId="1" xfId="4" applyFont="1" applyBorder="1" applyAlignment="1">
      <alignment horizontal="center" vertical="center" wrapText="1"/>
    </xf>
    <xf numFmtId="0" fontId="67" fillId="0" borderId="1" xfId="4" applyBorder="1" applyAlignment="1">
      <alignment horizontal="center" vertical="center"/>
    </xf>
    <xf numFmtId="3" fontId="77" fillId="0" borderId="1" xfId="6" applyFont="1" applyBorder="1" applyAlignment="1">
      <alignment horizontal="center" vertical="center"/>
    </xf>
    <xf numFmtId="0" fontId="68" fillId="0" borderId="27" xfId="4" applyFont="1" applyBorder="1" applyAlignment="1">
      <alignment horizontal="left" vertical="center" wrapText="1"/>
    </xf>
    <xf numFmtId="0" fontId="69" fillId="0" borderId="36" xfId="4" applyFont="1" applyBorder="1" applyAlignment="1">
      <alignment horizontal="center" vertical="center" wrapText="1"/>
    </xf>
    <xf numFmtId="0" fontId="69" fillId="0" borderId="37" xfId="4" applyFont="1" applyBorder="1" applyAlignment="1">
      <alignment horizontal="center" vertical="center" wrapText="1"/>
    </xf>
    <xf numFmtId="0" fontId="76" fillId="0" borderId="1" xfId="4" applyFont="1" applyBorder="1" applyAlignment="1">
      <alignment horizontal="center" vertical="center"/>
    </xf>
    <xf numFmtId="0" fontId="77" fillId="0" borderId="1" xfId="4" applyFont="1" applyBorder="1" applyAlignment="1">
      <alignment horizontal="center" vertical="center"/>
    </xf>
    <xf numFmtId="177" fontId="77" fillId="0" borderId="1" xfId="4" applyNumberFormat="1" applyFont="1" applyBorder="1" applyAlignment="1">
      <alignment horizontal="center" vertical="center"/>
    </xf>
    <xf numFmtId="14" fontId="77" fillId="0" borderId="1" xfId="4" applyNumberFormat="1" applyFont="1" applyBorder="1" applyAlignment="1">
      <alignment horizontal="center" vertical="center" shrinkToFit="1"/>
    </xf>
    <xf numFmtId="0" fontId="77" fillId="0" borderId="1" xfId="4" applyFont="1" applyBorder="1" applyAlignment="1">
      <alignment horizontal="center" vertical="center" shrinkToFit="1"/>
    </xf>
    <xf numFmtId="0" fontId="83" fillId="0" borderId="4" xfId="4" applyFont="1" applyBorder="1" applyAlignment="1">
      <alignment horizontal="center" vertical="center"/>
    </xf>
    <xf numFmtId="0" fontId="84" fillId="0" borderId="4" xfId="4" applyFont="1" applyBorder="1" applyAlignment="1">
      <alignment horizontal="center" vertical="center"/>
    </xf>
    <xf numFmtId="0" fontId="67" fillId="0" borderId="4" xfId="4" applyBorder="1" applyAlignment="1">
      <alignment horizontal="center" vertical="center"/>
    </xf>
    <xf numFmtId="0" fontId="67" fillId="0" borderId="1" xfId="4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/>
    </xf>
    <xf numFmtId="0" fontId="62" fillId="0" borderId="29" xfId="0" applyFont="1" applyBorder="1" applyAlignment="1">
      <alignment horizontal="center" vertical="center"/>
    </xf>
    <xf numFmtId="0" fontId="62" fillId="0" borderId="30" xfId="0" applyFont="1" applyBorder="1" applyAlignment="1">
      <alignment horizontal="center" vertical="center"/>
    </xf>
    <xf numFmtId="0" fontId="57" fillId="0" borderId="31" xfId="0" applyFont="1" applyBorder="1" applyAlignment="1">
      <alignment horizontal="center" vertical="center"/>
    </xf>
    <xf numFmtId="0" fontId="52" fillId="0" borderId="0" xfId="0" applyFont="1" applyAlignment="1">
      <alignment horizontal="distributed" vertical="center"/>
    </xf>
    <xf numFmtId="0" fontId="52" fillId="0" borderId="31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52" fillId="0" borderId="31" xfId="0" applyFont="1" applyBorder="1" applyAlignment="1">
      <alignment horizontal="left" vertical="center"/>
    </xf>
    <xf numFmtId="0" fontId="53" fillId="0" borderId="3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91" fontId="53" fillId="0" borderId="31" xfId="0" applyNumberFormat="1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53" fillId="0" borderId="18" xfId="0" applyFont="1" applyBorder="1" applyAlignment="1">
      <alignment horizontal="center" vertical="center"/>
    </xf>
    <xf numFmtId="0" fontId="53" fillId="0" borderId="0" xfId="0" applyFont="1" applyAlignment="1">
      <alignment horizontal="distributed" vertical="center"/>
    </xf>
    <xf numFmtId="191" fontId="6" fillId="0" borderId="31" xfId="0" applyNumberFormat="1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distributed" vertical="center"/>
    </xf>
    <xf numFmtId="0" fontId="43" fillId="0" borderId="3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195" fontId="7" fillId="0" borderId="2" xfId="0" applyNumberFormat="1" applyFont="1" applyBorder="1" applyAlignment="1">
      <alignment horizontal="center" vertical="center"/>
    </xf>
    <xf numFmtId="195" fontId="7" fillId="0" borderId="5" xfId="0" applyNumberFormat="1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3" fillId="0" borderId="35" xfId="0" applyFont="1" applyBorder="1" applyAlignment="1">
      <alignment horizontal="center" vertical="center"/>
    </xf>
    <xf numFmtId="195" fontId="45" fillId="0" borderId="12" xfId="0" applyNumberFormat="1" applyFont="1" applyBorder="1" applyAlignment="1">
      <alignment horizontal="right" vertical="center"/>
    </xf>
    <xf numFmtId="195" fontId="45" fillId="0" borderId="32" xfId="0" applyNumberFormat="1" applyFont="1" applyBorder="1" applyAlignment="1">
      <alignment horizontal="right" vertical="center"/>
    </xf>
    <xf numFmtId="195" fontId="45" fillId="0" borderId="32" xfId="0" applyNumberFormat="1" applyFont="1" applyBorder="1" applyAlignment="1">
      <alignment horizontal="center" vertical="center"/>
    </xf>
    <xf numFmtId="195" fontId="45" fillId="0" borderId="4" xfId="0" applyNumberFormat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3" fillId="0" borderId="31" xfId="0" applyFont="1" applyBorder="1" applyAlignment="1">
      <alignment horizontal="left" vertical="center"/>
    </xf>
    <xf numFmtId="0" fontId="43" fillId="0" borderId="18" xfId="0" applyFont="1" applyBorder="1" applyAlignment="1">
      <alignment horizontal="center" vertical="center"/>
    </xf>
    <xf numFmtId="0" fontId="0" fillId="8" borderId="0" xfId="0" applyFill="1" applyAlignment="1">
      <alignment horizontal="center" vertical="center"/>
    </xf>
  </cellXfs>
  <cellStyles count="10">
    <cellStyle name="백분율" xfId="3" builtinId="5"/>
    <cellStyle name="쉼표 [0]" xfId="1" builtinId="6"/>
    <cellStyle name="쉼표 [0] 2" xfId="6" xr:uid="{1C9251B0-8DE5-4071-A236-8B7BD7A77FB1}"/>
    <cellStyle name="표준" xfId="0" builtinId="0"/>
    <cellStyle name="표준 2" xfId="4" xr:uid="{6CB90ED6-B223-4A2D-8FDF-5E5C17E1CFCF}"/>
    <cellStyle name="표준 2 4 2 2" xfId="7" xr:uid="{3BBE2BBA-F10D-4DB6-9D7B-6F9FDC4CD95B}"/>
    <cellStyle name="표준_★ 2준_s서류철(2006석수정산)" xfId="9" xr:uid="{A28F4606-1D15-4559-A1DE-1D0B18FCB223}"/>
    <cellStyle name="하이퍼링크" xfId="2" builtinId="8"/>
    <cellStyle name="하이퍼링크 2" xfId="5" xr:uid="{4764EFEF-A02A-48A4-84D6-5A6D99CE8521}"/>
    <cellStyle name="하이퍼링크 3" xfId="8" xr:uid="{EC8C486E-D60B-4546-ABC9-253DBD47365E}"/>
  </cellStyles>
  <dxfs count="1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C9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Radio" checked="Checked" firstButton="1" fmlaLink="$O$1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Radio" checked="Checked" firstButton="1" fmlaLink="$T$6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fmlaLink="$L$2" lockText="1" noThreeD="1"/>
</file>

<file path=xl/ctrlProps/ctrlProp108.xml><?xml version="1.0" encoding="utf-8"?>
<formControlPr xmlns="http://schemas.microsoft.com/office/spreadsheetml/2009/9/main" objectType="Radio" checked="Checked" lockText="1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Radio" checked="Checked" firstButton="1" fmlaLink="$W$37" lockText="1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Radio" firstButton="1" fmlaLink="$U$15" lockText="1" noThreeD="1"/>
</file>

<file path=xl/ctrlProps/ctrlProp112.xml><?xml version="1.0" encoding="utf-8"?>
<formControlPr xmlns="http://schemas.microsoft.com/office/spreadsheetml/2009/9/main" objectType="Radio" checked="Checked" lockText="1" noThreeD="1"/>
</file>

<file path=xl/ctrlProps/ctrlProp113.xml><?xml version="1.0" encoding="utf-8"?>
<formControlPr xmlns="http://schemas.microsoft.com/office/spreadsheetml/2009/9/main" objectType="Radio" checked="Checked" firstButton="1" fmlaLink="$U$2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Radio" checked="Checked" firstButton="1" fmlaLink="$U$10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Radio" checked="Checked" firstButton="1" fmlaLink="$O$1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Radio" checked="Checked" firstButton="1" fmlaLink="$T$6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Radio" firstButton="1" fmlaLink="$L$2" lockText="1" noThreeD="1"/>
</file>

<file path=xl/ctrlProps/ctrlProp126.xml><?xml version="1.0" encoding="utf-8"?>
<formControlPr xmlns="http://schemas.microsoft.com/office/spreadsheetml/2009/9/main" objectType="Radio" checked="Checked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Radio" firstButton="1" fmlaLink="$U$15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checked="Checked" lockText="1" noThreeD="1"/>
</file>

<file path=xl/ctrlProps/ctrlProp131.xml><?xml version="1.0" encoding="utf-8"?>
<formControlPr xmlns="http://schemas.microsoft.com/office/spreadsheetml/2009/9/main" objectType="Radio" firstButton="1" fmlaLink="$U$21" lockText="1" noThreeD="1"/>
</file>

<file path=xl/ctrlProps/ctrlProp132.xml><?xml version="1.0" encoding="utf-8"?>
<formControlPr xmlns="http://schemas.microsoft.com/office/spreadsheetml/2009/9/main" objectType="Radio" checked="Checked" lockText="1" noThreeD="1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Radio" checked="Checked" firstButton="1" fmlaLink="$U$10" lockText="1" noThreeD="1"/>
</file>

<file path=xl/ctrlProps/ctrlProp135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firstButton="1" fmlaLink="$O$24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Radio" checked="Checked" firstButton="1" fmlaLink="$R$24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fmlaLink="$O$24" lockText="1" noThreeD="1"/>
</file>

<file path=xl/ctrlProps/ctrlProp20.xml><?xml version="1.0" encoding="utf-8"?>
<formControlPr xmlns="http://schemas.microsoft.com/office/spreadsheetml/2009/9/main" objectType="Radio" firstButton="1" fmlaLink="$W$32" lockText="1" noThreeD="1"/>
</file>

<file path=xl/ctrlProps/ctrlProp21.xml><?xml version="1.0" encoding="utf-8"?>
<formControlPr xmlns="http://schemas.microsoft.com/office/spreadsheetml/2009/9/main" objectType="Radio" checked="Checked" lockText="1" noThreeD="1"/>
</file>

<file path=xl/ctrlProps/ctrlProp22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Radio" checked="Checked" firstButton="1" fmlaLink="$W$37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Radio" firstButton="1" fmlaLink="$O$24" lockText="1" noThreeD="1"/>
</file>

<file path=xl/ctrlProps/ctrlProp27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Radio" checked="Checked" firstButton="1" fmlaLink="$R$24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checked="Checked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checked="Checked" firstButton="1" fmlaLink="$O$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checked="Checked" firstButton="1" fmlaLink="$T$6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fmlaLink="$M$35" lockText="1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checked="Checked" firstButton="1" fmlaLink="$R$24" lockText="1" noThreeD="1"/>
</file>

<file path=xl/ctrlProps/ctrlProp40.xml><?xml version="1.0" encoding="utf-8"?>
<formControlPr xmlns="http://schemas.microsoft.com/office/spreadsheetml/2009/9/main" objectType="Radio" checked="Checked" firstButton="1" fmlaLink="$P$35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checked="Checked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checked="Checked" firstButton="1" fmlaLink="$L$3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Radio" checked="Checked" firstButton="1" fmlaLink="$P$1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checked="Checked" firstButton="1" fmlaLink="$U$6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Radio" firstButton="1" fmlaLink="$M$2" lockText="1" noThreeD="1"/>
</file>

<file path=xl/ctrlProps/ctrlProp54.xml><?xml version="1.0" encoding="utf-8"?>
<formControlPr xmlns="http://schemas.microsoft.com/office/spreadsheetml/2009/9/main" objectType="Radio" checked="Checked" lockText="1" noThreeD="1"/>
</file>

<file path=xl/ctrlProps/ctrlProp55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Radio" firstButton="1" fmlaLink="$V$11" lockText="1" noThreeD="1"/>
</file>

<file path=xl/ctrlProps/ctrlProp57.xml><?xml version="1.0" encoding="utf-8"?>
<formControlPr xmlns="http://schemas.microsoft.com/office/spreadsheetml/2009/9/main" objectType="Radio" checked="Checked" lockText="1" noThreeD="1"/>
</file>

<file path=xl/ctrlProps/ctrlProp58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Radio" checked="Checked" firstButton="1" fmlaLink="$V$16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Radio" checked="Checked" firstButton="1" fmlaLink="$V$8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checked="Checked" firstButton="1" fmlaLink="$P$1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checked="Checked" firstButton="1" fmlaLink="$U$6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Radio" firstButton="1" fmlaLink="$M$2" lockText="1" noThreeD="1"/>
</file>

<file path=xl/ctrlProps/ctrlProp72.xml><?xml version="1.0" encoding="utf-8"?>
<formControlPr xmlns="http://schemas.microsoft.com/office/spreadsheetml/2009/9/main" objectType="Radio" checked="Checked" lockText="1" noThreeD="1"/>
</file>

<file path=xl/ctrlProps/ctrlProp73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Radio" firstButton="1" fmlaLink="$V$11" lockText="1" noThreeD="1"/>
</file>

<file path=xl/ctrlProps/ctrlProp75.xml><?xml version="1.0" encoding="utf-8"?>
<formControlPr xmlns="http://schemas.microsoft.com/office/spreadsheetml/2009/9/main" objectType="Radio" checked="Checked" lockText="1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firstButton="1" fmlaLink="$V$16" lockText="1" noThreeD="1"/>
</file>

<file path=xl/ctrlProps/ctrlProp78.xml><?xml version="1.0" encoding="utf-8"?>
<formControlPr xmlns="http://schemas.microsoft.com/office/spreadsheetml/2009/9/main" objectType="Radio" checked="Checked" lockText="1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firstButton="1" fmlaLink="$W$32" lockText="1" noThreeD="1"/>
</file>

<file path=xl/ctrlProps/ctrlProp80.xml><?xml version="1.0" encoding="utf-8"?>
<formControlPr xmlns="http://schemas.microsoft.com/office/spreadsheetml/2009/9/main" objectType="Radio" checked="Checked" firstButton="1" fmlaLink="$V$8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Radio" checked="Checked" firstButton="1" fmlaLink="$O$1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checked="Checked" firstButton="1" fmlaLink="$T$6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Radio" firstButton="1" fmlaLink="$L$2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ctrlProps/ctrlProp90.xml><?xml version="1.0" encoding="utf-8"?>
<formControlPr xmlns="http://schemas.microsoft.com/office/spreadsheetml/2009/9/main" objectType="Radio" checked="Checked" lockText="1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Radio" firstButton="1" fmlaLink="$U$15" lockText="1" noThreeD="1"/>
</file>

<file path=xl/ctrlProps/ctrlProp94.xml><?xml version="1.0" encoding="utf-8"?>
<formControlPr xmlns="http://schemas.microsoft.com/office/spreadsheetml/2009/9/main" objectType="Radio" checked="Checked" lockText="1" noThreeD="1"/>
</file>

<file path=xl/ctrlProps/ctrlProp95.xml><?xml version="1.0" encoding="utf-8"?>
<formControlPr xmlns="http://schemas.microsoft.com/office/spreadsheetml/2009/9/main" objectType="Radio" checked="Checked" firstButton="1" fmlaLink="$U$21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checked="Checked" firstButton="1" fmlaLink="$U$10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19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12</xdr:row>
      <xdr:rowOff>0</xdr:rowOff>
    </xdr:from>
    <xdr:to>
      <xdr:col>1</xdr:col>
      <xdr:colOff>762000</xdr:colOff>
      <xdr:row>14</xdr:row>
      <xdr:rowOff>145677</xdr:rowOff>
    </xdr:to>
    <xdr:pic>
      <xdr:nvPicPr>
        <xdr:cNvPr id="2" name="그림 1" descr="소봉투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235" y="2533650"/>
          <a:ext cx="2856940" cy="564777"/>
        </a:xfrm>
        <a:prstGeom prst="rect">
          <a:avLst/>
        </a:prstGeom>
      </xdr:spPr>
    </xdr:pic>
    <xdr:clientData/>
  </xdr:twoCellAnchor>
  <xdr:twoCellAnchor editAs="oneCell">
    <xdr:from>
      <xdr:col>5</xdr:col>
      <xdr:colOff>728382</xdr:colOff>
      <xdr:row>12</xdr:row>
      <xdr:rowOff>89647</xdr:rowOff>
    </xdr:from>
    <xdr:to>
      <xdr:col>16</xdr:col>
      <xdr:colOff>71070</xdr:colOff>
      <xdr:row>16</xdr:row>
      <xdr:rowOff>133475</xdr:rowOff>
    </xdr:to>
    <xdr:pic>
      <xdr:nvPicPr>
        <xdr:cNvPr id="3" name="그림 2" descr="주민번호검증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7357" y="2623297"/>
          <a:ext cx="7419888" cy="8820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</xdr:row>
          <xdr:rowOff>0</xdr:rowOff>
        </xdr:from>
        <xdr:to>
          <xdr:col>17</xdr:col>
          <xdr:colOff>590550</xdr:colOff>
          <xdr:row>4</xdr:row>
          <xdr:rowOff>19050</xdr:rowOff>
        </xdr:to>
        <xdr:sp macro="" textlink="">
          <xdr:nvSpPr>
            <xdr:cNvPr id="77825" name="Group Box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0E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</xdr:row>
          <xdr:rowOff>104775</xdr:rowOff>
        </xdr:from>
        <xdr:to>
          <xdr:col>15</xdr:col>
          <xdr:colOff>885825</xdr:colOff>
          <xdr:row>3</xdr:row>
          <xdr:rowOff>95250</xdr:rowOff>
        </xdr:to>
        <xdr:sp macro="" textlink="">
          <xdr:nvSpPr>
            <xdr:cNvPr id="77826" name="Option Button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0E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</xdr:row>
          <xdr:rowOff>104775</xdr:rowOff>
        </xdr:from>
        <xdr:to>
          <xdr:col>17</xdr:col>
          <xdr:colOff>304800</xdr:colOff>
          <xdr:row>3</xdr:row>
          <xdr:rowOff>95250</xdr:rowOff>
        </xdr:to>
        <xdr:sp macro="" textlink="">
          <xdr:nvSpPr>
            <xdr:cNvPr id="77827" name="Option Button 3" hidden="1">
              <a:extLst>
                <a:ext uri="{63B3BB69-23CF-44E3-9099-C40C66FF867C}">
                  <a14:compatExt spid="_x0000_s77827"/>
                </a:ext>
                <a:ext uri="{FF2B5EF4-FFF2-40B4-BE49-F238E27FC236}">
                  <a16:creationId xmlns:a16="http://schemas.microsoft.com/office/drawing/2014/main" id="{00000000-0008-0000-0E00-00000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257175</xdr:colOff>
          <xdr:row>1</xdr:row>
          <xdr:rowOff>9525</xdr:rowOff>
        </xdr:from>
        <xdr:to>
          <xdr:col>23</xdr:col>
          <xdr:colOff>66675</xdr:colOff>
          <xdr:row>4</xdr:row>
          <xdr:rowOff>114300</xdr:rowOff>
        </xdr:to>
        <xdr:sp macro="" textlink="">
          <xdr:nvSpPr>
            <xdr:cNvPr id="77842" name="Group Box 18" hidden="1">
              <a:extLst>
                <a:ext uri="{63B3BB69-23CF-44E3-9099-C40C66FF867C}">
                  <a14:compatExt spid="_x0000_s77842"/>
                </a:ext>
                <a:ext uri="{FF2B5EF4-FFF2-40B4-BE49-F238E27FC236}">
                  <a16:creationId xmlns:a16="http://schemas.microsoft.com/office/drawing/2014/main" id="{00000000-0008-0000-0E00-00001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381000</xdr:colOff>
          <xdr:row>2</xdr:row>
          <xdr:rowOff>133350</xdr:rowOff>
        </xdr:from>
        <xdr:to>
          <xdr:col>20</xdr:col>
          <xdr:colOff>514350</xdr:colOff>
          <xdr:row>4</xdr:row>
          <xdr:rowOff>19050</xdr:rowOff>
        </xdr:to>
        <xdr:sp macro="" textlink="">
          <xdr:nvSpPr>
            <xdr:cNvPr id="77843" name="Option Button 19" hidden="1">
              <a:extLst>
                <a:ext uri="{63B3BB69-23CF-44E3-9099-C40C66FF867C}">
                  <a14:compatExt spid="_x0000_s77843"/>
                </a:ext>
                <a:ext uri="{FF2B5EF4-FFF2-40B4-BE49-F238E27FC236}">
                  <a16:creationId xmlns:a16="http://schemas.microsoft.com/office/drawing/2014/main" id="{00000000-0008-0000-0E00-00001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</xdr:row>
          <xdr:rowOff>161925</xdr:rowOff>
        </xdr:from>
        <xdr:to>
          <xdr:col>22</xdr:col>
          <xdr:colOff>533400</xdr:colOff>
          <xdr:row>4</xdr:row>
          <xdr:rowOff>47625</xdr:rowOff>
        </xdr:to>
        <xdr:sp macro="" textlink="">
          <xdr:nvSpPr>
            <xdr:cNvPr id="77844" name="Option Button 20" hidden="1">
              <a:extLst>
                <a:ext uri="{63B3BB69-23CF-44E3-9099-C40C66FF867C}">
                  <a14:compatExt spid="_x0000_s77844"/>
                </a:ext>
                <a:ext uri="{FF2B5EF4-FFF2-40B4-BE49-F238E27FC236}">
                  <a16:creationId xmlns:a16="http://schemas.microsoft.com/office/drawing/2014/main" id="{00000000-0008-0000-0E00-000014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</xdr:row>
          <xdr:rowOff>28575</xdr:rowOff>
        </xdr:from>
        <xdr:to>
          <xdr:col>3</xdr:col>
          <xdr:colOff>57150</xdr:colOff>
          <xdr:row>3</xdr:row>
          <xdr:rowOff>76200</xdr:rowOff>
        </xdr:to>
        <xdr:sp macro="" textlink="">
          <xdr:nvSpPr>
            <xdr:cNvPr id="77867" name="Group Box 43" hidden="1">
              <a:extLst>
                <a:ext uri="{63B3BB69-23CF-44E3-9099-C40C66FF867C}">
                  <a14:compatExt spid="_x0000_s77867"/>
                </a:ext>
                <a:ext uri="{FF2B5EF4-FFF2-40B4-BE49-F238E27FC236}">
                  <a16:creationId xmlns:a16="http://schemas.microsoft.com/office/drawing/2014/main" id="{00000000-0008-0000-0E00-00002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57150</xdr:rowOff>
        </xdr:from>
        <xdr:to>
          <xdr:col>1</xdr:col>
          <xdr:colOff>38100</xdr:colOff>
          <xdr:row>3</xdr:row>
          <xdr:rowOff>47625</xdr:rowOff>
        </xdr:to>
        <xdr:sp macro="" textlink="">
          <xdr:nvSpPr>
            <xdr:cNvPr id="77869" name="Option Button 45" hidden="1">
              <a:extLst>
                <a:ext uri="{63B3BB69-23CF-44E3-9099-C40C66FF867C}">
                  <a14:compatExt spid="_x0000_s77869"/>
                </a:ext>
                <a:ext uri="{FF2B5EF4-FFF2-40B4-BE49-F238E27FC236}">
                  <a16:creationId xmlns:a16="http://schemas.microsoft.com/office/drawing/2014/main" id="{00000000-0008-0000-0E00-00002D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66675</xdr:rowOff>
        </xdr:from>
        <xdr:to>
          <xdr:col>2</xdr:col>
          <xdr:colOff>257175</xdr:colOff>
          <xdr:row>3</xdr:row>
          <xdr:rowOff>57150</xdr:rowOff>
        </xdr:to>
        <xdr:sp macro="" textlink="">
          <xdr:nvSpPr>
            <xdr:cNvPr id="77872" name="Option Button 48" hidden="1">
              <a:extLst>
                <a:ext uri="{63B3BB69-23CF-44E3-9099-C40C66FF867C}">
                  <a14:compatExt spid="_x0000_s77872"/>
                </a:ext>
                <a:ext uri="{FF2B5EF4-FFF2-40B4-BE49-F238E27FC236}">
                  <a16:creationId xmlns:a16="http://schemas.microsoft.com/office/drawing/2014/main" id="{00000000-0008-0000-0E00-000030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466725</xdr:colOff>
          <xdr:row>9</xdr:row>
          <xdr:rowOff>66675</xdr:rowOff>
        </xdr:from>
        <xdr:to>
          <xdr:col>20</xdr:col>
          <xdr:colOff>361950</xdr:colOff>
          <xdr:row>11</xdr:row>
          <xdr:rowOff>142875</xdr:rowOff>
        </xdr:to>
        <xdr:sp macro="" textlink="">
          <xdr:nvSpPr>
            <xdr:cNvPr id="77877" name="Group Box 53" hidden="1">
              <a:extLst>
                <a:ext uri="{63B3BB69-23CF-44E3-9099-C40C66FF867C}">
                  <a14:compatExt spid="_x0000_s77877"/>
                </a:ext>
                <a:ext uri="{FF2B5EF4-FFF2-40B4-BE49-F238E27FC236}">
                  <a16:creationId xmlns:a16="http://schemas.microsoft.com/office/drawing/2014/main" id="{00000000-0008-0000-0E00-000035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628650</xdr:colOff>
          <xdr:row>9</xdr:row>
          <xdr:rowOff>209550</xdr:rowOff>
        </xdr:from>
        <xdr:to>
          <xdr:col>18</xdr:col>
          <xdr:colOff>628650</xdr:colOff>
          <xdr:row>11</xdr:row>
          <xdr:rowOff>38100</xdr:rowOff>
        </xdr:to>
        <xdr:sp macro="" textlink="">
          <xdr:nvSpPr>
            <xdr:cNvPr id="77878" name="Option Button 54" hidden="1">
              <a:extLst>
                <a:ext uri="{63B3BB69-23CF-44E3-9099-C40C66FF867C}">
                  <a14:compatExt spid="_x0000_s77878"/>
                </a:ext>
                <a:ext uri="{FF2B5EF4-FFF2-40B4-BE49-F238E27FC236}">
                  <a16:creationId xmlns:a16="http://schemas.microsoft.com/office/drawing/2014/main" id="{00000000-0008-0000-0E00-00003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314325</xdr:colOff>
          <xdr:row>9</xdr:row>
          <xdr:rowOff>209550</xdr:rowOff>
        </xdr:from>
        <xdr:to>
          <xdr:col>20</xdr:col>
          <xdr:colOff>76200</xdr:colOff>
          <xdr:row>11</xdr:row>
          <xdr:rowOff>38100</xdr:rowOff>
        </xdr:to>
        <xdr:sp macro="" textlink="">
          <xdr:nvSpPr>
            <xdr:cNvPr id="77879" name="Option Button 55" hidden="1">
              <a:extLst>
                <a:ext uri="{63B3BB69-23CF-44E3-9099-C40C66FF867C}">
                  <a14:compatExt spid="_x0000_s77879"/>
                </a:ext>
                <a:ext uri="{FF2B5EF4-FFF2-40B4-BE49-F238E27FC236}">
                  <a16:creationId xmlns:a16="http://schemas.microsoft.com/office/drawing/2014/main" id="{00000000-0008-0000-0E00-00003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466725</xdr:colOff>
          <xdr:row>13</xdr:row>
          <xdr:rowOff>95250</xdr:rowOff>
        </xdr:from>
        <xdr:to>
          <xdr:col>20</xdr:col>
          <xdr:colOff>381000</xdr:colOff>
          <xdr:row>16</xdr:row>
          <xdr:rowOff>180975</xdr:rowOff>
        </xdr:to>
        <xdr:sp macro="" textlink="">
          <xdr:nvSpPr>
            <xdr:cNvPr id="77880" name="Group Box 56" hidden="1">
              <a:extLst>
                <a:ext uri="{63B3BB69-23CF-44E3-9099-C40C66FF867C}">
                  <a14:compatExt spid="_x0000_s77880"/>
                </a:ext>
                <a:ext uri="{FF2B5EF4-FFF2-40B4-BE49-F238E27FC236}">
                  <a16:creationId xmlns:a16="http://schemas.microsoft.com/office/drawing/2014/main" id="{00000000-0008-0000-0E00-000038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628650</xdr:colOff>
          <xdr:row>14</xdr:row>
          <xdr:rowOff>161925</xdr:rowOff>
        </xdr:from>
        <xdr:to>
          <xdr:col>18</xdr:col>
          <xdr:colOff>647700</xdr:colOff>
          <xdr:row>15</xdr:row>
          <xdr:rowOff>200025</xdr:rowOff>
        </xdr:to>
        <xdr:sp macro="" textlink="">
          <xdr:nvSpPr>
            <xdr:cNvPr id="77881" name="Option Button 57" hidden="1">
              <a:extLst>
                <a:ext uri="{63B3BB69-23CF-44E3-9099-C40C66FF867C}">
                  <a14:compatExt spid="_x0000_s77881"/>
                </a:ext>
                <a:ext uri="{FF2B5EF4-FFF2-40B4-BE49-F238E27FC236}">
                  <a16:creationId xmlns:a16="http://schemas.microsoft.com/office/drawing/2014/main" id="{00000000-0008-0000-0E00-000039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295275</xdr:colOff>
          <xdr:row>14</xdr:row>
          <xdr:rowOff>161925</xdr:rowOff>
        </xdr:from>
        <xdr:to>
          <xdr:col>20</xdr:col>
          <xdr:colOff>123825</xdr:colOff>
          <xdr:row>15</xdr:row>
          <xdr:rowOff>200025</xdr:rowOff>
        </xdr:to>
        <xdr:sp macro="" textlink="">
          <xdr:nvSpPr>
            <xdr:cNvPr id="77882" name="Option Button 58" hidden="1">
              <a:extLst>
                <a:ext uri="{63B3BB69-23CF-44E3-9099-C40C66FF867C}">
                  <a14:compatExt spid="_x0000_s77882"/>
                </a:ext>
                <a:ext uri="{FF2B5EF4-FFF2-40B4-BE49-F238E27FC236}">
                  <a16:creationId xmlns:a16="http://schemas.microsoft.com/office/drawing/2014/main" id="{00000000-0008-0000-0E00-00003A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6</xdr:row>
          <xdr:rowOff>57150</xdr:rowOff>
        </xdr:from>
        <xdr:to>
          <xdr:col>20</xdr:col>
          <xdr:colOff>390525</xdr:colOff>
          <xdr:row>8</xdr:row>
          <xdr:rowOff>171450</xdr:rowOff>
        </xdr:to>
        <xdr:sp macro="" textlink="">
          <xdr:nvSpPr>
            <xdr:cNvPr id="77899" name="Group Box 75" hidden="1">
              <a:extLst>
                <a:ext uri="{63B3BB69-23CF-44E3-9099-C40C66FF867C}">
                  <a14:compatExt spid="_x0000_s77899"/>
                </a:ext>
                <a:ext uri="{FF2B5EF4-FFF2-40B4-BE49-F238E27FC236}">
                  <a16:creationId xmlns:a16="http://schemas.microsoft.com/office/drawing/2014/main" id="{00000000-0008-0000-0E00-00004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주휴일 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581025</xdr:colOff>
          <xdr:row>7</xdr:row>
          <xdr:rowOff>28575</xdr:rowOff>
        </xdr:from>
        <xdr:to>
          <xdr:col>18</xdr:col>
          <xdr:colOff>590550</xdr:colOff>
          <xdr:row>8</xdr:row>
          <xdr:rowOff>66675</xdr:rowOff>
        </xdr:to>
        <xdr:sp macro="" textlink="">
          <xdr:nvSpPr>
            <xdr:cNvPr id="77901" name="Option Button 77" hidden="1">
              <a:extLst>
                <a:ext uri="{63B3BB69-23CF-44E3-9099-C40C66FF867C}">
                  <a14:compatExt spid="_x0000_s77901"/>
                </a:ext>
                <a:ext uri="{FF2B5EF4-FFF2-40B4-BE49-F238E27FC236}">
                  <a16:creationId xmlns:a16="http://schemas.microsoft.com/office/drawing/2014/main" id="{00000000-0008-0000-0E00-00004D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실제 일수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7</xdr:row>
          <xdr:rowOff>38100</xdr:rowOff>
        </xdr:from>
        <xdr:to>
          <xdr:col>20</xdr:col>
          <xdr:colOff>180975</xdr:colOff>
          <xdr:row>8</xdr:row>
          <xdr:rowOff>76200</xdr:rowOff>
        </xdr:to>
        <xdr:sp macro="" textlink="">
          <xdr:nvSpPr>
            <xdr:cNvPr id="77902" name="Option Button 78" hidden="1">
              <a:extLst>
                <a:ext uri="{63B3BB69-23CF-44E3-9099-C40C66FF867C}">
                  <a14:compatExt spid="_x0000_s77902"/>
                </a:ext>
                <a:ext uri="{FF2B5EF4-FFF2-40B4-BE49-F238E27FC236}">
                  <a16:creationId xmlns:a16="http://schemas.microsoft.com/office/drawing/2014/main" id="{00000000-0008-0000-0E00-00004E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해당 월(일수/7) 평균</a:t>
              </a:r>
            </a:p>
          </xdr:txBody>
        </xdr:sp>
        <xdr:clientData/>
      </xdr:twoCellAnchor>
    </mc:Choice>
    <mc:Fallback/>
  </mc:AlternateContent>
  <xdr:twoCellAnchor editAs="oneCell">
    <xdr:from>
      <xdr:col>18</xdr:col>
      <xdr:colOff>914400</xdr:colOff>
      <xdr:row>23</xdr:row>
      <xdr:rowOff>171450</xdr:rowOff>
    </xdr:from>
    <xdr:to>
      <xdr:col>21</xdr:col>
      <xdr:colOff>381290</xdr:colOff>
      <xdr:row>30</xdr:row>
      <xdr:rowOff>200236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4829175"/>
          <a:ext cx="2076740" cy="15146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</xdr:row>
          <xdr:rowOff>0</xdr:rowOff>
        </xdr:from>
        <xdr:to>
          <xdr:col>17</xdr:col>
          <xdr:colOff>590550</xdr:colOff>
          <xdr:row>4</xdr:row>
          <xdr:rowOff>19050</xdr:rowOff>
        </xdr:to>
        <xdr:sp macro="" textlink="">
          <xdr:nvSpPr>
            <xdr:cNvPr id="304129" name="Group Box 1" hidden="1">
              <a:extLst>
                <a:ext uri="{63B3BB69-23CF-44E3-9099-C40C66FF867C}">
                  <a14:compatExt spid="_x0000_s304129"/>
                </a:ext>
                <a:ext uri="{FF2B5EF4-FFF2-40B4-BE49-F238E27FC236}">
                  <a16:creationId xmlns:a16="http://schemas.microsoft.com/office/drawing/2014/main" id="{00000000-0008-0000-1000-000001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</xdr:row>
          <xdr:rowOff>104775</xdr:rowOff>
        </xdr:from>
        <xdr:to>
          <xdr:col>15</xdr:col>
          <xdr:colOff>885825</xdr:colOff>
          <xdr:row>3</xdr:row>
          <xdr:rowOff>95250</xdr:rowOff>
        </xdr:to>
        <xdr:sp macro="" textlink="">
          <xdr:nvSpPr>
            <xdr:cNvPr id="304130" name="Option Button 2" hidden="1">
              <a:extLst>
                <a:ext uri="{63B3BB69-23CF-44E3-9099-C40C66FF867C}">
                  <a14:compatExt spid="_x0000_s304130"/>
                </a:ext>
                <a:ext uri="{FF2B5EF4-FFF2-40B4-BE49-F238E27FC236}">
                  <a16:creationId xmlns:a16="http://schemas.microsoft.com/office/drawing/2014/main" id="{00000000-0008-0000-1000-000002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</xdr:row>
          <xdr:rowOff>104775</xdr:rowOff>
        </xdr:from>
        <xdr:to>
          <xdr:col>17</xdr:col>
          <xdr:colOff>304800</xdr:colOff>
          <xdr:row>3</xdr:row>
          <xdr:rowOff>95250</xdr:rowOff>
        </xdr:to>
        <xdr:sp macro="" textlink="">
          <xdr:nvSpPr>
            <xdr:cNvPr id="304131" name="Option Button 3" hidden="1">
              <a:extLst>
                <a:ext uri="{63B3BB69-23CF-44E3-9099-C40C66FF867C}">
                  <a14:compatExt spid="_x0000_s304131"/>
                </a:ext>
                <a:ext uri="{FF2B5EF4-FFF2-40B4-BE49-F238E27FC236}">
                  <a16:creationId xmlns:a16="http://schemas.microsoft.com/office/drawing/2014/main" id="{00000000-0008-0000-1000-000003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257175</xdr:colOff>
          <xdr:row>1</xdr:row>
          <xdr:rowOff>9525</xdr:rowOff>
        </xdr:from>
        <xdr:to>
          <xdr:col>23</xdr:col>
          <xdr:colOff>66675</xdr:colOff>
          <xdr:row>4</xdr:row>
          <xdr:rowOff>114300</xdr:rowOff>
        </xdr:to>
        <xdr:sp macro="" textlink="">
          <xdr:nvSpPr>
            <xdr:cNvPr id="304132" name="Group Box 4" hidden="1">
              <a:extLst>
                <a:ext uri="{63B3BB69-23CF-44E3-9099-C40C66FF867C}">
                  <a14:compatExt spid="_x0000_s304132"/>
                </a:ext>
                <a:ext uri="{FF2B5EF4-FFF2-40B4-BE49-F238E27FC236}">
                  <a16:creationId xmlns:a16="http://schemas.microsoft.com/office/drawing/2014/main" id="{00000000-0008-0000-1000-000004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381000</xdr:colOff>
          <xdr:row>2</xdr:row>
          <xdr:rowOff>133350</xdr:rowOff>
        </xdr:from>
        <xdr:to>
          <xdr:col>20</xdr:col>
          <xdr:colOff>514350</xdr:colOff>
          <xdr:row>4</xdr:row>
          <xdr:rowOff>19050</xdr:rowOff>
        </xdr:to>
        <xdr:sp macro="" textlink="">
          <xdr:nvSpPr>
            <xdr:cNvPr id="304133" name="Option Button 5" hidden="1">
              <a:extLst>
                <a:ext uri="{63B3BB69-23CF-44E3-9099-C40C66FF867C}">
                  <a14:compatExt spid="_x0000_s304133"/>
                </a:ext>
                <a:ext uri="{FF2B5EF4-FFF2-40B4-BE49-F238E27FC236}">
                  <a16:creationId xmlns:a16="http://schemas.microsoft.com/office/drawing/2014/main" id="{00000000-0008-0000-1000-000005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</xdr:row>
          <xdr:rowOff>161925</xdr:rowOff>
        </xdr:from>
        <xdr:to>
          <xdr:col>22</xdr:col>
          <xdr:colOff>533400</xdr:colOff>
          <xdr:row>4</xdr:row>
          <xdr:rowOff>47625</xdr:rowOff>
        </xdr:to>
        <xdr:sp macro="" textlink="">
          <xdr:nvSpPr>
            <xdr:cNvPr id="304134" name="Option Button 6" hidden="1">
              <a:extLst>
                <a:ext uri="{63B3BB69-23CF-44E3-9099-C40C66FF867C}">
                  <a14:compatExt spid="_x0000_s304134"/>
                </a:ext>
                <a:ext uri="{FF2B5EF4-FFF2-40B4-BE49-F238E27FC236}">
                  <a16:creationId xmlns:a16="http://schemas.microsoft.com/office/drawing/2014/main" id="{00000000-0008-0000-1000-000006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</xdr:row>
          <xdr:rowOff>28575</xdr:rowOff>
        </xdr:from>
        <xdr:to>
          <xdr:col>3</xdr:col>
          <xdr:colOff>57150</xdr:colOff>
          <xdr:row>3</xdr:row>
          <xdr:rowOff>76200</xdr:rowOff>
        </xdr:to>
        <xdr:sp macro="" textlink="">
          <xdr:nvSpPr>
            <xdr:cNvPr id="304135" name="Group Box 7" hidden="1">
              <a:extLst>
                <a:ext uri="{63B3BB69-23CF-44E3-9099-C40C66FF867C}">
                  <a14:compatExt spid="_x0000_s304135"/>
                </a:ext>
                <a:ext uri="{FF2B5EF4-FFF2-40B4-BE49-F238E27FC236}">
                  <a16:creationId xmlns:a16="http://schemas.microsoft.com/office/drawing/2014/main" id="{00000000-0008-0000-1000-000007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57150</xdr:rowOff>
        </xdr:from>
        <xdr:to>
          <xdr:col>1</xdr:col>
          <xdr:colOff>38100</xdr:colOff>
          <xdr:row>3</xdr:row>
          <xdr:rowOff>47625</xdr:rowOff>
        </xdr:to>
        <xdr:sp macro="" textlink="">
          <xdr:nvSpPr>
            <xdr:cNvPr id="304136" name="Option Button 8" hidden="1">
              <a:extLst>
                <a:ext uri="{63B3BB69-23CF-44E3-9099-C40C66FF867C}">
                  <a14:compatExt spid="_x0000_s304136"/>
                </a:ext>
                <a:ext uri="{FF2B5EF4-FFF2-40B4-BE49-F238E27FC236}">
                  <a16:creationId xmlns:a16="http://schemas.microsoft.com/office/drawing/2014/main" id="{00000000-0008-0000-1000-000008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66675</xdr:rowOff>
        </xdr:from>
        <xdr:to>
          <xdr:col>2</xdr:col>
          <xdr:colOff>257175</xdr:colOff>
          <xdr:row>3</xdr:row>
          <xdr:rowOff>57150</xdr:rowOff>
        </xdr:to>
        <xdr:sp macro="" textlink="">
          <xdr:nvSpPr>
            <xdr:cNvPr id="304137" name="Option Button 9" hidden="1">
              <a:extLst>
                <a:ext uri="{63B3BB69-23CF-44E3-9099-C40C66FF867C}">
                  <a14:compatExt spid="_x0000_s304137"/>
                </a:ext>
                <a:ext uri="{FF2B5EF4-FFF2-40B4-BE49-F238E27FC236}">
                  <a16:creationId xmlns:a16="http://schemas.microsoft.com/office/drawing/2014/main" id="{00000000-0008-0000-1000-000009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466725</xdr:colOff>
          <xdr:row>9</xdr:row>
          <xdr:rowOff>66675</xdr:rowOff>
        </xdr:from>
        <xdr:to>
          <xdr:col>20</xdr:col>
          <xdr:colOff>361950</xdr:colOff>
          <xdr:row>11</xdr:row>
          <xdr:rowOff>142875</xdr:rowOff>
        </xdr:to>
        <xdr:sp macro="" textlink="">
          <xdr:nvSpPr>
            <xdr:cNvPr id="304138" name="Group Box 10" hidden="1">
              <a:extLst>
                <a:ext uri="{63B3BB69-23CF-44E3-9099-C40C66FF867C}">
                  <a14:compatExt spid="_x0000_s304138"/>
                </a:ext>
                <a:ext uri="{FF2B5EF4-FFF2-40B4-BE49-F238E27FC236}">
                  <a16:creationId xmlns:a16="http://schemas.microsoft.com/office/drawing/2014/main" id="{00000000-0008-0000-1000-00000A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628650</xdr:colOff>
          <xdr:row>9</xdr:row>
          <xdr:rowOff>209550</xdr:rowOff>
        </xdr:from>
        <xdr:to>
          <xdr:col>18</xdr:col>
          <xdr:colOff>628650</xdr:colOff>
          <xdr:row>11</xdr:row>
          <xdr:rowOff>38100</xdr:rowOff>
        </xdr:to>
        <xdr:sp macro="" textlink="">
          <xdr:nvSpPr>
            <xdr:cNvPr id="304139" name="Option Button 11" hidden="1">
              <a:extLst>
                <a:ext uri="{63B3BB69-23CF-44E3-9099-C40C66FF867C}">
                  <a14:compatExt spid="_x0000_s304139"/>
                </a:ext>
                <a:ext uri="{FF2B5EF4-FFF2-40B4-BE49-F238E27FC236}">
                  <a16:creationId xmlns:a16="http://schemas.microsoft.com/office/drawing/2014/main" id="{00000000-0008-0000-1000-00000B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314325</xdr:colOff>
          <xdr:row>9</xdr:row>
          <xdr:rowOff>209550</xdr:rowOff>
        </xdr:from>
        <xdr:to>
          <xdr:col>20</xdr:col>
          <xdr:colOff>76200</xdr:colOff>
          <xdr:row>11</xdr:row>
          <xdr:rowOff>38100</xdr:rowOff>
        </xdr:to>
        <xdr:sp macro="" textlink="">
          <xdr:nvSpPr>
            <xdr:cNvPr id="304140" name="Option Button 12" hidden="1">
              <a:extLst>
                <a:ext uri="{63B3BB69-23CF-44E3-9099-C40C66FF867C}">
                  <a14:compatExt spid="_x0000_s304140"/>
                </a:ext>
                <a:ext uri="{FF2B5EF4-FFF2-40B4-BE49-F238E27FC236}">
                  <a16:creationId xmlns:a16="http://schemas.microsoft.com/office/drawing/2014/main" id="{00000000-0008-0000-1000-00000C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466725</xdr:colOff>
          <xdr:row>13</xdr:row>
          <xdr:rowOff>95250</xdr:rowOff>
        </xdr:from>
        <xdr:to>
          <xdr:col>20</xdr:col>
          <xdr:colOff>381000</xdr:colOff>
          <xdr:row>16</xdr:row>
          <xdr:rowOff>180975</xdr:rowOff>
        </xdr:to>
        <xdr:sp macro="" textlink="">
          <xdr:nvSpPr>
            <xdr:cNvPr id="304141" name="Group Box 13" hidden="1">
              <a:extLst>
                <a:ext uri="{63B3BB69-23CF-44E3-9099-C40C66FF867C}">
                  <a14:compatExt spid="_x0000_s304141"/>
                </a:ext>
                <a:ext uri="{FF2B5EF4-FFF2-40B4-BE49-F238E27FC236}">
                  <a16:creationId xmlns:a16="http://schemas.microsoft.com/office/drawing/2014/main" id="{00000000-0008-0000-1000-00000D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628650</xdr:colOff>
          <xdr:row>14</xdr:row>
          <xdr:rowOff>161925</xdr:rowOff>
        </xdr:from>
        <xdr:to>
          <xdr:col>18</xdr:col>
          <xdr:colOff>647700</xdr:colOff>
          <xdr:row>15</xdr:row>
          <xdr:rowOff>200025</xdr:rowOff>
        </xdr:to>
        <xdr:sp macro="" textlink="">
          <xdr:nvSpPr>
            <xdr:cNvPr id="304142" name="Option Button 14" hidden="1">
              <a:extLst>
                <a:ext uri="{63B3BB69-23CF-44E3-9099-C40C66FF867C}">
                  <a14:compatExt spid="_x0000_s304142"/>
                </a:ext>
                <a:ext uri="{FF2B5EF4-FFF2-40B4-BE49-F238E27FC236}">
                  <a16:creationId xmlns:a16="http://schemas.microsoft.com/office/drawing/2014/main" id="{00000000-0008-0000-1000-00000E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295275</xdr:colOff>
          <xdr:row>14</xdr:row>
          <xdr:rowOff>161925</xdr:rowOff>
        </xdr:from>
        <xdr:to>
          <xdr:col>20</xdr:col>
          <xdr:colOff>123825</xdr:colOff>
          <xdr:row>15</xdr:row>
          <xdr:rowOff>200025</xdr:rowOff>
        </xdr:to>
        <xdr:sp macro="" textlink="">
          <xdr:nvSpPr>
            <xdr:cNvPr id="304143" name="Option Button 15" hidden="1">
              <a:extLst>
                <a:ext uri="{63B3BB69-23CF-44E3-9099-C40C66FF867C}">
                  <a14:compatExt spid="_x0000_s304143"/>
                </a:ext>
                <a:ext uri="{FF2B5EF4-FFF2-40B4-BE49-F238E27FC236}">
                  <a16:creationId xmlns:a16="http://schemas.microsoft.com/office/drawing/2014/main" id="{00000000-0008-0000-1000-00000F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6</xdr:row>
          <xdr:rowOff>57150</xdr:rowOff>
        </xdr:from>
        <xdr:to>
          <xdr:col>20</xdr:col>
          <xdr:colOff>390525</xdr:colOff>
          <xdr:row>8</xdr:row>
          <xdr:rowOff>171450</xdr:rowOff>
        </xdr:to>
        <xdr:sp macro="" textlink="">
          <xdr:nvSpPr>
            <xdr:cNvPr id="304144" name="Group Box 16" hidden="1">
              <a:extLst>
                <a:ext uri="{63B3BB69-23CF-44E3-9099-C40C66FF867C}">
                  <a14:compatExt spid="_x0000_s304144"/>
                </a:ext>
                <a:ext uri="{FF2B5EF4-FFF2-40B4-BE49-F238E27FC236}">
                  <a16:creationId xmlns:a16="http://schemas.microsoft.com/office/drawing/2014/main" id="{00000000-0008-0000-1000-000010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주휴일 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581025</xdr:colOff>
          <xdr:row>7</xdr:row>
          <xdr:rowOff>28575</xdr:rowOff>
        </xdr:from>
        <xdr:to>
          <xdr:col>18</xdr:col>
          <xdr:colOff>590550</xdr:colOff>
          <xdr:row>8</xdr:row>
          <xdr:rowOff>66675</xdr:rowOff>
        </xdr:to>
        <xdr:sp macro="" textlink="">
          <xdr:nvSpPr>
            <xdr:cNvPr id="304145" name="Option Button 17" hidden="1">
              <a:extLst>
                <a:ext uri="{63B3BB69-23CF-44E3-9099-C40C66FF867C}">
                  <a14:compatExt spid="_x0000_s304145"/>
                </a:ext>
                <a:ext uri="{FF2B5EF4-FFF2-40B4-BE49-F238E27FC236}">
                  <a16:creationId xmlns:a16="http://schemas.microsoft.com/office/drawing/2014/main" id="{00000000-0008-0000-1000-000011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실제 일수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7</xdr:row>
          <xdr:rowOff>38100</xdr:rowOff>
        </xdr:from>
        <xdr:to>
          <xdr:col>20</xdr:col>
          <xdr:colOff>180975</xdr:colOff>
          <xdr:row>8</xdr:row>
          <xdr:rowOff>76200</xdr:rowOff>
        </xdr:to>
        <xdr:sp macro="" textlink="">
          <xdr:nvSpPr>
            <xdr:cNvPr id="304146" name="Option Button 18" hidden="1">
              <a:extLst>
                <a:ext uri="{63B3BB69-23CF-44E3-9099-C40C66FF867C}">
                  <a14:compatExt spid="_x0000_s304146"/>
                </a:ext>
                <a:ext uri="{FF2B5EF4-FFF2-40B4-BE49-F238E27FC236}">
                  <a16:creationId xmlns:a16="http://schemas.microsoft.com/office/drawing/2014/main" id="{00000000-0008-0000-1000-000012A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해당 월(일수/7) 평균</a:t>
              </a:r>
            </a:p>
          </xdr:txBody>
        </xdr:sp>
        <xdr:clientData/>
      </xdr:twoCellAnchor>
    </mc:Choice>
    <mc:Fallback/>
  </mc:AlternateContent>
  <xdr:twoCellAnchor editAs="oneCell">
    <xdr:from>
      <xdr:col>18</xdr:col>
      <xdr:colOff>914400</xdr:colOff>
      <xdr:row>23</xdr:row>
      <xdr:rowOff>171450</xdr:rowOff>
    </xdr:from>
    <xdr:to>
      <xdr:col>21</xdr:col>
      <xdr:colOff>381290</xdr:colOff>
      <xdr:row>30</xdr:row>
      <xdr:rowOff>200236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4829175"/>
          <a:ext cx="2076740" cy="1514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</xdr:row>
          <xdr:rowOff>0</xdr:rowOff>
        </xdr:from>
        <xdr:to>
          <xdr:col>16</xdr:col>
          <xdr:colOff>590550</xdr:colOff>
          <xdr:row>4</xdr:row>
          <xdr:rowOff>19050</xdr:rowOff>
        </xdr:to>
        <xdr:sp macro="" textlink="">
          <xdr:nvSpPr>
            <xdr:cNvPr id="258049" name="Group Box 1" hidden="1">
              <a:extLst>
                <a:ext uri="{63B3BB69-23CF-44E3-9099-C40C66FF867C}">
                  <a14:compatExt spid="_x0000_s258049"/>
                </a:ext>
                <a:ext uri="{FF2B5EF4-FFF2-40B4-BE49-F238E27FC236}">
                  <a16:creationId xmlns:a16="http://schemas.microsoft.com/office/drawing/2014/main" id="{00000000-0008-0000-1100-000001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2</xdr:row>
          <xdr:rowOff>104775</xdr:rowOff>
        </xdr:from>
        <xdr:to>
          <xdr:col>14</xdr:col>
          <xdr:colOff>885825</xdr:colOff>
          <xdr:row>3</xdr:row>
          <xdr:rowOff>95250</xdr:rowOff>
        </xdr:to>
        <xdr:sp macro="" textlink="">
          <xdr:nvSpPr>
            <xdr:cNvPr id="258050" name="Option Button 2" hidden="1">
              <a:extLst>
                <a:ext uri="{63B3BB69-23CF-44E3-9099-C40C66FF867C}">
                  <a14:compatExt spid="_x0000_s258050"/>
                </a:ext>
                <a:ext uri="{FF2B5EF4-FFF2-40B4-BE49-F238E27FC236}">
                  <a16:creationId xmlns:a16="http://schemas.microsoft.com/office/drawing/2014/main" id="{00000000-0008-0000-1100-000002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</xdr:row>
          <xdr:rowOff>104775</xdr:rowOff>
        </xdr:from>
        <xdr:to>
          <xdr:col>16</xdr:col>
          <xdr:colOff>304800</xdr:colOff>
          <xdr:row>3</xdr:row>
          <xdr:rowOff>95250</xdr:rowOff>
        </xdr:to>
        <xdr:sp macro="" textlink="">
          <xdr:nvSpPr>
            <xdr:cNvPr id="258051" name="Option Button 3" hidden="1">
              <a:extLst>
                <a:ext uri="{63B3BB69-23CF-44E3-9099-C40C66FF867C}">
                  <a14:compatExt spid="_x0000_s258051"/>
                </a:ext>
                <a:ext uri="{FF2B5EF4-FFF2-40B4-BE49-F238E27FC236}">
                  <a16:creationId xmlns:a16="http://schemas.microsoft.com/office/drawing/2014/main" id="{00000000-0008-0000-1100-000003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257175</xdr:colOff>
          <xdr:row>1</xdr:row>
          <xdr:rowOff>9525</xdr:rowOff>
        </xdr:from>
        <xdr:to>
          <xdr:col>22</xdr:col>
          <xdr:colOff>66675</xdr:colOff>
          <xdr:row>4</xdr:row>
          <xdr:rowOff>114300</xdr:rowOff>
        </xdr:to>
        <xdr:sp macro="" textlink="">
          <xdr:nvSpPr>
            <xdr:cNvPr id="258052" name="Group Box 4" hidden="1">
              <a:extLst>
                <a:ext uri="{63B3BB69-23CF-44E3-9099-C40C66FF867C}">
                  <a14:compatExt spid="_x0000_s258052"/>
                </a:ext>
                <a:ext uri="{FF2B5EF4-FFF2-40B4-BE49-F238E27FC236}">
                  <a16:creationId xmlns:a16="http://schemas.microsoft.com/office/drawing/2014/main" id="{00000000-0008-0000-1100-000004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2</xdr:row>
          <xdr:rowOff>133350</xdr:rowOff>
        </xdr:from>
        <xdr:to>
          <xdr:col>19</xdr:col>
          <xdr:colOff>514350</xdr:colOff>
          <xdr:row>4</xdr:row>
          <xdr:rowOff>19050</xdr:rowOff>
        </xdr:to>
        <xdr:sp macro="" textlink="">
          <xdr:nvSpPr>
            <xdr:cNvPr id="258053" name="Option Button 5" hidden="1">
              <a:extLst>
                <a:ext uri="{63B3BB69-23CF-44E3-9099-C40C66FF867C}">
                  <a14:compatExt spid="_x0000_s258053"/>
                </a:ext>
                <a:ext uri="{FF2B5EF4-FFF2-40B4-BE49-F238E27FC236}">
                  <a16:creationId xmlns:a16="http://schemas.microsoft.com/office/drawing/2014/main" id="{00000000-0008-0000-1100-000005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190500</xdr:colOff>
          <xdr:row>2</xdr:row>
          <xdr:rowOff>161925</xdr:rowOff>
        </xdr:from>
        <xdr:to>
          <xdr:col>21</xdr:col>
          <xdr:colOff>533400</xdr:colOff>
          <xdr:row>4</xdr:row>
          <xdr:rowOff>47625</xdr:rowOff>
        </xdr:to>
        <xdr:sp macro="" textlink="">
          <xdr:nvSpPr>
            <xdr:cNvPr id="258054" name="Option Button 6" hidden="1">
              <a:extLst>
                <a:ext uri="{63B3BB69-23CF-44E3-9099-C40C66FF867C}">
                  <a14:compatExt spid="_x0000_s258054"/>
                </a:ext>
                <a:ext uri="{FF2B5EF4-FFF2-40B4-BE49-F238E27FC236}">
                  <a16:creationId xmlns:a16="http://schemas.microsoft.com/office/drawing/2014/main" id="{00000000-0008-0000-1100-000006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</xdr:row>
          <xdr:rowOff>28575</xdr:rowOff>
        </xdr:from>
        <xdr:to>
          <xdr:col>3</xdr:col>
          <xdr:colOff>57150</xdr:colOff>
          <xdr:row>3</xdr:row>
          <xdr:rowOff>76200</xdr:rowOff>
        </xdr:to>
        <xdr:sp macro="" textlink="">
          <xdr:nvSpPr>
            <xdr:cNvPr id="258055" name="Group Box 7" hidden="1">
              <a:extLst>
                <a:ext uri="{63B3BB69-23CF-44E3-9099-C40C66FF867C}">
                  <a14:compatExt spid="_x0000_s258055"/>
                </a:ext>
                <a:ext uri="{FF2B5EF4-FFF2-40B4-BE49-F238E27FC236}">
                  <a16:creationId xmlns:a16="http://schemas.microsoft.com/office/drawing/2014/main" id="{00000000-0008-0000-1100-000007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57150</xdr:rowOff>
        </xdr:from>
        <xdr:to>
          <xdr:col>1</xdr:col>
          <xdr:colOff>38100</xdr:colOff>
          <xdr:row>3</xdr:row>
          <xdr:rowOff>47625</xdr:rowOff>
        </xdr:to>
        <xdr:sp macro="" textlink="">
          <xdr:nvSpPr>
            <xdr:cNvPr id="258056" name="Option Button 8" hidden="1">
              <a:extLst>
                <a:ext uri="{63B3BB69-23CF-44E3-9099-C40C66FF867C}">
                  <a14:compatExt spid="_x0000_s258056"/>
                </a:ext>
                <a:ext uri="{FF2B5EF4-FFF2-40B4-BE49-F238E27FC236}">
                  <a16:creationId xmlns:a16="http://schemas.microsoft.com/office/drawing/2014/main" id="{00000000-0008-0000-1100-000008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66675</xdr:rowOff>
        </xdr:from>
        <xdr:to>
          <xdr:col>2</xdr:col>
          <xdr:colOff>257175</xdr:colOff>
          <xdr:row>3</xdr:row>
          <xdr:rowOff>57150</xdr:rowOff>
        </xdr:to>
        <xdr:sp macro="" textlink="">
          <xdr:nvSpPr>
            <xdr:cNvPr id="258057" name="Option Button 9" hidden="1">
              <a:extLst>
                <a:ext uri="{63B3BB69-23CF-44E3-9099-C40C66FF867C}">
                  <a14:compatExt spid="_x0000_s258057"/>
                </a:ext>
                <a:ext uri="{FF2B5EF4-FFF2-40B4-BE49-F238E27FC236}">
                  <a16:creationId xmlns:a16="http://schemas.microsoft.com/office/drawing/2014/main" id="{00000000-0008-0000-1100-000009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542925</xdr:colOff>
          <xdr:row>11</xdr:row>
          <xdr:rowOff>57150</xdr:rowOff>
        </xdr:from>
        <xdr:to>
          <xdr:col>19</xdr:col>
          <xdr:colOff>609600</xdr:colOff>
          <xdr:row>16</xdr:row>
          <xdr:rowOff>57150</xdr:rowOff>
        </xdr:to>
        <xdr:sp macro="" textlink="">
          <xdr:nvSpPr>
            <xdr:cNvPr id="258088" name="Group Box 40" hidden="1">
              <a:extLst>
                <a:ext uri="{63B3BB69-23CF-44E3-9099-C40C66FF867C}">
                  <a14:compatExt spid="_x0000_s258088"/>
                </a:ext>
                <a:ext uri="{FF2B5EF4-FFF2-40B4-BE49-F238E27FC236}">
                  <a16:creationId xmlns:a16="http://schemas.microsoft.com/office/drawing/2014/main" id="{00000000-0008-0000-1100-000028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561975</xdr:colOff>
          <xdr:row>17</xdr:row>
          <xdr:rowOff>133350</xdr:rowOff>
        </xdr:from>
        <xdr:to>
          <xdr:col>19</xdr:col>
          <xdr:colOff>600075</xdr:colOff>
          <xdr:row>22</xdr:row>
          <xdr:rowOff>114300</xdr:rowOff>
        </xdr:to>
        <xdr:sp macro="" textlink="">
          <xdr:nvSpPr>
            <xdr:cNvPr id="258089" name="Group Box 41" hidden="1">
              <a:extLst>
                <a:ext uri="{63B3BB69-23CF-44E3-9099-C40C66FF867C}">
                  <a14:compatExt spid="_x0000_s258089"/>
                </a:ext>
                <a:ext uri="{FF2B5EF4-FFF2-40B4-BE49-F238E27FC236}">
                  <a16:creationId xmlns:a16="http://schemas.microsoft.com/office/drawing/2014/main" id="{00000000-0008-0000-1100-000029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85725</xdr:rowOff>
        </xdr:from>
        <xdr:to>
          <xdr:col>17</xdr:col>
          <xdr:colOff>800100</xdr:colOff>
          <xdr:row>14</xdr:row>
          <xdr:rowOff>123825</xdr:rowOff>
        </xdr:to>
        <xdr:sp macro="" textlink="">
          <xdr:nvSpPr>
            <xdr:cNvPr id="258090" name="Option Button 42" hidden="1">
              <a:extLst>
                <a:ext uri="{63B3BB69-23CF-44E3-9099-C40C66FF867C}">
                  <a14:compatExt spid="_x0000_s258090"/>
                </a:ext>
                <a:ext uri="{FF2B5EF4-FFF2-40B4-BE49-F238E27FC236}">
                  <a16:creationId xmlns:a16="http://schemas.microsoft.com/office/drawing/2014/main" id="{00000000-0008-0000-1100-00002A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352425</xdr:colOff>
          <xdr:row>13</xdr:row>
          <xdr:rowOff>95250</xdr:rowOff>
        </xdr:from>
        <xdr:to>
          <xdr:col>19</xdr:col>
          <xdr:colOff>180975</xdr:colOff>
          <xdr:row>14</xdr:row>
          <xdr:rowOff>133350</xdr:rowOff>
        </xdr:to>
        <xdr:sp macro="" textlink="">
          <xdr:nvSpPr>
            <xdr:cNvPr id="258091" name="Option Button 43" hidden="1">
              <a:extLst>
                <a:ext uri="{63B3BB69-23CF-44E3-9099-C40C66FF867C}">
                  <a14:compatExt spid="_x0000_s258091"/>
                </a:ext>
                <a:ext uri="{FF2B5EF4-FFF2-40B4-BE49-F238E27FC236}">
                  <a16:creationId xmlns:a16="http://schemas.microsoft.com/office/drawing/2014/main" id="{00000000-0008-0000-1100-00002B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19</xdr:row>
          <xdr:rowOff>161925</xdr:rowOff>
        </xdr:from>
        <xdr:to>
          <xdr:col>17</xdr:col>
          <xdr:colOff>800100</xdr:colOff>
          <xdr:row>20</xdr:row>
          <xdr:rowOff>200025</xdr:rowOff>
        </xdr:to>
        <xdr:sp macro="" textlink="">
          <xdr:nvSpPr>
            <xdr:cNvPr id="258092" name="Option Button 44" hidden="1">
              <a:extLst>
                <a:ext uri="{63B3BB69-23CF-44E3-9099-C40C66FF867C}">
                  <a14:compatExt spid="_x0000_s258092"/>
                </a:ext>
                <a:ext uri="{FF2B5EF4-FFF2-40B4-BE49-F238E27FC236}">
                  <a16:creationId xmlns:a16="http://schemas.microsoft.com/office/drawing/2014/main" id="{00000000-0008-0000-1100-00002C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428625</xdr:colOff>
          <xdr:row>19</xdr:row>
          <xdr:rowOff>180975</xdr:rowOff>
        </xdr:from>
        <xdr:to>
          <xdr:col>19</xdr:col>
          <xdr:colOff>219075</xdr:colOff>
          <xdr:row>21</xdr:row>
          <xdr:rowOff>9525</xdr:rowOff>
        </xdr:to>
        <xdr:sp macro="" textlink="">
          <xdr:nvSpPr>
            <xdr:cNvPr id="258093" name="Option Button 45" hidden="1">
              <a:extLst>
                <a:ext uri="{63B3BB69-23CF-44E3-9099-C40C66FF867C}">
                  <a14:compatExt spid="_x0000_s258093"/>
                </a:ext>
                <a:ext uri="{FF2B5EF4-FFF2-40B4-BE49-F238E27FC236}">
                  <a16:creationId xmlns:a16="http://schemas.microsoft.com/office/drawing/2014/main" id="{00000000-0008-0000-1100-00002D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466725</xdr:colOff>
          <xdr:row>7</xdr:row>
          <xdr:rowOff>76200</xdr:rowOff>
        </xdr:from>
        <xdr:to>
          <xdr:col>19</xdr:col>
          <xdr:colOff>600075</xdr:colOff>
          <xdr:row>10</xdr:row>
          <xdr:rowOff>38100</xdr:rowOff>
        </xdr:to>
        <xdr:sp macro="" textlink="">
          <xdr:nvSpPr>
            <xdr:cNvPr id="258096" name="Group Box 48" hidden="1">
              <a:extLst>
                <a:ext uri="{63B3BB69-23CF-44E3-9099-C40C66FF867C}">
                  <a14:compatExt spid="_x0000_s258096"/>
                </a:ext>
                <a:ext uri="{FF2B5EF4-FFF2-40B4-BE49-F238E27FC236}">
                  <a16:creationId xmlns:a16="http://schemas.microsoft.com/office/drawing/2014/main" id="{00000000-0008-0000-1100-000030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주휴일 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561975</xdr:colOff>
          <xdr:row>8</xdr:row>
          <xdr:rowOff>104775</xdr:rowOff>
        </xdr:from>
        <xdr:to>
          <xdr:col>17</xdr:col>
          <xdr:colOff>695325</xdr:colOff>
          <xdr:row>9</xdr:row>
          <xdr:rowOff>142875</xdr:rowOff>
        </xdr:to>
        <xdr:sp macro="" textlink="">
          <xdr:nvSpPr>
            <xdr:cNvPr id="258097" name="Option Button 49" hidden="1">
              <a:extLst>
                <a:ext uri="{63B3BB69-23CF-44E3-9099-C40C66FF867C}">
                  <a14:compatExt spid="_x0000_s258097"/>
                </a:ext>
                <a:ext uri="{FF2B5EF4-FFF2-40B4-BE49-F238E27FC236}">
                  <a16:creationId xmlns:a16="http://schemas.microsoft.com/office/drawing/2014/main" id="{00000000-0008-0000-1100-000031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실제 일수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790575</xdr:colOff>
          <xdr:row>8</xdr:row>
          <xdr:rowOff>114300</xdr:rowOff>
        </xdr:from>
        <xdr:to>
          <xdr:col>19</xdr:col>
          <xdr:colOff>476250</xdr:colOff>
          <xdr:row>9</xdr:row>
          <xdr:rowOff>152400</xdr:rowOff>
        </xdr:to>
        <xdr:sp macro="" textlink="">
          <xdr:nvSpPr>
            <xdr:cNvPr id="258098" name="Option Button 50" hidden="1">
              <a:extLst>
                <a:ext uri="{63B3BB69-23CF-44E3-9099-C40C66FF867C}">
                  <a14:compatExt spid="_x0000_s258098"/>
                </a:ext>
                <a:ext uri="{FF2B5EF4-FFF2-40B4-BE49-F238E27FC236}">
                  <a16:creationId xmlns:a16="http://schemas.microsoft.com/office/drawing/2014/main" id="{00000000-0008-0000-1100-000032F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해당 월(일수/7)평균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</xdr:row>
          <xdr:rowOff>0</xdr:rowOff>
        </xdr:from>
        <xdr:to>
          <xdr:col>16</xdr:col>
          <xdr:colOff>590550</xdr:colOff>
          <xdr:row>4</xdr:row>
          <xdr:rowOff>19050</xdr:rowOff>
        </xdr:to>
        <xdr:sp macro="" textlink="">
          <xdr:nvSpPr>
            <xdr:cNvPr id="294913" name="Group Box 1" hidden="1">
              <a:extLst>
                <a:ext uri="{63B3BB69-23CF-44E3-9099-C40C66FF867C}">
                  <a14:compatExt spid="_x0000_s294913"/>
                </a:ext>
                <a:ext uri="{FF2B5EF4-FFF2-40B4-BE49-F238E27FC236}">
                  <a16:creationId xmlns:a16="http://schemas.microsoft.com/office/drawing/2014/main" id="{00000000-0008-0000-1200-000001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2</xdr:row>
          <xdr:rowOff>104775</xdr:rowOff>
        </xdr:from>
        <xdr:to>
          <xdr:col>14</xdr:col>
          <xdr:colOff>885825</xdr:colOff>
          <xdr:row>3</xdr:row>
          <xdr:rowOff>95250</xdr:rowOff>
        </xdr:to>
        <xdr:sp macro="" textlink="">
          <xdr:nvSpPr>
            <xdr:cNvPr id="294914" name="Option Button 2" hidden="1">
              <a:extLst>
                <a:ext uri="{63B3BB69-23CF-44E3-9099-C40C66FF867C}">
                  <a14:compatExt spid="_x0000_s294914"/>
                </a:ext>
                <a:ext uri="{FF2B5EF4-FFF2-40B4-BE49-F238E27FC236}">
                  <a16:creationId xmlns:a16="http://schemas.microsoft.com/office/drawing/2014/main" id="{00000000-0008-0000-1200-000002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</xdr:row>
          <xdr:rowOff>104775</xdr:rowOff>
        </xdr:from>
        <xdr:to>
          <xdr:col>16</xdr:col>
          <xdr:colOff>304800</xdr:colOff>
          <xdr:row>3</xdr:row>
          <xdr:rowOff>95250</xdr:rowOff>
        </xdr:to>
        <xdr:sp macro="" textlink="">
          <xdr:nvSpPr>
            <xdr:cNvPr id="294915" name="Option Button 3" hidden="1">
              <a:extLst>
                <a:ext uri="{63B3BB69-23CF-44E3-9099-C40C66FF867C}">
                  <a14:compatExt spid="_x0000_s294915"/>
                </a:ext>
                <a:ext uri="{FF2B5EF4-FFF2-40B4-BE49-F238E27FC236}">
                  <a16:creationId xmlns:a16="http://schemas.microsoft.com/office/drawing/2014/main" id="{00000000-0008-0000-1200-000003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257175</xdr:colOff>
          <xdr:row>1</xdr:row>
          <xdr:rowOff>9525</xdr:rowOff>
        </xdr:from>
        <xdr:to>
          <xdr:col>22</xdr:col>
          <xdr:colOff>66675</xdr:colOff>
          <xdr:row>4</xdr:row>
          <xdr:rowOff>114300</xdr:rowOff>
        </xdr:to>
        <xdr:sp macro="" textlink="">
          <xdr:nvSpPr>
            <xdr:cNvPr id="294916" name="Group Box 4" hidden="1">
              <a:extLst>
                <a:ext uri="{63B3BB69-23CF-44E3-9099-C40C66FF867C}">
                  <a14:compatExt spid="_x0000_s294916"/>
                </a:ext>
                <a:ext uri="{FF2B5EF4-FFF2-40B4-BE49-F238E27FC236}">
                  <a16:creationId xmlns:a16="http://schemas.microsoft.com/office/drawing/2014/main" id="{00000000-0008-0000-1200-000004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2</xdr:row>
          <xdr:rowOff>133350</xdr:rowOff>
        </xdr:from>
        <xdr:to>
          <xdr:col>19</xdr:col>
          <xdr:colOff>514350</xdr:colOff>
          <xdr:row>4</xdr:row>
          <xdr:rowOff>19050</xdr:rowOff>
        </xdr:to>
        <xdr:sp macro="" textlink="">
          <xdr:nvSpPr>
            <xdr:cNvPr id="294917" name="Option Button 5" hidden="1">
              <a:extLst>
                <a:ext uri="{63B3BB69-23CF-44E3-9099-C40C66FF867C}">
                  <a14:compatExt spid="_x0000_s294917"/>
                </a:ext>
                <a:ext uri="{FF2B5EF4-FFF2-40B4-BE49-F238E27FC236}">
                  <a16:creationId xmlns:a16="http://schemas.microsoft.com/office/drawing/2014/main" id="{00000000-0008-0000-1200-000005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190500</xdr:colOff>
          <xdr:row>2</xdr:row>
          <xdr:rowOff>161925</xdr:rowOff>
        </xdr:from>
        <xdr:to>
          <xdr:col>21</xdr:col>
          <xdr:colOff>533400</xdr:colOff>
          <xdr:row>4</xdr:row>
          <xdr:rowOff>47625</xdr:rowOff>
        </xdr:to>
        <xdr:sp macro="" textlink="">
          <xdr:nvSpPr>
            <xdr:cNvPr id="294918" name="Option Button 6" hidden="1">
              <a:extLst>
                <a:ext uri="{63B3BB69-23CF-44E3-9099-C40C66FF867C}">
                  <a14:compatExt spid="_x0000_s294918"/>
                </a:ext>
                <a:ext uri="{FF2B5EF4-FFF2-40B4-BE49-F238E27FC236}">
                  <a16:creationId xmlns:a16="http://schemas.microsoft.com/office/drawing/2014/main" id="{00000000-0008-0000-1200-000006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</xdr:row>
          <xdr:rowOff>28575</xdr:rowOff>
        </xdr:from>
        <xdr:to>
          <xdr:col>3</xdr:col>
          <xdr:colOff>57150</xdr:colOff>
          <xdr:row>3</xdr:row>
          <xdr:rowOff>76200</xdr:rowOff>
        </xdr:to>
        <xdr:sp macro="" textlink="">
          <xdr:nvSpPr>
            <xdr:cNvPr id="294919" name="Group Box 7" hidden="1">
              <a:extLst>
                <a:ext uri="{63B3BB69-23CF-44E3-9099-C40C66FF867C}">
                  <a14:compatExt spid="_x0000_s294919"/>
                </a:ext>
                <a:ext uri="{FF2B5EF4-FFF2-40B4-BE49-F238E27FC236}">
                  <a16:creationId xmlns:a16="http://schemas.microsoft.com/office/drawing/2014/main" id="{00000000-0008-0000-1200-000007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57150</xdr:rowOff>
        </xdr:from>
        <xdr:to>
          <xdr:col>1</xdr:col>
          <xdr:colOff>38100</xdr:colOff>
          <xdr:row>3</xdr:row>
          <xdr:rowOff>47625</xdr:rowOff>
        </xdr:to>
        <xdr:sp macro="" textlink="">
          <xdr:nvSpPr>
            <xdr:cNvPr id="294920" name="Option Button 8" hidden="1">
              <a:extLst>
                <a:ext uri="{63B3BB69-23CF-44E3-9099-C40C66FF867C}">
                  <a14:compatExt spid="_x0000_s294920"/>
                </a:ext>
                <a:ext uri="{FF2B5EF4-FFF2-40B4-BE49-F238E27FC236}">
                  <a16:creationId xmlns:a16="http://schemas.microsoft.com/office/drawing/2014/main" id="{00000000-0008-0000-1200-000008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66675</xdr:rowOff>
        </xdr:from>
        <xdr:to>
          <xdr:col>2</xdr:col>
          <xdr:colOff>257175</xdr:colOff>
          <xdr:row>3</xdr:row>
          <xdr:rowOff>57150</xdr:rowOff>
        </xdr:to>
        <xdr:sp macro="" textlink="">
          <xdr:nvSpPr>
            <xdr:cNvPr id="294921" name="Option Button 9" hidden="1">
              <a:extLst>
                <a:ext uri="{63B3BB69-23CF-44E3-9099-C40C66FF867C}">
                  <a14:compatExt spid="_x0000_s294921"/>
                </a:ext>
                <a:ext uri="{FF2B5EF4-FFF2-40B4-BE49-F238E27FC236}">
                  <a16:creationId xmlns:a16="http://schemas.microsoft.com/office/drawing/2014/main" id="{00000000-0008-0000-1200-000009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542925</xdr:colOff>
          <xdr:row>11</xdr:row>
          <xdr:rowOff>57150</xdr:rowOff>
        </xdr:from>
        <xdr:to>
          <xdr:col>19</xdr:col>
          <xdr:colOff>609600</xdr:colOff>
          <xdr:row>16</xdr:row>
          <xdr:rowOff>57150</xdr:rowOff>
        </xdr:to>
        <xdr:sp macro="" textlink="">
          <xdr:nvSpPr>
            <xdr:cNvPr id="294922" name="Group Box 10" hidden="1">
              <a:extLst>
                <a:ext uri="{63B3BB69-23CF-44E3-9099-C40C66FF867C}">
                  <a14:compatExt spid="_x0000_s294922"/>
                </a:ext>
                <a:ext uri="{FF2B5EF4-FFF2-40B4-BE49-F238E27FC236}">
                  <a16:creationId xmlns:a16="http://schemas.microsoft.com/office/drawing/2014/main" id="{00000000-0008-0000-1200-00000A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561975</xdr:colOff>
          <xdr:row>17</xdr:row>
          <xdr:rowOff>133350</xdr:rowOff>
        </xdr:from>
        <xdr:to>
          <xdr:col>19</xdr:col>
          <xdr:colOff>600075</xdr:colOff>
          <xdr:row>22</xdr:row>
          <xdr:rowOff>114300</xdr:rowOff>
        </xdr:to>
        <xdr:sp macro="" textlink="">
          <xdr:nvSpPr>
            <xdr:cNvPr id="294923" name="Group Box 11" hidden="1">
              <a:extLst>
                <a:ext uri="{63B3BB69-23CF-44E3-9099-C40C66FF867C}">
                  <a14:compatExt spid="_x0000_s294923"/>
                </a:ext>
                <a:ext uri="{FF2B5EF4-FFF2-40B4-BE49-F238E27FC236}">
                  <a16:creationId xmlns:a16="http://schemas.microsoft.com/office/drawing/2014/main" id="{00000000-0008-0000-1200-00000B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85725</xdr:rowOff>
        </xdr:from>
        <xdr:to>
          <xdr:col>17</xdr:col>
          <xdr:colOff>800100</xdr:colOff>
          <xdr:row>14</xdr:row>
          <xdr:rowOff>123825</xdr:rowOff>
        </xdr:to>
        <xdr:sp macro="" textlink="">
          <xdr:nvSpPr>
            <xdr:cNvPr id="294924" name="Option Button 12" hidden="1">
              <a:extLst>
                <a:ext uri="{63B3BB69-23CF-44E3-9099-C40C66FF867C}">
                  <a14:compatExt spid="_x0000_s294924"/>
                </a:ext>
                <a:ext uri="{FF2B5EF4-FFF2-40B4-BE49-F238E27FC236}">
                  <a16:creationId xmlns:a16="http://schemas.microsoft.com/office/drawing/2014/main" id="{00000000-0008-0000-1200-00000C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352425</xdr:colOff>
          <xdr:row>13</xdr:row>
          <xdr:rowOff>95250</xdr:rowOff>
        </xdr:from>
        <xdr:to>
          <xdr:col>19</xdr:col>
          <xdr:colOff>180975</xdr:colOff>
          <xdr:row>14</xdr:row>
          <xdr:rowOff>133350</xdr:rowOff>
        </xdr:to>
        <xdr:sp macro="" textlink="">
          <xdr:nvSpPr>
            <xdr:cNvPr id="294925" name="Option Button 13" hidden="1">
              <a:extLst>
                <a:ext uri="{63B3BB69-23CF-44E3-9099-C40C66FF867C}">
                  <a14:compatExt spid="_x0000_s294925"/>
                </a:ext>
                <a:ext uri="{FF2B5EF4-FFF2-40B4-BE49-F238E27FC236}">
                  <a16:creationId xmlns:a16="http://schemas.microsoft.com/office/drawing/2014/main" id="{00000000-0008-0000-1200-00000D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19</xdr:row>
          <xdr:rowOff>161925</xdr:rowOff>
        </xdr:from>
        <xdr:to>
          <xdr:col>17</xdr:col>
          <xdr:colOff>800100</xdr:colOff>
          <xdr:row>20</xdr:row>
          <xdr:rowOff>200025</xdr:rowOff>
        </xdr:to>
        <xdr:sp macro="" textlink="">
          <xdr:nvSpPr>
            <xdr:cNvPr id="294926" name="Option Button 14" hidden="1">
              <a:extLst>
                <a:ext uri="{63B3BB69-23CF-44E3-9099-C40C66FF867C}">
                  <a14:compatExt spid="_x0000_s294926"/>
                </a:ext>
                <a:ext uri="{FF2B5EF4-FFF2-40B4-BE49-F238E27FC236}">
                  <a16:creationId xmlns:a16="http://schemas.microsoft.com/office/drawing/2014/main" id="{00000000-0008-0000-1200-00000E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428625</xdr:colOff>
          <xdr:row>19</xdr:row>
          <xdr:rowOff>180975</xdr:rowOff>
        </xdr:from>
        <xdr:to>
          <xdr:col>19</xdr:col>
          <xdr:colOff>219075</xdr:colOff>
          <xdr:row>21</xdr:row>
          <xdr:rowOff>9525</xdr:rowOff>
        </xdr:to>
        <xdr:sp macro="" textlink="">
          <xdr:nvSpPr>
            <xdr:cNvPr id="294927" name="Option Button 15" hidden="1">
              <a:extLst>
                <a:ext uri="{63B3BB69-23CF-44E3-9099-C40C66FF867C}">
                  <a14:compatExt spid="_x0000_s294927"/>
                </a:ext>
                <a:ext uri="{FF2B5EF4-FFF2-40B4-BE49-F238E27FC236}">
                  <a16:creationId xmlns:a16="http://schemas.microsoft.com/office/drawing/2014/main" id="{00000000-0008-0000-1200-00000F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542925</xdr:colOff>
          <xdr:row>7</xdr:row>
          <xdr:rowOff>66675</xdr:rowOff>
        </xdr:from>
        <xdr:to>
          <xdr:col>19</xdr:col>
          <xdr:colOff>609600</xdr:colOff>
          <xdr:row>10</xdr:row>
          <xdr:rowOff>85725</xdr:rowOff>
        </xdr:to>
        <xdr:sp macro="" textlink="">
          <xdr:nvSpPr>
            <xdr:cNvPr id="294928" name="Group Box 16" hidden="1">
              <a:extLst>
                <a:ext uri="{63B3BB69-23CF-44E3-9099-C40C66FF867C}">
                  <a14:compatExt spid="_x0000_s294928"/>
                </a:ext>
                <a:ext uri="{FF2B5EF4-FFF2-40B4-BE49-F238E27FC236}">
                  <a16:creationId xmlns:a16="http://schemas.microsoft.com/office/drawing/2014/main" id="{00000000-0008-0000-1200-000010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주휴일 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</xdr:row>
          <xdr:rowOff>133350</xdr:rowOff>
        </xdr:from>
        <xdr:to>
          <xdr:col>17</xdr:col>
          <xdr:colOff>752475</xdr:colOff>
          <xdr:row>9</xdr:row>
          <xdr:rowOff>171450</xdr:rowOff>
        </xdr:to>
        <xdr:sp macro="" textlink="">
          <xdr:nvSpPr>
            <xdr:cNvPr id="294929" name="Option Button 17" hidden="1">
              <a:extLst>
                <a:ext uri="{63B3BB69-23CF-44E3-9099-C40C66FF867C}">
                  <a14:compatExt spid="_x0000_s294929"/>
                </a:ext>
                <a:ext uri="{FF2B5EF4-FFF2-40B4-BE49-F238E27FC236}">
                  <a16:creationId xmlns:a16="http://schemas.microsoft.com/office/drawing/2014/main" id="{00000000-0008-0000-1200-000011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실제 일수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8</xdr:row>
          <xdr:rowOff>133350</xdr:rowOff>
        </xdr:from>
        <xdr:to>
          <xdr:col>19</xdr:col>
          <xdr:colOff>485775</xdr:colOff>
          <xdr:row>9</xdr:row>
          <xdr:rowOff>171450</xdr:rowOff>
        </xdr:to>
        <xdr:sp macro="" textlink="">
          <xdr:nvSpPr>
            <xdr:cNvPr id="294930" name="Option Button 18" hidden="1">
              <a:extLst>
                <a:ext uri="{63B3BB69-23CF-44E3-9099-C40C66FF867C}">
                  <a14:compatExt spid="_x0000_s294930"/>
                </a:ext>
                <a:ext uri="{FF2B5EF4-FFF2-40B4-BE49-F238E27FC236}">
                  <a16:creationId xmlns:a16="http://schemas.microsoft.com/office/drawing/2014/main" id="{00000000-0008-0000-1200-0000128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해당 월(일수/7) 평균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</xdr:row>
          <xdr:rowOff>0</xdr:rowOff>
        </xdr:from>
        <xdr:to>
          <xdr:col>16</xdr:col>
          <xdr:colOff>590550</xdr:colOff>
          <xdr:row>4</xdr:row>
          <xdr:rowOff>19050</xdr:rowOff>
        </xdr:to>
        <xdr:sp macro="" textlink="">
          <xdr:nvSpPr>
            <xdr:cNvPr id="261121" name="Group Box 1" hidden="1">
              <a:extLst>
                <a:ext uri="{63B3BB69-23CF-44E3-9099-C40C66FF867C}">
                  <a14:compatExt spid="_x0000_s261121"/>
                </a:ext>
                <a:ext uri="{FF2B5EF4-FFF2-40B4-BE49-F238E27FC236}">
                  <a16:creationId xmlns:a16="http://schemas.microsoft.com/office/drawing/2014/main" id="{00000000-0008-0000-1300-000001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2</xdr:row>
          <xdr:rowOff>104775</xdr:rowOff>
        </xdr:from>
        <xdr:to>
          <xdr:col>14</xdr:col>
          <xdr:colOff>885825</xdr:colOff>
          <xdr:row>3</xdr:row>
          <xdr:rowOff>95250</xdr:rowOff>
        </xdr:to>
        <xdr:sp macro="" textlink="">
          <xdr:nvSpPr>
            <xdr:cNvPr id="261122" name="Option Button 2" hidden="1">
              <a:extLst>
                <a:ext uri="{63B3BB69-23CF-44E3-9099-C40C66FF867C}">
                  <a14:compatExt spid="_x0000_s261122"/>
                </a:ext>
                <a:ext uri="{FF2B5EF4-FFF2-40B4-BE49-F238E27FC236}">
                  <a16:creationId xmlns:a16="http://schemas.microsoft.com/office/drawing/2014/main" id="{00000000-0008-0000-1300-000002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</xdr:row>
          <xdr:rowOff>104775</xdr:rowOff>
        </xdr:from>
        <xdr:to>
          <xdr:col>16</xdr:col>
          <xdr:colOff>304800</xdr:colOff>
          <xdr:row>3</xdr:row>
          <xdr:rowOff>95250</xdr:rowOff>
        </xdr:to>
        <xdr:sp macro="" textlink="">
          <xdr:nvSpPr>
            <xdr:cNvPr id="261123" name="Option Button 3" hidden="1">
              <a:extLst>
                <a:ext uri="{63B3BB69-23CF-44E3-9099-C40C66FF867C}">
                  <a14:compatExt spid="_x0000_s261123"/>
                </a:ext>
                <a:ext uri="{FF2B5EF4-FFF2-40B4-BE49-F238E27FC236}">
                  <a16:creationId xmlns:a16="http://schemas.microsoft.com/office/drawing/2014/main" id="{00000000-0008-0000-1300-000003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257175</xdr:colOff>
          <xdr:row>1</xdr:row>
          <xdr:rowOff>9525</xdr:rowOff>
        </xdr:from>
        <xdr:to>
          <xdr:col>22</xdr:col>
          <xdr:colOff>66675</xdr:colOff>
          <xdr:row>4</xdr:row>
          <xdr:rowOff>114300</xdr:rowOff>
        </xdr:to>
        <xdr:sp macro="" textlink="">
          <xdr:nvSpPr>
            <xdr:cNvPr id="261124" name="Group Box 4" hidden="1">
              <a:extLst>
                <a:ext uri="{63B3BB69-23CF-44E3-9099-C40C66FF867C}">
                  <a14:compatExt spid="_x0000_s261124"/>
                </a:ext>
                <a:ext uri="{FF2B5EF4-FFF2-40B4-BE49-F238E27FC236}">
                  <a16:creationId xmlns:a16="http://schemas.microsoft.com/office/drawing/2014/main" id="{00000000-0008-0000-1300-000004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2</xdr:row>
          <xdr:rowOff>133350</xdr:rowOff>
        </xdr:from>
        <xdr:to>
          <xdr:col>19</xdr:col>
          <xdr:colOff>514350</xdr:colOff>
          <xdr:row>4</xdr:row>
          <xdr:rowOff>19050</xdr:rowOff>
        </xdr:to>
        <xdr:sp macro="" textlink="">
          <xdr:nvSpPr>
            <xdr:cNvPr id="261125" name="Option Button 5" hidden="1">
              <a:extLst>
                <a:ext uri="{63B3BB69-23CF-44E3-9099-C40C66FF867C}">
                  <a14:compatExt spid="_x0000_s261125"/>
                </a:ext>
                <a:ext uri="{FF2B5EF4-FFF2-40B4-BE49-F238E27FC236}">
                  <a16:creationId xmlns:a16="http://schemas.microsoft.com/office/drawing/2014/main" id="{00000000-0008-0000-1300-000005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190500</xdr:colOff>
          <xdr:row>2</xdr:row>
          <xdr:rowOff>161925</xdr:rowOff>
        </xdr:from>
        <xdr:to>
          <xdr:col>21</xdr:col>
          <xdr:colOff>533400</xdr:colOff>
          <xdr:row>4</xdr:row>
          <xdr:rowOff>47625</xdr:rowOff>
        </xdr:to>
        <xdr:sp macro="" textlink="">
          <xdr:nvSpPr>
            <xdr:cNvPr id="261126" name="Option Button 6" hidden="1">
              <a:extLst>
                <a:ext uri="{63B3BB69-23CF-44E3-9099-C40C66FF867C}">
                  <a14:compatExt spid="_x0000_s261126"/>
                </a:ext>
                <a:ext uri="{FF2B5EF4-FFF2-40B4-BE49-F238E27FC236}">
                  <a16:creationId xmlns:a16="http://schemas.microsoft.com/office/drawing/2014/main" id="{00000000-0008-0000-1300-000006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</xdr:row>
          <xdr:rowOff>28575</xdr:rowOff>
        </xdr:from>
        <xdr:to>
          <xdr:col>3</xdr:col>
          <xdr:colOff>57150</xdr:colOff>
          <xdr:row>3</xdr:row>
          <xdr:rowOff>76200</xdr:rowOff>
        </xdr:to>
        <xdr:sp macro="" textlink="">
          <xdr:nvSpPr>
            <xdr:cNvPr id="261127" name="Group Box 7" hidden="1">
              <a:extLst>
                <a:ext uri="{63B3BB69-23CF-44E3-9099-C40C66FF867C}">
                  <a14:compatExt spid="_x0000_s261127"/>
                </a:ext>
                <a:ext uri="{FF2B5EF4-FFF2-40B4-BE49-F238E27FC236}">
                  <a16:creationId xmlns:a16="http://schemas.microsoft.com/office/drawing/2014/main" id="{00000000-0008-0000-1300-000007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57150</xdr:rowOff>
        </xdr:from>
        <xdr:to>
          <xdr:col>1</xdr:col>
          <xdr:colOff>38100</xdr:colOff>
          <xdr:row>3</xdr:row>
          <xdr:rowOff>47625</xdr:rowOff>
        </xdr:to>
        <xdr:sp macro="" textlink="">
          <xdr:nvSpPr>
            <xdr:cNvPr id="261128" name="Option Button 8" hidden="1">
              <a:extLst>
                <a:ext uri="{63B3BB69-23CF-44E3-9099-C40C66FF867C}">
                  <a14:compatExt spid="_x0000_s261128"/>
                </a:ext>
                <a:ext uri="{FF2B5EF4-FFF2-40B4-BE49-F238E27FC236}">
                  <a16:creationId xmlns:a16="http://schemas.microsoft.com/office/drawing/2014/main" id="{00000000-0008-0000-1300-000008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66675</xdr:rowOff>
        </xdr:from>
        <xdr:to>
          <xdr:col>2</xdr:col>
          <xdr:colOff>257175</xdr:colOff>
          <xdr:row>3</xdr:row>
          <xdr:rowOff>57150</xdr:rowOff>
        </xdr:to>
        <xdr:sp macro="" textlink="">
          <xdr:nvSpPr>
            <xdr:cNvPr id="261129" name="Option Button 9" hidden="1">
              <a:extLst>
                <a:ext uri="{63B3BB69-23CF-44E3-9099-C40C66FF867C}">
                  <a14:compatExt spid="_x0000_s261129"/>
                </a:ext>
                <a:ext uri="{FF2B5EF4-FFF2-40B4-BE49-F238E27FC236}">
                  <a16:creationId xmlns:a16="http://schemas.microsoft.com/office/drawing/2014/main" id="{00000000-0008-0000-1300-000009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542925</xdr:colOff>
          <xdr:row>11</xdr:row>
          <xdr:rowOff>57150</xdr:rowOff>
        </xdr:from>
        <xdr:to>
          <xdr:col>19</xdr:col>
          <xdr:colOff>609600</xdr:colOff>
          <xdr:row>16</xdr:row>
          <xdr:rowOff>57150</xdr:rowOff>
        </xdr:to>
        <xdr:sp macro="" textlink="">
          <xdr:nvSpPr>
            <xdr:cNvPr id="261130" name="Group Box 10" hidden="1">
              <a:extLst>
                <a:ext uri="{63B3BB69-23CF-44E3-9099-C40C66FF867C}">
                  <a14:compatExt spid="_x0000_s261130"/>
                </a:ext>
                <a:ext uri="{FF2B5EF4-FFF2-40B4-BE49-F238E27FC236}">
                  <a16:creationId xmlns:a16="http://schemas.microsoft.com/office/drawing/2014/main" id="{00000000-0008-0000-1300-00000A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561975</xdr:colOff>
          <xdr:row>17</xdr:row>
          <xdr:rowOff>133350</xdr:rowOff>
        </xdr:from>
        <xdr:to>
          <xdr:col>19</xdr:col>
          <xdr:colOff>600075</xdr:colOff>
          <xdr:row>22</xdr:row>
          <xdr:rowOff>114300</xdr:rowOff>
        </xdr:to>
        <xdr:sp macro="" textlink="">
          <xdr:nvSpPr>
            <xdr:cNvPr id="261131" name="Group Box 11" hidden="1">
              <a:extLst>
                <a:ext uri="{63B3BB69-23CF-44E3-9099-C40C66FF867C}">
                  <a14:compatExt spid="_x0000_s261131"/>
                </a:ext>
                <a:ext uri="{FF2B5EF4-FFF2-40B4-BE49-F238E27FC236}">
                  <a16:creationId xmlns:a16="http://schemas.microsoft.com/office/drawing/2014/main" id="{00000000-0008-0000-1300-00000B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85725</xdr:rowOff>
        </xdr:from>
        <xdr:to>
          <xdr:col>17</xdr:col>
          <xdr:colOff>800100</xdr:colOff>
          <xdr:row>14</xdr:row>
          <xdr:rowOff>123825</xdr:rowOff>
        </xdr:to>
        <xdr:sp macro="" textlink="">
          <xdr:nvSpPr>
            <xdr:cNvPr id="261132" name="Option Button 12" hidden="1">
              <a:extLst>
                <a:ext uri="{63B3BB69-23CF-44E3-9099-C40C66FF867C}">
                  <a14:compatExt spid="_x0000_s261132"/>
                </a:ext>
                <a:ext uri="{FF2B5EF4-FFF2-40B4-BE49-F238E27FC236}">
                  <a16:creationId xmlns:a16="http://schemas.microsoft.com/office/drawing/2014/main" id="{00000000-0008-0000-1300-00000C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352425</xdr:colOff>
          <xdr:row>13</xdr:row>
          <xdr:rowOff>95250</xdr:rowOff>
        </xdr:from>
        <xdr:to>
          <xdr:col>19</xdr:col>
          <xdr:colOff>180975</xdr:colOff>
          <xdr:row>14</xdr:row>
          <xdr:rowOff>133350</xdr:rowOff>
        </xdr:to>
        <xdr:sp macro="" textlink="">
          <xdr:nvSpPr>
            <xdr:cNvPr id="261133" name="Option Button 13" hidden="1">
              <a:extLst>
                <a:ext uri="{63B3BB69-23CF-44E3-9099-C40C66FF867C}">
                  <a14:compatExt spid="_x0000_s261133"/>
                </a:ext>
                <a:ext uri="{FF2B5EF4-FFF2-40B4-BE49-F238E27FC236}">
                  <a16:creationId xmlns:a16="http://schemas.microsoft.com/office/drawing/2014/main" id="{00000000-0008-0000-1300-00000D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19</xdr:row>
          <xdr:rowOff>161925</xdr:rowOff>
        </xdr:from>
        <xdr:to>
          <xdr:col>17</xdr:col>
          <xdr:colOff>800100</xdr:colOff>
          <xdr:row>20</xdr:row>
          <xdr:rowOff>200025</xdr:rowOff>
        </xdr:to>
        <xdr:sp macro="" textlink="">
          <xdr:nvSpPr>
            <xdr:cNvPr id="261134" name="Option Button 14" hidden="1">
              <a:extLst>
                <a:ext uri="{63B3BB69-23CF-44E3-9099-C40C66FF867C}">
                  <a14:compatExt spid="_x0000_s261134"/>
                </a:ext>
                <a:ext uri="{FF2B5EF4-FFF2-40B4-BE49-F238E27FC236}">
                  <a16:creationId xmlns:a16="http://schemas.microsoft.com/office/drawing/2014/main" id="{00000000-0008-0000-1300-00000E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428625</xdr:colOff>
          <xdr:row>19</xdr:row>
          <xdr:rowOff>180975</xdr:rowOff>
        </xdr:from>
        <xdr:to>
          <xdr:col>19</xdr:col>
          <xdr:colOff>219075</xdr:colOff>
          <xdr:row>21</xdr:row>
          <xdr:rowOff>9525</xdr:rowOff>
        </xdr:to>
        <xdr:sp macro="" textlink="">
          <xdr:nvSpPr>
            <xdr:cNvPr id="261135" name="Option Button 15" hidden="1">
              <a:extLst>
                <a:ext uri="{63B3BB69-23CF-44E3-9099-C40C66FF867C}">
                  <a14:compatExt spid="_x0000_s261135"/>
                </a:ext>
                <a:ext uri="{FF2B5EF4-FFF2-40B4-BE49-F238E27FC236}">
                  <a16:creationId xmlns:a16="http://schemas.microsoft.com/office/drawing/2014/main" id="{00000000-0008-0000-1300-00000F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542925</xdr:colOff>
          <xdr:row>7</xdr:row>
          <xdr:rowOff>66675</xdr:rowOff>
        </xdr:from>
        <xdr:to>
          <xdr:col>19</xdr:col>
          <xdr:colOff>609600</xdr:colOff>
          <xdr:row>10</xdr:row>
          <xdr:rowOff>85725</xdr:rowOff>
        </xdr:to>
        <xdr:sp macro="" textlink="">
          <xdr:nvSpPr>
            <xdr:cNvPr id="261165" name="Group Box 45" hidden="1">
              <a:extLst>
                <a:ext uri="{63B3BB69-23CF-44E3-9099-C40C66FF867C}">
                  <a14:compatExt spid="_x0000_s261165"/>
                </a:ext>
                <a:ext uri="{FF2B5EF4-FFF2-40B4-BE49-F238E27FC236}">
                  <a16:creationId xmlns:a16="http://schemas.microsoft.com/office/drawing/2014/main" id="{00000000-0008-0000-1300-00002D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주휴일 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</xdr:row>
          <xdr:rowOff>133350</xdr:rowOff>
        </xdr:from>
        <xdr:to>
          <xdr:col>17</xdr:col>
          <xdr:colOff>752475</xdr:colOff>
          <xdr:row>9</xdr:row>
          <xdr:rowOff>171450</xdr:rowOff>
        </xdr:to>
        <xdr:sp macro="" textlink="">
          <xdr:nvSpPr>
            <xdr:cNvPr id="261166" name="Option Button 46" hidden="1">
              <a:extLst>
                <a:ext uri="{63B3BB69-23CF-44E3-9099-C40C66FF867C}">
                  <a14:compatExt spid="_x0000_s261166"/>
                </a:ext>
                <a:ext uri="{FF2B5EF4-FFF2-40B4-BE49-F238E27FC236}">
                  <a16:creationId xmlns:a16="http://schemas.microsoft.com/office/drawing/2014/main" id="{00000000-0008-0000-1300-00002E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실제 일수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8</xdr:row>
          <xdr:rowOff>133350</xdr:rowOff>
        </xdr:from>
        <xdr:to>
          <xdr:col>19</xdr:col>
          <xdr:colOff>485775</xdr:colOff>
          <xdr:row>9</xdr:row>
          <xdr:rowOff>171450</xdr:rowOff>
        </xdr:to>
        <xdr:sp macro="" textlink="">
          <xdr:nvSpPr>
            <xdr:cNvPr id="261167" name="Option Button 47" hidden="1">
              <a:extLst>
                <a:ext uri="{63B3BB69-23CF-44E3-9099-C40C66FF867C}">
                  <a14:compatExt spid="_x0000_s261167"/>
                </a:ext>
                <a:ext uri="{FF2B5EF4-FFF2-40B4-BE49-F238E27FC236}">
                  <a16:creationId xmlns:a16="http://schemas.microsoft.com/office/drawing/2014/main" id="{00000000-0008-0000-1300-00002FF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해당 월(일수/7) 평균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0</xdr:colOff>
      <xdr:row>43</xdr:row>
      <xdr:rowOff>0</xdr:rowOff>
    </xdr:from>
    <xdr:to>
      <xdr:col>13</xdr:col>
      <xdr:colOff>790865</xdr:colOff>
      <xdr:row>50</xdr:row>
      <xdr:rowOff>47836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8810625"/>
          <a:ext cx="2076740" cy="1514686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</xdr:row>
      <xdr:rowOff>180975</xdr:rowOff>
    </xdr:from>
    <xdr:to>
      <xdr:col>11</xdr:col>
      <xdr:colOff>819150</xdr:colOff>
      <xdr:row>42</xdr:row>
      <xdr:rowOff>171450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CxnSpPr/>
      </xdr:nvCxnSpPr>
      <xdr:spPr>
        <a:xfrm>
          <a:off x="3733800" y="5915025"/>
          <a:ext cx="4505325" cy="285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419100</xdr:colOff>
      <xdr:row>75</xdr:row>
      <xdr:rowOff>200025</xdr:rowOff>
    </xdr:from>
    <xdr:to>
      <xdr:col>33</xdr:col>
      <xdr:colOff>20047</xdr:colOff>
      <xdr:row>112</xdr:row>
      <xdr:rowOff>29633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15963900"/>
          <a:ext cx="7144747" cy="758295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77</xdr:row>
      <xdr:rowOff>0</xdr:rowOff>
    </xdr:from>
    <xdr:to>
      <xdr:col>44</xdr:col>
      <xdr:colOff>305800</xdr:colOff>
      <xdr:row>110</xdr:row>
      <xdr:rowOff>29544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0" y="16182975"/>
          <a:ext cx="7163800" cy="694469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114</xdr:row>
      <xdr:rowOff>0</xdr:rowOff>
    </xdr:from>
    <xdr:to>
      <xdr:col>33</xdr:col>
      <xdr:colOff>296273</xdr:colOff>
      <xdr:row>147</xdr:row>
      <xdr:rowOff>77176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23936325"/>
          <a:ext cx="7154273" cy="6992326"/>
        </a:xfrm>
        <a:prstGeom prst="rect">
          <a:avLst/>
        </a:prstGeom>
      </xdr:spPr>
    </xdr:pic>
    <xdr:clientData/>
  </xdr:twoCellAnchor>
  <xdr:twoCellAnchor editAs="oneCell">
    <xdr:from>
      <xdr:col>33</xdr:col>
      <xdr:colOff>657225</xdr:colOff>
      <xdr:row>113</xdr:row>
      <xdr:rowOff>76200</xdr:rowOff>
    </xdr:from>
    <xdr:to>
      <xdr:col>44</xdr:col>
      <xdr:colOff>315330</xdr:colOff>
      <xdr:row>140</xdr:row>
      <xdr:rowOff>172253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8625" y="23802975"/>
          <a:ext cx="7201905" cy="5753903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78</xdr:row>
      <xdr:rowOff>0</xdr:rowOff>
    </xdr:from>
    <xdr:to>
      <xdr:col>55</xdr:col>
      <xdr:colOff>582063</xdr:colOff>
      <xdr:row>112</xdr:row>
      <xdr:rowOff>994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0" y="16392525"/>
          <a:ext cx="7440063" cy="712569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10</xdr:row>
      <xdr:rowOff>0</xdr:rowOff>
    </xdr:from>
    <xdr:to>
      <xdr:col>64</xdr:col>
      <xdr:colOff>58188</xdr:colOff>
      <xdr:row>48</xdr:row>
      <xdr:rowOff>10519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0" y="2181225"/>
          <a:ext cx="7440063" cy="71256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0</xdr:colOff>
      <xdr:row>4</xdr:row>
      <xdr:rowOff>28575</xdr:rowOff>
    </xdr:from>
    <xdr:to>
      <xdr:col>93</xdr:col>
      <xdr:colOff>0</xdr:colOff>
      <xdr:row>53</xdr:row>
      <xdr:rowOff>174925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981075"/>
          <a:ext cx="7772400" cy="93951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200025</xdr:colOff>
      <xdr:row>17</xdr:row>
      <xdr:rowOff>200025</xdr:rowOff>
    </xdr:from>
    <xdr:to>
      <xdr:col>29</xdr:col>
      <xdr:colOff>352425</xdr:colOff>
      <xdr:row>43</xdr:row>
      <xdr:rowOff>58816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1038225"/>
          <a:ext cx="7772400" cy="53070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11</xdr:col>
      <xdr:colOff>457200</xdr:colOff>
      <xdr:row>9</xdr:row>
      <xdr:rowOff>145182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0"/>
          <a:ext cx="7772400" cy="2031132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476250</xdr:colOff>
      <xdr:row>45</xdr:row>
      <xdr:rowOff>28575</xdr:rowOff>
    </xdr:from>
    <xdr:to>
      <xdr:col>28</xdr:col>
      <xdr:colOff>552450</xdr:colOff>
      <xdr:row>68</xdr:row>
      <xdr:rowOff>202120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0" y="9458325"/>
          <a:ext cx="7772400" cy="50408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13</xdr:row>
      <xdr:rowOff>180975</xdr:rowOff>
    </xdr:from>
    <xdr:to>
      <xdr:col>31</xdr:col>
      <xdr:colOff>228600</xdr:colOff>
      <xdr:row>34</xdr:row>
      <xdr:rowOff>162993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2914650"/>
          <a:ext cx="7772400" cy="438256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36</xdr:row>
      <xdr:rowOff>0</xdr:rowOff>
    </xdr:from>
    <xdr:to>
      <xdr:col>31</xdr:col>
      <xdr:colOff>228600</xdr:colOff>
      <xdr:row>56</xdr:row>
      <xdr:rowOff>191568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7553325"/>
          <a:ext cx="7772400" cy="438256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58</xdr:row>
      <xdr:rowOff>0</xdr:rowOff>
    </xdr:from>
    <xdr:to>
      <xdr:col>31</xdr:col>
      <xdr:colOff>228600</xdr:colOff>
      <xdr:row>78</xdr:row>
      <xdr:rowOff>191568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12163425"/>
          <a:ext cx="7772400" cy="438256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80</xdr:row>
      <xdr:rowOff>0</xdr:rowOff>
    </xdr:from>
    <xdr:to>
      <xdr:col>31</xdr:col>
      <xdr:colOff>228600</xdr:colOff>
      <xdr:row>100</xdr:row>
      <xdr:rowOff>191568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16773525"/>
          <a:ext cx="7772400" cy="4382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32</xdr:col>
      <xdr:colOff>10579</xdr:colOff>
      <xdr:row>23</xdr:row>
      <xdr:rowOff>67271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9100" y="676275"/>
          <a:ext cx="7554379" cy="42677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29</xdr:row>
      <xdr:rowOff>0</xdr:rowOff>
    </xdr:from>
    <xdr:to>
      <xdr:col>30</xdr:col>
      <xdr:colOff>228600</xdr:colOff>
      <xdr:row>58</xdr:row>
      <xdr:rowOff>140969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150" y="6172200"/>
          <a:ext cx="7772400" cy="62179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657225</xdr:colOff>
      <xdr:row>40</xdr:row>
      <xdr:rowOff>85725</xdr:rowOff>
    </xdr:from>
    <xdr:to>
      <xdr:col>31</xdr:col>
      <xdr:colOff>224266</xdr:colOff>
      <xdr:row>88</xdr:row>
      <xdr:rowOff>85725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4076700"/>
          <a:ext cx="7110841" cy="10058400"/>
        </a:xfrm>
        <a:prstGeom prst="rect">
          <a:avLst/>
        </a:prstGeom>
      </xdr:spPr>
    </xdr:pic>
    <xdr:clientData/>
  </xdr:twoCellAnchor>
  <xdr:twoCellAnchor>
    <xdr:from>
      <xdr:col>7</xdr:col>
      <xdr:colOff>333375</xdr:colOff>
      <xdr:row>44</xdr:row>
      <xdr:rowOff>200025</xdr:rowOff>
    </xdr:from>
    <xdr:to>
      <xdr:col>7</xdr:col>
      <xdr:colOff>333375</xdr:colOff>
      <xdr:row>46</xdr:row>
      <xdr:rowOff>28575</xdr:rowOff>
    </xdr:to>
    <xdr:cxnSp macro="">
      <xdr:nvCxnSpPr>
        <xdr:cNvPr id="5" name="직선 연결선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5133975" y="1038225"/>
          <a:ext cx="0" cy="247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338138</xdr:colOff>
      <xdr:row>46</xdr:row>
      <xdr:rowOff>28575</xdr:rowOff>
    </xdr:from>
    <xdr:to>
      <xdr:col>17</xdr:col>
      <xdr:colOff>576263</xdr:colOff>
      <xdr:row>46</xdr:row>
      <xdr:rowOff>28575</xdr:rowOff>
    </xdr:to>
    <xdr:cxnSp macro="">
      <xdr:nvCxnSpPr>
        <xdr:cNvPr id="7" name="직선 연결선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5138738" y="1285875"/>
          <a:ext cx="70961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571500</xdr:colOff>
      <xdr:row>45</xdr:row>
      <xdr:rowOff>9525</xdr:rowOff>
    </xdr:from>
    <xdr:to>
      <xdr:col>17</xdr:col>
      <xdr:colOff>571500</xdr:colOff>
      <xdr:row>46</xdr:row>
      <xdr:rowOff>23813</xdr:rowOff>
    </xdr:to>
    <xdr:cxnSp macro="">
      <xdr:nvCxnSpPr>
        <xdr:cNvPr id="10" name="직선 화살표 연결선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/>
      </xdr:nvCxnSpPr>
      <xdr:spPr>
        <a:xfrm flipV="1">
          <a:off x="12230100" y="1057275"/>
          <a:ext cx="0" cy="2238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45</xdr:row>
      <xdr:rowOff>19050</xdr:rowOff>
    </xdr:from>
    <xdr:to>
      <xdr:col>9</xdr:col>
      <xdr:colOff>381000</xdr:colOff>
      <xdr:row>46</xdr:row>
      <xdr:rowOff>200025</xdr:rowOff>
    </xdr:to>
    <xdr:cxnSp macro="">
      <xdr:nvCxnSpPr>
        <xdr:cNvPr id="12" name="직선 연결선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>
          <a:off x="6553200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352425</xdr:colOff>
      <xdr:row>45</xdr:row>
      <xdr:rowOff>19050</xdr:rowOff>
    </xdr:from>
    <xdr:to>
      <xdr:col>13</xdr:col>
      <xdr:colOff>352425</xdr:colOff>
      <xdr:row>46</xdr:row>
      <xdr:rowOff>200025</xdr:rowOff>
    </xdr:to>
    <xdr:cxnSp macro="">
      <xdr:nvCxnSpPr>
        <xdr:cNvPr id="13" name="직선 연결선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9267825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46</xdr:row>
      <xdr:rowOff>190500</xdr:rowOff>
    </xdr:from>
    <xdr:to>
      <xdr:col>13</xdr:col>
      <xdr:colOff>342900</xdr:colOff>
      <xdr:row>46</xdr:row>
      <xdr:rowOff>190500</xdr:rowOff>
    </xdr:to>
    <xdr:cxnSp macro="">
      <xdr:nvCxnSpPr>
        <xdr:cNvPr id="15" name="직선 연결선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6553200" y="1447800"/>
          <a:ext cx="27051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52</xdr:row>
      <xdr:rowOff>200025</xdr:rowOff>
    </xdr:from>
    <xdr:to>
      <xdr:col>7</xdr:col>
      <xdr:colOff>333375</xdr:colOff>
      <xdr:row>54</xdr:row>
      <xdr:rowOff>28575</xdr:rowOff>
    </xdr:to>
    <xdr:cxnSp macro="">
      <xdr:nvCxnSpPr>
        <xdr:cNvPr id="16" name="직선 연결선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5133975" y="1038225"/>
          <a:ext cx="0" cy="247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338138</xdr:colOff>
      <xdr:row>54</xdr:row>
      <xdr:rowOff>28575</xdr:rowOff>
    </xdr:from>
    <xdr:to>
      <xdr:col>17</xdr:col>
      <xdr:colOff>576263</xdr:colOff>
      <xdr:row>54</xdr:row>
      <xdr:rowOff>28575</xdr:rowOff>
    </xdr:to>
    <xdr:cxnSp macro="">
      <xdr:nvCxnSpPr>
        <xdr:cNvPr id="17" name="직선 연결선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5138738" y="1285875"/>
          <a:ext cx="71532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571500</xdr:colOff>
      <xdr:row>53</xdr:row>
      <xdr:rowOff>9525</xdr:rowOff>
    </xdr:from>
    <xdr:to>
      <xdr:col>17</xdr:col>
      <xdr:colOff>571500</xdr:colOff>
      <xdr:row>54</xdr:row>
      <xdr:rowOff>23813</xdr:rowOff>
    </xdr:to>
    <xdr:cxnSp macro="">
      <xdr:nvCxnSpPr>
        <xdr:cNvPr id="18" name="직선 화살표 연결선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 flipV="1">
          <a:off x="12287250" y="1057275"/>
          <a:ext cx="0" cy="2238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53</xdr:row>
      <xdr:rowOff>19050</xdr:rowOff>
    </xdr:from>
    <xdr:to>
      <xdr:col>9</xdr:col>
      <xdr:colOff>381000</xdr:colOff>
      <xdr:row>54</xdr:row>
      <xdr:rowOff>200025</xdr:rowOff>
    </xdr:to>
    <xdr:cxnSp macro="">
      <xdr:nvCxnSpPr>
        <xdr:cNvPr id="19" name="직선 연결선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>
          <a:off x="6553200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352425</xdr:colOff>
      <xdr:row>53</xdr:row>
      <xdr:rowOff>19050</xdr:rowOff>
    </xdr:from>
    <xdr:to>
      <xdr:col>13</xdr:col>
      <xdr:colOff>352425</xdr:colOff>
      <xdr:row>54</xdr:row>
      <xdr:rowOff>200025</xdr:rowOff>
    </xdr:to>
    <xdr:cxnSp macro="">
      <xdr:nvCxnSpPr>
        <xdr:cNvPr id="20" name="직선 연결선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9267825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54</xdr:row>
      <xdr:rowOff>190500</xdr:rowOff>
    </xdr:from>
    <xdr:to>
      <xdr:col>13</xdr:col>
      <xdr:colOff>342900</xdr:colOff>
      <xdr:row>54</xdr:row>
      <xdr:rowOff>190500</xdr:rowOff>
    </xdr:to>
    <xdr:cxnSp macro="">
      <xdr:nvCxnSpPr>
        <xdr:cNvPr id="21" name="직선 연결선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CxnSpPr/>
      </xdr:nvCxnSpPr>
      <xdr:spPr>
        <a:xfrm>
          <a:off x="6553200" y="1447800"/>
          <a:ext cx="27051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60</xdr:row>
      <xdr:rowOff>200025</xdr:rowOff>
    </xdr:from>
    <xdr:to>
      <xdr:col>7</xdr:col>
      <xdr:colOff>333375</xdr:colOff>
      <xdr:row>62</xdr:row>
      <xdr:rowOff>28575</xdr:rowOff>
    </xdr:to>
    <xdr:cxnSp macro="">
      <xdr:nvCxnSpPr>
        <xdr:cNvPr id="22" name="직선 연결선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CxnSpPr/>
      </xdr:nvCxnSpPr>
      <xdr:spPr>
        <a:xfrm>
          <a:off x="5133975" y="2714625"/>
          <a:ext cx="0" cy="247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338138</xdr:colOff>
      <xdr:row>62</xdr:row>
      <xdr:rowOff>28575</xdr:rowOff>
    </xdr:from>
    <xdr:to>
      <xdr:col>17</xdr:col>
      <xdr:colOff>576263</xdr:colOff>
      <xdr:row>62</xdr:row>
      <xdr:rowOff>28575</xdr:rowOff>
    </xdr:to>
    <xdr:cxnSp macro="">
      <xdr:nvCxnSpPr>
        <xdr:cNvPr id="23" name="직선 연결선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>
          <a:off x="5138738" y="2962275"/>
          <a:ext cx="71532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571500</xdr:colOff>
      <xdr:row>61</xdr:row>
      <xdr:rowOff>9525</xdr:rowOff>
    </xdr:from>
    <xdr:to>
      <xdr:col>17</xdr:col>
      <xdr:colOff>571500</xdr:colOff>
      <xdr:row>62</xdr:row>
      <xdr:rowOff>23813</xdr:rowOff>
    </xdr:to>
    <xdr:cxnSp macro="">
      <xdr:nvCxnSpPr>
        <xdr:cNvPr id="24" name="직선 화살표 연결선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CxnSpPr/>
      </xdr:nvCxnSpPr>
      <xdr:spPr>
        <a:xfrm flipV="1">
          <a:off x="12287250" y="2733675"/>
          <a:ext cx="0" cy="2238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61</xdr:row>
      <xdr:rowOff>19050</xdr:rowOff>
    </xdr:from>
    <xdr:to>
      <xdr:col>9</xdr:col>
      <xdr:colOff>381000</xdr:colOff>
      <xdr:row>62</xdr:row>
      <xdr:rowOff>200025</xdr:rowOff>
    </xdr:to>
    <xdr:cxnSp macro="">
      <xdr:nvCxnSpPr>
        <xdr:cNvPr id="25" name="직선 연결선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CxnSpPr/>
      </xdr:nvCxnSpPr>
      <xdr:spPr>
        <a:xfrm>
          <a:off x="6553200" y="27432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352425</xdr:colOff>
      <xdr:row>61</xdr:row>
      <xdr:rowOff>19050</xdr:rowOff>
    </xdr:from>
    <xdr:to>
      <xdr:col>13</xdr:col>
      <xdr:colOff>352425</xdr:colOff>
      <xdr:row>62</xdr:row>
      <xdr:rowOff>200025</xdr:rowOff>
    </xdr:to>
    <xdr:cxnSp macro="">
      <xdr:nvCxnSpPr>
        <xdr:cNvPr id="26" name="직선 연결선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CxnSpPr/>
      </xdr:nvCxnSpPr>
      <xdr:spPr>
        <a:xfrm>
          <a:off x="9267825" y="27432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62</xdr:row>
      <xdr:rowOff>190500</xdr:rowOff>
    </xdr:from>
    <xdr:to>
      <xdr:col>13</xdr:col>
      <xdr:colOff>342900</xdr:colOff>
      <xdr:row>62</xdr:row>
      <xdr:rowOff>190500</xdr:rowOff>
    </xdr:to>
    <xdr:cxnSp macro="">
      <xdr:nvCxnSpPr>
        <xdr:cNvPr id="27" name="직선 연결선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>
          <a:off x="6553200" y="3124200"/>
          <a:ext cx="27051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73</xdr:row>
      <xdr:rowOff>200025</xdr:rowOff>
    </xdr:from>
    <xdr:to>
      <xdr:col>7</xdr:col>
      <xdr:colOff>333375</xdr:colOff>
      <xdr:row>75</xdr:row>
      <xdr:rowOff>28575</xdr:rowOff>
    </xdr:to>
    <xdr:cxnSp macro="">
      <xdr:nvCxnSpPr>
        <xdr:cNvPr id="28" name="직선 연결선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CxnSpPr/>
      </xdr:nvCxnSpPr>
      <xdr:spPr>
        <a:xfrm>
          <a:off x="5133975" y="1038225"/>
          <a:ext cx="0" cy="247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338138</xdr:colOff>
      <xdr:row>75</xdr:row>
      <xdr:rowOff>28575</xdr:rowOff>
    </xdr:from>
    <xdr:to>
      <xdr:col>17</xdr:col>
      <xdr:colOff>576263</xdr:colOff>
      <xdr:row>75</xdr:row>
      <xdr:rowOff>28575</xdr:rowOff>
    </xdr:to>
    <xdr:cxnSp macro="">
      <xdr:nvCxnSpPr>
        <xdr:cNvPr id="29" name="직선 연결선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CxnSpPr/>
      </xdr:nvCxnSpPr>
      <xdr:spPr>
        <a:xfrm>
          <a:off x="5138738" y="1285875"/>
          <a:ext cx="71532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571500</xdr:colOff>
      <xdr:row>74</xdr:row>
      <xdr:rowOff>9525</xdr:rowOff>
    </xdr:from>
    <xdr:to>
      <xdr:col>17</xdr:col>
      <xdr:colOff>571500</xdr:colOff>
      <xdr:row>75</xdr:row>
      <xdr:rowOff>23813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 flipV="1">
          <a:off x="12287250" y="1057275"/>
          <a:ext cx="0" cy="2238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74</xdr:row>
      <xdr:rowOff>19050</xdr:rowOff>
    </xdr:from>
    <xdr:to>
      <xdr:col>9</xdr:col>
      <xdr:colOff>381000</xdr:colOff>
      <xdr:row>75</xdr:row>
      <xdr:rowOff>200025</xdr:rowOff>
    </xdr:to>
    <xdr:cxnSp macro="">
      <xdr:nvCxnSpPr>
        <xdr:cNvPr id="31" name="직선 연결선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6553200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352425</xdr:colOff>
      <xdr:row>74</xdr:row>
      <xdr:rowOff>19050</xdr:rowOff>
    </xdr:from>
    <xdr:to>
      <xdr:col>13</xdr:col>
      <xdr:colOff>352425</xdr:colOff>
      <xdr:row>75</xdr:row>
      <xdr:rowOff>200025</xdr:rowOff>
    </xdr:to>
    <xdr:cxnSp macro="">
      <xdr:nvCxnSpPr>
        <xdr:cNvPr id="32" name="직선 연결선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CxnSpPr/>
      </xdr:nvCxnSpPr>
      <xdr:spPr>
        <a:xfrm>
          <a:off x="9267825" y="1066800"/>
          <a:ext cx="0" cy="390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381000</xdr:colOff>
      <xdr:row>75</xdr:row>
      <xdr:rowOff>190500</xdr:rowOff>
    </xdr:from>
    <xdr:to>
      <xdr:col>13</xdr:col>
      <xdr:colOff>342900</xdr:colOff>
      <xdr:row>75</xdr:row>
      <xdr:rowOff>190500</xdr:rowOff>
    </xdr:to>
    <xdr:cxnSp macro="">
      <xdr:nvCxnSpPr>
        <xdr:cNvPr id="33" name="직선 연결선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6553200" y="1447800"/>
          <a:ext cx="27051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1219200</xdr:colOff>
      <xdr:row>84</xdr:row>
      <xdr:rowOff>133350</xdr:rowOff>
    </xdr:from>
    <xdr:to>
      <xdr:col>30</xdr:col>
      <xdr:colOff>466725</xdr:colOff>
      <xdr:row>94</xdr:row>
      <xdr:rowOff>68982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1475" y="17745075"/>
          <a:ext cx="7772400" cy="20311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390525</xdr:colOff>
      <xdr:row>17</xdr:row>
      <xdr:rowOff>0</xdr:rowOff>
    </xdr:from>
    <xdr:to>
      <xdr:col>22</xdr:col>
      <xdr:colOff>619125</xdr:colOff>
      <xdr:row>43</xdr:row>
      <xdr:rowOff>191256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3581400"/>
          <a:ext cx="7772400" cy="56586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228600</xdr:colOff>
      <xdr:row>0</xdr:row>
      <xdr:rowOff>0</xdr:rowOff>
    </xdr:from>
    <xdr:to>
      <xdr:col>29</xdr:col>
      <xdr:colOff>457200</xdr:colOff>
      <xdr:row>23</xdr:row>
      <xdr:rowOff>173545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5" y="0"/>
          <a:ext cx="7772400" cy="5040820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400050</xdr:colOff>
      <xdr:row>42</xdr:row>
      <xdr:rowOff>171450</xdr:rowOff>
    </xdr:from>
    <xdr:to>
      <xdr:col>35</xdr:col>
      <xdr:colOff>628650</xdr:colOff>
      <xdr:row>65</xdr:row>
      <xdr:rowOff>5927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0" y="4953000"/>
          <a:ext cx="7772400" cy="47779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466725</xdr:colOff>
          <xdr:row>24</xdr:row>
          <xdr:rowOff>95250</xdr:rowOff>
        </xdr:from>
        <xdr:to>
          <xdr:col>16</xdr:col>
          <xdr:colOff>495300</xdr:colOff>
          <xdr:row>27</xdr:row>
          <xdr:rowOff>66675</xdr:rowOff>
        </xdr:to>
        <xdr:sp macro="" textlink="">
          <xdr:nvSpPr>
            <xdr:cNvPr id="280577" name="Group Box 1" hidden="1">
              <a:extLst>
                <a:ext uri="{63B3BB69-23CF-44E3-9099-C40C66FF867C}">
                  <a14:compatExt spid="_x0000_s280577"/>
                </a:ext>
                <a:ext uri="{FF2B5EF4-FFF2-40B4-BE49-F238E27FC236}">
                  <a16:creationId xmlns:a16="http://schemas.microsoft.com/office/drawing/2014/main" id="{00000000-0008-0000-0900-000001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4대보험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25</xdr:row>
          <xdr:rowOff>152400</xdr:rowOff>
        </xdr:from>
        <xdr:to>
          <xdr:col>14</xdr:col>
          <xdr:colOff>1171575</xdr:colOff>
          <xdr:row>26</xdr:row>
          <xdr:rowOff>180975</xdr:rowOff>
        </xdr:to>
        <xdr:sp macro="" textlink="">
          <xdr:nvSpPr>
            <xdr:cNvPr id="280578" name="Option Button 2" hidden="1">
              <a:extLst>
                <a:ext uri="{63B3BB69-23CF-44E3-9099-C40C66FF867C}">
                  <a14:compatExt spid="_x0000_s280578"/>
                </a:ext>
                <a:ext uri="{FF2B5EF4-FFF2-40B4-BE49-F238E27FC236}">
                  <a16:creationId xmlns:a16="http://schemas.microsoft.com/office/drawing/2014/main" id="{00000000-0008-0000-0900-000002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고지금액(기 신고 보수액)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24</xdr:row>
          <xdr:rowOff>114300</xdr:rowOff>
        </xdr:from>
        <xdr:to>
          <xdr:col>21</xdr:col>
          <xdr:colOff>76200</xdr:colOff>
          <xdr:row>27</xdr:row>
          <xdr:rowOff>95250</xdr:rowOff>
        </xdr:to>
        <xdr:sp macro="" textlink="">
          <xdr:nvSpPr>
            <xdr:cNvPr id="280579" name="Group Box 3" hidden="1">
              <a:extLst>
                <a:ext uri="{63B3BB69-23CF-44E3-9099-C40C66FF867C}">
                  <a14:compatExt spid="_x0000_s280579"/>
                </a:ext>
                <a:ext uri="{FF2B5EF4-FFF2-40B4-BE49-F238E27FC236}">
                  <a16:creationId xmlns:a16="http://schemas.microsoft.com/office/drawing/2014/main" id="{00000000-0008-0000-0900-000003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법인 대표자 및 65세 이후 고용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314325</xdr:colOff>
          <xdr:row>25</xdr:row>
          <xdr:rowOff>152400</xdr:rowOff>
        </xdr:from>
        <xdr:to>
          <xdr:col>19</xdr:col>
          <xdr:colOff>247650</xdr:colOff>
          <xdr:row>26</xdr:row>
          <xdr:rowOff>180975</xdr:rowOff>
        </xdr:to>
        <xdr:sp macro="" textlink="">
          <xdr:nvSpPr>
            <xdr:cNvPr id="280580" name="Option Button 4" hidden="1">
              <a:extLst>
                <a:ext uri="{63B3BB69-23CF-44E3-9099-C40C66FF867C}">
                  <a14:compatExt spid="_x0000_s280580"/>
                </a:ext>
                <a:ext uri="{FF2B5EF4-FFF2-40B4-BE49-F238E27FC236}">
                  <a16:creationId xmlns:a16="http://schemas.microsoft.com/office/drawing/2014/main" id="{00000000-0008-0000-0900-000004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409575</xdr:colOff>
          <xdr:row>25</xdr:row>
          <xdr:rowOff>180975</xdr:rowOff>
        </xdr:from>
        <xdr:to>
          <xdr:col>20</xdr:col>
          <xdr:colOff>876300</xdr:colOff>
          <xdr:row>26</xdr:row>
          <xdr:rowOff>209550</xdr:rowOff>
        </xdr:to>
        <xdr:sp macro="" textlink="">
          <xdr:nvSpPr>
            <xdr:cNvPr id="280581" name="Option Button 5" hidden="1">
              <a:extLst>
                <a:ext uri="{63B3BB69-23CF-44E3-9099-C40C66FF867C}">
                  <a14:compatExt spid="_x0000_s280581"/>
                </a:ext>
                <a:ext uri="{FF2B5EF4-FFF2-40B4-BE49-F238E27FC236}">
                  <a16:creationId xmlns:a16="http://schemas.microsoft.com/office/drawing/2014/main" id="{00000000-0008-0000-0900-000005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 미대상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1400175</xdr:colOff>
          <xdr:row>25</xdr:row>
          <xdr:rowOff>171450</xdr:rowOff>
        </xdr:from>
        <xdr:to>
          <xdr:col>15</xdr:col>
          <xdr:colOff>981075</xdr:colOff>
          <xdr:row>26</xdr:row>
          <xdr:rowOff>200025</xdr:rowOff>
        </xdr:to>
        <xdr:sp macro="" textlink="">
          <xdr:nvSpPr>
            <xdr:cNvPr id="280582" name="Option Button 6" hidden="1">
              <a:extLst>
                <a:ext uri="{63B3BB69-23CF-44E3-9099-C40C66FF867C}">
                  <a14:compatExt spid="_x0000_s280582"/>
                </a:ext>
                <a:ext uri="{FF2B5EF4-FFF2-40B4-BE49-F238E27FC236}">
                  <a16:creationId xmlns:a16="http://schemas.microsoft.com/office/drawing/2014/main" id="{00000000-0008-0000-0900-000006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과세금액(현 급여)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29</xdr:row>
          <xdr:rowOff>95250</xdr:rowOff>
        </xdr:from>
        <xdr:to>
          <xdr:col>21</xdr:col>
          <xdr:colOff>85725</xdr:colOff>
          <xdr:row>33</xdr:row>
          <xdr:rowOff>9525</xdr:rowOff>
        </xdr:to>
        <xdr:sp macro="" textlink="">
          <xdr:nvSpPr>
            <xdr:cNvPr id="280583" name="Group Box 7" hidden="1">
              <a:extLst>
                <a:ext uri="{63B3BB69-23CF-44E3-9099-C40C66FF867C}">
                  <a14:compatExt spid="_x0000_s280583"/>
                </a:ext>
                <a:ext uri="{FF2B5EF4-FFF2-40B4-BE49-F238E27FC236}">
                  <a16:creationId xmlns:a16="http://schemas.microsoft.com/office/drawing/2014/main" id="{00000000-0008-0000-0900-000007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 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419100</xdr:colOff>
          <xdr:row>30</xdr:row>
          <xdr:rowOff>200025</xdr:rowOff>
        </xdr:from>
        <xdr:to>
          <xdr:col>18</xdr:col>
          <xdr:colOff>581025</xdr:colOff>
          <xdr:row>32</xdr:row>
          <xdr:rowOff>9525</xdr:rowOff>
        </xdr:to>
        <xdr:sp macro="" textlink="">
          <xdr:nvSpPr>
            <xdr:cNvPr id="280584" name="Option Button 8" hidden="1">
              <a:extLst>
                <a:ext uri="{63B3BB69-23CF-44E3-9099-C40C66FF867C}">
                  <a14:compatExt spid="_x0000_s280584"/>
                </a:ext>
                <a:ext uri="{FF2B5EF4-FFF2-40B4-BE49-F238E27FC236}">
                  <a16:creationId xmlns:a16="http://schemas.microsoft.com/office/drawing/2014/main" id="{00000000-0008-0000-0900-000008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400050</xdr:colOff>
          <xdr:row>30</xdr:row>
          <xdr:rowOff>180975</xdr:rowOff>
        </xdr:from>
        <xdr:to>
          <xdr:col>20</xdr:col>
          <xdr:colOff>352425</xdr:colOff>
          <xdr:row>31</xdr:row>
          <xdr:rowOff>209550</xdr:rowOff>
        </xdr:to>
        <xdr:sp macro="" textlink="">
          <xdr:nvSpPr>
            <xdr:cNvPr id="280585" name="Option Button 9" hidden="1">
              <a:extLst>
                <a:ext uri="{63B3BB69-23CF-44E3-9099-C40C66FF867C}">
                  <a14:compatExt spid="_x0000_s280585"/>
                </a:ext>
                <a:ext uri="{FF2B5EF4-FFF2-40B4-BE49-F238E27FC236}">
                  <a16:creationId xmlns:a16="http://schemas.microsoft.com/office/drawing/2014/main" id="{00000000-0008-0000-0900-000009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34</xdr:row>
          <xdr:rowOff>95250</xdr:rowOff>
        </xdr:from>
        <xdr:to>
          <xdr:col>21</xdr:col>
          <xdr:colOff>104775</xdr:colOff>
          <xdr:row>38</xdr:row>
          <xdr:rowOff>57150</xdr:rowOff>
        </xdr:to>
        <xdr:sp macro="" textlink="">
          <xdr:nvSpPr>
            <xdr:cNvPr id="280586" name="Group Box 10" hidden="1">
              <a:extLst>
                <a:ext uri="{63B3BB69-23CF-44E3-9099-C40C66FF867C}">
                  <a14:compatExt spid="_x0000_s280586"/>
                </a:ext>
                <a:ext uri="{FF2B5EF4-FFF2-40B4-BE49-F238E27FC236}">
                  <a16:creationId xmlns:a16="http://schemas.microsoft.com/office/drawing/2014/main" id="{00000000-0008-0000-0900-00000A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409575</xdr:colOff>
          <xdr:row>36</xdr:row>
          <xdr:rowOff>38100</xdr:rowOff>
        </xdr:from>
        <xdr:to>
          <xdr:col>18</xdr:col>
          <xdr:colOff>438150</xdr:colOff>
          <xdr:row>37</xdr:row>
          <xdr:rowOff>76200</xdr:rowOff>
        </xdr:to>
        <xdr:sp macro="" textlink="">
          <xdr:nvSpPr>
            <xdr:cNvPr id="280587" name="Option Button 11" hidden="1">
              <a:extLst>
                <a:ext uri="{63B3BB69-23CF-44E3-9099-C40C66FF867C}">
                  <a14:compatExt spid="_x0000_s280587"/>
                </a:ext>
                <a:ext uri="{FF2B5EF4-FFF2-40B4-BE49-F238E27FC236}">
                  <a16:creationId xmlns:a16="http://schemas.microsoft.com/office/drawing/2014/main" id="{00000000-0008-0000-0900-00000B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447675</xdr:colOff>
          <xdr:row>36</xdr:row>
          <xdr:rowOff>19050</xdr:rowOff>
        </xdr:from>
        <xdr:to>
          <xdr:col>20</xdr:col>
          <xdr:colOff>485775</xdr:colOff>
          <xdr:row>37</xdr:row>
          <xdr:rowOff>57150</xdr:rowOff>
        </xdr:to>
        <xdr:sp macro="" textlink="">
          <xdr:nvSpPr>
            <xdr:cNvPr id="280588" name="Option Button 12" hidden="1">
              <a:extLst>
                <a:ext uri="{63B3BB69-23CF-44E3-9099-C40C66FF867C}">
                  <a14:compatExt spid="_x0000_s280588"/>
                </a:ext>
                <a:ext uri="{FF2B5EF4-FFF2-40B4-BE49-F238E27FC236}">
                  <a16:creationId xmlns:a16="http://schemas.microsoft.com/office/drawing/2014/main" id="{00000000-0008-0000-0900-00000C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사용</a:t>
              </a:r>
            </a:p>
          </xdr:txBody>
        </xdr:sp>
        <xdr:clientData/>
      </xdr:twoCellAnchor>
    </mc:Choice>
    <mc:Fallback/>
  </mc:AlternateContent>
  <xdr:twoCellAnchor editAs="oneCell">
    <xdr:from>
      <xdr:col>14</xdr:col>
      <xdr:colOff>95250</xdr:colOff>
      <xdr:row>51</xdr:row>
      <xdr:rowOff>152400</xdr:rowOff>
    </xdr:from>
    <xdr:to>
      <xdr:col>22</xdr:col>
      <xdr:colOff>600075</xdr:colOff>
      <xdr:row>85</xdr:row>
      <xdr:rowOff>105991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10744200"/>
          <a:ext cx="7772400" cy="70782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466725</xdr:colOff>
          <xdr:row>24</xdr:row>
          <xdr:rowOff>95250</xdr:rowOff>
        </xdr:from>
        <xdr:to>
          <xdr:col>16</xdr:col>
          <xdr:colOff>495300</xdr:colOff>
          <xdr:row>27</xdr:row>
          <xdr:rowOff>66675</xdr:rowOff>
        </xdr:to>
        <xdr:sp macro="" textlink="">
          <xdr:nvSpPr>
            <xdr:cNvPr id="231425" name="Group Box 1" hidden="1">
              <a:extLst>
                <a:ext uri="{63B3BB69-23CF-44E3-9099-C40C66FF867C}">
                  <a14:compatExt spid="_x0000_s231425"/>
                </a:ext>
                <a:ext uri="{FF2B5EF4-FFF2-40B4-BE49-F238E27FC236}">
                  <a16:creationId xmlns:a16="http://schemas.microsoft.com/office/drawing/2014/main" id="{00000000-0008-0000-0A00-000001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4대보험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25</xdr:row>
          <xdr:rowOff>152400</xdr:rowOff>
        </xdr:from>
        <xdr:to>
          <xdr:col>14</xdr:col>
          <xdr:colOff>1171575</xdr:colOff>
          <xdr:row>26</xdr:row>
          <xdr:rowOff>180975</xdr:rowOff>
        </xdr:to>
        <xdr:sp macro="" textlink="">
          <xdr:nvSpPr>
            <xdr:cNvPr id="231426" name="Option Button 2" hidden="1">
              <a:extLst>
                <a:ext uri="{63B3BB69-23CF-44E3-9099-C40C66FF867C}">
                  <a14:compatExt spid="_x0000_s231426"/>
                </a:ext>
                <a:ext uri="{FF2B5EF4-FFF2-40B4-BE49-F238E27FC236}">
                  <a16:creationId xmlns:a16="http://schemas.microsoft.com/office/drawing/2014/main" id="{00000000-0008-0000-0A00-000002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고지금액(기 신고 보수액)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24</xdr:row>
          <xdr:rowOff>114300</xdr:rowOff>
        </xdr:from>
        <xdr:to>
          <xdr:col>21</xdr:col>
          <xdr:colOff>161925</xdr:colOff>
          <xdr:row>27</xdr:row>
          <xdr:rowOff>95250</xdr:rowOff>
        </xdr:to>
        <xdr:sp macro="" textlink="">
          <xdr:nvSpPr>
            <xdr:cNvPr id="231428" name="Group Box 4" hidden="1">
              <a:extLst>
                <a:ext uri="{63B3BB69-23CF-44E3-9099-C40C66FF867C}">
                  <a14:compatExt spid="_x0000_s231428"/>
                </a:ext>
                <a:ext uri="{FF2B5EF4-FFF2-40B4-BE49-F238E27FC236}">
                  <a16:creationId xmlns:a16="http://schemas.microsoft.com/office/drawing/2014/main" id="{00000000-0008-0000-0A00-000004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법인 대표자 및 65세 이후 고용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314325</xdr:colOff>
          <xdr:row>25</xdr:row>
          <xdr:rowOff>152400</xdr:rowOff>
        </xdr:from>
        <xdr:to>
          <xdr:col>19</xdr:col>
          <xdr:colOff>247650</xdr:colOff>
          <xdr:row>26</xdr:row>
          <xdr:rowOff>180975</xdr:rowOff>
        </xdr:to>
        <xdr:sp macro="" textlink="">
          <xdr:nvSpPr>
            <xdr:cNvPr id="231429" name="Option Button 5" hidden="1">
              <a:extLst>
                <a:ext uri="{63B3BB69-23CF-44E3-9099-C40C66FF867C}">
                  <a14:compatExt spid="_x0000_s231429"/>
                </a:ext>
                <a:ext uri="{FF2B5EF4-FFF2-40B4-BE49-F238E27FC236}">
                  <a16:creationId xmlns:a16="http://schemas.microsoft.com/office/drawing/2014/main" id="{00000000-0008-0000-0A00-000005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409575</xdr:colOff>
          <xdr:row>25</xdr:row>
          <xdr:rowOff>180975</xdr:rowOff>
        </xdr:from>
        <xdr:to>
          <xdr:col>20</xdr:col>
          <xdr:colOff>962025</xdr:colOff>
          <xdr:row>26</xdr:row>
          <xdr:rowOff>209550</xdr:rowOff>
        </xdr:to>
        <xdr:sp macro="" textlink="">
          <xdr:nvSpPr>
            <xdr:cNvPr id="231430" name="Option Button 6" hidden="1">
              <a:extLst>
                <a:ext uri="{63B3BB69-23CF-44E3-9099-C40C66FF867C}">
                  <a14:compatExt spid="_x0000_s231430"/>
                </a:ext>
                <a:ext uri="{FF2B5EF4-FFF2-40B4-BE49-F238E27FC236}">
                  <a16:creationId xmlns:a16="http://schemas.microsoft.com/office/drawing/2014/main" id="{00000000-0008-0000-0A00-000006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 미대상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1400175</xdr:colOff>
          <xdr:row>25</xdr:row>
          <xdr:rowOff>171450</xdr:rowOff>
        </xdr:from>
        <xdr:to>
          <xdr:col>15</xdr:col>
          <xdr:colOff>981075</xdr:colOff>
          <xdr:row>26</xdr:row>
          <xdr:rowOff>200025</xdr:rowOff>
        </xdr:to>
        <xdr:sp macro="" textlink="">
          <xdr:nvSpPr>
            <xdr:cNvPr id="231466" name="Option Button 42" hidden="1">
              <a:extLst>
                <a:ext uri="{63B3BB69-23CF-44E3-9099-C40C66FF867C}">
                  <a14:compatExt spid="_x0000_s231466"/>
                </a:ext>
                <a:ext uri="{FF2B5EF4-FFF2-40B4-BE49-F238E27FC236}">
                  <a16:creationId xmlns:a16="http://schemas.microsoft.com/office/drawing/2014/main" id="{00000000-0008-0000-0A00-00002A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과세금액(현 급여)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29</xdr:row>
          <xdr:rowOff>95250</xdr:rowOff>
        </xdr:from>
        <xdr:to>
          <xdr:col>21</xdr:col>
          <xdr:colOff>171450</xdr:colOff>
          <xdr:row>33</xdr:row>
          <xdr:rowOff>9525</xdr:rowOff>
        </xdr:to>
        <xdr:sp macro="" textlink="">
          <xdr:nvSpPr>
            <xdr:cNvPr id="231473" name="Group Box 49" hidden="1">
              <a:extLst>
                <a:ext uri="{63B3BB69-23CF-44E3-9099-C40C66FF867C}">
                  <a14:compatExt spid="_x0000_s231473"/>
                </a:ext>
                <a:ext uri="{FF2B5EF4-FFF2-40B4-BE49-F238E27FC236}">
                  <a16:creationId xmlns:a16="http://schemas.microsoft.com/office/drawing/2014/main" id="{00000000-0008-0000-0A00-000031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상시근로자 5인 이상 여부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419100</xdr:colOff>
          <xdr:row>30</xdr:row>
          <xdr:rowOff>200025</xdr:rowOff>
        </xdr:from>
        <xdr:to>
          <xdr:col>18</xdr:col>
          <xdr:colOff>581025</xdr:colOff>
          <xdr:row>32</xdr:row>
          <xdr:rowOff>9525</xdr:rowOff>
        </xdr:to>
        <xdr:sp macro="" textlink="">
          <xdr:nvSpPr>
            <xdr:cNvPr id="231474" name="Option Button 50" hidden="1">
              <a:extLst>
                <a:ext uri="{63B3BB69-23CF-44E3-9099-C40C66FF867C}">
                  <a14:compatExt spid="_x0000_s231474"/>
                </a:ext>
                <a:ext uri="{FF2B5EF4-FFF2-40B4-BE49-F238E27FC236}">
                  <a16:creationId xmlns:a16="http://schemas.microsoft.com/office/drawing/2014/main" id="{00000000-0008-0000-0A00-000032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미만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400050</xdr:colOff>
          <xdr:row>30</xdr:row>
          <xdr:rowOff>180975</xdr:rowOff>
        </xdr:from>
        <xdr:to>
          <xdr:col>20</xdr:col>
          <xdr:colOff>438150</xdr:colOff>
          <xdr:row>31</xdr:row>
          <xdr:rowOff>209550</xdr:rowOff>
        </xdr:to>
        <xdr:sp macro="" textlink="">
          <xdr:nvSpPr>
            <xdr:cNvPr id="231475" name="Option Button 51" hidden="1">
              <a:extLst>
                <a:ext uri="{63B3BB69-23CF-44E3-9099-C40C66FF867C}">
                  <a14:compatExt spid="_x0000_s231475"/>
                </a:ext>
                <a:ext uri="{FF2B5EF4-FFF2-40B4-BE49-F238E27FC236}">
                  <a16:creationId xmlns:a16="http://schemas.microsoft.com/office/drawing/2014/main" id="{00000000-0008-0000-0A00-000033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5인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34</xdr:row>
          <xdr:rowOff>95250</xdr:rowOff>
        </xdr:from>
        <xdr:to>
          <xdr:col>21</xdr:col>
          <xdr:colOff>190500</xdr:colOff>
          <xdr:row>38</xdr:row>
          <xdr:rowOff>57150</xdr:rowOff>
        </xdr:to>
        <xdr:sp macro="" textlink="">
          <xdr:nvSpPr>
            <xdr:cNvPr id="231476" name="Group Box 52" hidden="1">
              <a:extLst>
                <a:ext uri="{63B3BB69-23CF-44E3-9099-C40C66FF867C}">
                  <a14:compatExt spid="_x0000_s231476"/>
                </a:ext>
                <a:ext uri="{FF2B5EF4-FFF2-40B4-BE49-F238E27FC236}">
                  <a16:creationId xmlns:a16="http://schemas.microsoft.com/office/drawing/2014/main" id="{00000000-0008-0000-0A00-000034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수당 평균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409575</xdr:colOff>
          <xdr:row>36</xdr:row>
          <xdr:rowOff>38100</xdr:rowOff>
        </xdr:from>
        <xdr:to>
          <xdr:col>18</xdr:col>
          <xdr:colOff>438150</xdr:colOff>
          <xdr:row>37</xdr:row>
          <xdr:rowOff>76200</xdr:rowOff>
        </xdr:to>
        <xdr:sp macro="" textlink="">
          <xdr:nvSpPr>
            <xdr:cNvPr id="231477" name="Option Button 53" hidden="1">
              <a:extLst>
                <a:ext uri="{63B3BB69-23CF-44E3-9099-C40C66FF867C}">
                  <a14:compatExt spid="_x0000_s231477"/>
                </a:ext>
                <a:ext uri="{FF2B5EF4-FFF2-40B4-BE49-F238E27FC236}">
                  <a16:creationId xmlns:a16="http://schemas.microsoft.com/office/drawing/2014/main" id="{00000000-0008-0000-0A00-000035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미사용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447675</xdr:colOff>
          <xdr:row>36</xdr:row>
          <xdr:rowOff>19050</xdr:rowOff>
        </xdr:from>
        <xdr:to>
          <xdr:col>20</xdr:col>
          <xdr:colOff>571500</xdr:colOff>
          <xdr:row>37</xdr:row>
          <xdr:rowOff>57150</xdr:rowOff>
        </xdr:to>
        <xdr:sp macro="" textlink="">
          <xdr:nvSpPr>
            <xdr:cNvPr id="231478" name="Option Button 54" hidden="1">
              <a:extLst>
                <a:ext uri="{63B3BB69-23CF-44E3-9099-C40C66FF867C}">
                  <a14:compatExt spid="_x0000_s231478"/>
                </a:ext>
                <a:ext uri="{FF2B5EF4-FFF2-40B4-BE49-F238E27FC236}">
                  <a16:creationId xmlns:a16="http://schemas.microsoft.com/office/drawing/2014/main" id="{00000000-0008-0000-0A00-000036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연차 사용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390525</xdr:colOff>
          <xdr:row>24</xdr:row>
          <xdr:rowOff>133350</xdr:rowOff>
        </xdr:from>
        <xdr:to>
          <xdr:col>16</xdr:col>
          <xdr:colOff>514350</xdr:colOff>
          <xdr:row>27</xdr:row>
          <xdr:rowOff>104775</xdr:rowOff>
        </xdr:to>
        <xdr:sp macro="" textlink="">
          <xdr:nvSpPr>
            <xdr:cNvPr id="232449" name="Group Box 1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00000000-0008-0000-0B00-00000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4대보험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514350</xdr:colOff>
          <xdr:row>25</xdr:row>
          <xdr:rowOff>190500</xdr:rowOff>
        </xdr:from>
        <xdr:to>
          <xdr:col>14</xdr:col>
          <xdr:colOff>1200150</xdr:colOff>
          <xdr:row>27</xdr:row>
          <xdr:rowOff>0</xdr:rowOff>
        </xdr:to>
        <xdr:sp macro="" textlink="">
          <xdr:nvSpPr>
            <xdr:cNvPr id="232450" name="Option Button 2" hidden="1">
              <a:extLst>
                <a:ext uri="{63B3BB69-23CF-44E3-9099-C40C66FF867C}">
                  <a14:compatExt spid="_x0000_s232450"/>
                </a:ext>
                <a:ext uri="{FF2B5EF4-FFF2-40B4-BE49-F238E27FC236}">
                  <a16:creationId xmlns:a16="http://schemas.microsoft.com/office/drawing/2014/main" id="{00000000-0008-0000-0B00-00000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고지금액(기 신고 보수액)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676275</xdr:colOff>
          <xdr:row>24</xdr:row>
          <xdr:rowOff>123825</xdr:rowOff>
        </xdr:from>
        <xdr:to>
          <xdr:col>21</xdr:col>
          <xdr:colOff>66675</xdr:colOff>
          <xdr:row>27</xdr:row>
          <xdr:rowOff>104775</xdr:rowOff>
        </xdr:to>
        <xdr:sp macro="" textlink="">
          <xdr:nvSpPr>
            <xdr:cNvPr id="232451" name="Group Box 3" hidden="1">
              <a:extLst>
                <a:ext uri="{63B3BB69-23CF-44E3-9099-C40C66FF867C}">
                  <a14:compatExt spid="_x0000_s232451"/>
                </a:ext>
                <a:ext uri="{FF2B5EF4-FFF2-40B4-BE49-F238E27FC236}">
                  <a16:creationId xmlns:a16="http://schemas.microsoft.com/office/drawing/2014/main" id="{00000000-0008-0000-0B00-00000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법인 대표자 및 65세 이후 고용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161925</xdr:colOff>
          <xdr:row>25</xdr:row>
          <xdr:rowOff>161925</xdr:rowOff>
        </xdr:from>
        <xdr:to>
          <xdr:col>19</xdr:col>
          <xdr:colOff>95250</xdr:colOff>
          <xdr:row>26</xdr:row>
          <xdr:rowOff>190500</xdr:rowOff>
        </xdr:to>
        <xdr:sp macro="" textlink="">
          <xdr:nvSpPr>
            <xdr:cNvPr id="232452" name="Option Button 4" hidden="1">
              <a:extLst>
                <a:ext uri="{63B3BB69-23CF-44E3-9099-C40C66FF867C}">
                  <a14:compatExt spid="_x0000_s232452"/>
                </a:ext>
                <a:ext uri="{FF2B5EF4-FFF2-40B4-BE49-F238E27FC236}">
                  <a16:creationId xmlns:a16="http://schemas.microsoft.com/office/drawing/2014/main" id="{00000000-0008-0000-0B00-00000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257175</xdr:colOff>
          <xdr:row>25</xdr:row>
          <xdr:rowOff>190500</xdr:rowOff>
        </xdr:from>
        <xdr:to>
          <xdr:col>20</xdr:col>
          <xdr:colOff>866775</xdr:colOff>
          <xdr:row>27</xdr:row>
          <xdr:rowOff>0</xdr:rowOff>
        </xdr:to>
        <xdr:sp macro="" textlink="">
          <xdr:nvSpPr>
            <xdr:cNvPr id="232453" name="Option Button 5" hidden="1">
              <a:extLst>
                <a:ext uri="{63B3BB69-23CF-44E3-9099-C40C66FF867C}">
                  <a14:compatExt spid="_x0000_s232453"/>
                </a:ext>
                <a:ext uri="{FF2B5EF4-FFF2-40B4-BE49-F238E27FC236}">
                  <a16:creationId xmlns:a16="http://schemas.microsoft.com/office/drawing/2014/main" id="{00000000-0008-0000-0B00-00000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 미대상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25</xdr:row>
          <xdr:rowOff>190500</xdr:rowOff>
        </xdr:from>
        <xdr:to>
          <xdr:col>16</xdr:col>
          <xdr:colOff>104775</xdr:colOff>
          <xdr:row>27</xdr:row>
          <xdr:rowOff>0</xdr:rowOff>
        </xdr:to>
        <xdr:sp macro="" textlink="">
          <xdr:nvSpPr>
            <xdr:cNvPr id="232454" name="Option Button 6" hidden="1">
              <a:extLst>
                <a:ext uri="{63B3BB69-23CF-44E3-9099-C40C66FF867C}">
                  <a14:compatExt spid="_x0000_s232454"/>
                </a:ext>
                <a:ext uri="{FF2B5EF4-FFF2-40B4-BE49-F238E27FC236}">
                  <a16:creationId xmlns:a16="http://schemas.microsoft.com/office/drawing/2014/main" id="{00000000-0008-0000-0B00-00000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과세급액(현 급여)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781050</xdr:colOff>
      <xdr:row>16</xdr:row>
      <xdr:rowOff>0</xdr:rowOff>
    </xdr:from>
    <xdr:to>
      <xdr:col>19</xdr:col>
      <xdr:colOff>209550</xdr:colOff>
      <xdr:row>26</xdr:row>
      <xdr:rowOff>28575</xdr:rowOff>
    </xdr:to>
    <xdr:cxnSp macro="">
      <xdr:nvCxnSpPr>
        <xdr:cNvPr id="3" name="직선 화살표 연결선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 flipH="1" flipV="1">
          <a:off x="6677025" y="3200400"/>
          <a:ext cx="6372225" cy="2133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1095375</xdr:colOff>
      <xdr:row>16</xdr:row>
      <xdr:rowOff>0</xdr:rowOff>
    </xdr:from>
    <xdr:to>
      <xdr:col>19</xdr:col>
      <xdr:colOff>504825</xdr:colOff>
      <xdr:row>25</xdr:row>
      <xdr:rowOff>180975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 flipH="1" flipV="1">
          <a:off x="10734675" y="3200400"/>
          <a:ext cx="2609850" cy="20669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428625</xdr:colOff>
      <xdr:row>28</xdr:row>
      <xdr:rowOff>171450</xdr:rowOff>
    </xdr:from>
    <xdr:to>
      <xdr:col>25</xdr:col>
      <xdr:colOff>114970</xdr:colOff>
      <xdr:row>36</xdr:row>
      <xdr:rowOff>85950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5924550"/>
          <a:ext cx="4801270" cy="1609950"/>
        </a:xfrm>
        <a:prstGeom prst="rect">
          <a:avLst/>
        </a:prstGeom>
      </xdr:spPr>
    </xdr:pic>
    <xdr:clientData/>
  </xdr:twoCellAnchor>
  <xdr:twoCellAnchor>
    <xdr:from>
      <xdr:col>5</xdr:col>
      <xdr:colOff>638176</xdr:colOff>
      <xdr:row>17</xdr:row>
      <xdr:rowOff>190500</xdr:rowOff>
    </xdr:from>
    <xdr:to>
      <xdr:col>15</xdr:col>
      <xdr:colOff>66675</xdr:colOff>
      <xdr:row>33</xdr:row>
      <xdr:rowOff>19050</xdr:rowOff>
    </xdr:to>
    <xdr:cxnSp macro="">
      <xdr:nvCxnSpPr>
        <xdr:cNvPr id="11" name="직선 화살표 연결선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CxnSpPr/>
      </xdr:nvCxnSpPr>
      <xdr:spPr>
        <a:xfrm flipH="1">
          <a:off x="3352801" y="3600450"/>
          <a:ext cx="6353174" cy="3219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</xdr:row>
          <xdr:rowOff>0</xdr:rowOff>
        </xdr:from>
        <xdr:to>
          <xdr:col>17</xdr:col>
          <xdr:colOff>38100</xdr:colOff>
          <xdr:row>4</xdr:row>
          <xdr:rowOff>19050</xdr:rowOff>
        </xdr:to>
        <xdr:sp macro="" textlink="">
          <xdr:nvSpPr>
            <xdr:cNvPr id="144385" name="Group Box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0D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지급구분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2</xdr:row>
          <xdr:rowOff>104775</xdr:rowOff>
        </xdr:from>
        <xdr:to>
          <xdr:col>15</xdr:col>
          <xdr:colOff>57150</xdr:colOff>
          <xdr:row>3</xdr:row>
          <xdr:rowOff>95250</xdr:rowOff>
        </xdr:to>
        <xdr:sp macro="" textlink="">
          <xdr:nvSpPr>
            <xdr:cNvPr id="144386" name="Option Button 2" hidden="1">
              <a:extLst>
                <a:ext uri="{63B3BB69-23CF-44E3-9099-C40C66FF867C}">
                  <a14:compatExt spid="_x0000_s144386"/>
                </a:ext>
                <a:ext uri="{FF2B5EF4-FFF2-40B4-BE49-F238E27FC236}">
                  <a16:creationId xmlns:a16="http://schemas.microsoft.com/office/drawing/2014/main" id="{00000000-0008-0000-0D00-000002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매일지급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</xdr:row>
          <xdr:rowOff>104775</xdr:rowOff>
        </xdr:from>
        <xdr:to>
          <xdr:col>16</xdr:col>
          <xdr:colOff>304800</xdr:colOff>
          <xdr:row>3</xdr:row>
          <xdr:rowOff>95250</xdr:rowOff>
        </xdr:to>
        <xdr:sp macro="" textlink="">
          <xdr:nvSpPr>
            <xdr:cNvPr id="144387" name="Option Button 3" hidden="1">
              <a:extLst>
                <a:ext uri="{63B3BB69-23CF-44E3-9099-C40C66FF867C}">
                  <a14:compatExt spid="_x0000_s144387"/>
                </a:ext>
                <a:ext uri="{FF2B5EF4-FFF2-40B4-BE49-F238E27FC236}">
                  <a16:creationId xmlns:a16="http://schemas.microsoft.com/office/drawing/2014/main" id="{00000000-0008-0000-0D00-000003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일정기간 지급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257175</xdr:colOff>
          <xdr:row>1</xdr:row>
          <xdr:rowOff>9525</xdr:rowOff>
        </xdr:from>
        <xdr:to>
          <xdr:col>21</xdr:col>
          <xdr:colOff>571500</xdr:colOff>
          <xdr:row>4</xdr:row>
          <xdr:rowOff>114300</xdr:rowOff>
        </xdr:to>
        <xdr:sp macro="" textlink="">
          <xdr:nvSpPr>
            <xdr:cNvPr id="144388" name="Group Box 4" hidden="1">
              <a:extLst>
                <a:ext uri="{63B3BB69-23CF-44E3-9099-C40C66FF867C}">
                  <a14:compatExt spid="_x0000_s144388"/>
                </a:ext>
                <a:ext uri="{FF2B5EF4-FFF2-40B4-BE49-F238E27FC236}">
                  <a16:creationId xmlns:a16="http://schemas.microsoft.com/office/drawing/2014/main" id="{00000000-0008-0000-0D00-000004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고용·산재 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2</xdr:row>
          <xdr:rowOff>133350</xdr:rowOff>
        </xdr:from>
        <xdr:to>
          <xdr:col>19</xdr:col>
          <xdr:colOff>514350</xdr:colOff>
          <xdr:row>4</xdr:row>
          <xdr:rowOff>19050</xdr:rowOff>
        </xdr:to>
        <xdr:sp macro="" textlink="">
          <xdr:nvSpPr>
            <xdr:cNvPr id="144389" name="Option Button 5" hidden="1">
              <a:extLst>
                <a:ext uri="{63B3BB69-23CF-44E3-9099-C40C66FF867C}">
                  <a14:compatExt spid="_x0000_s144389"/>
                </a:ext>
                <a:ext uri="{FF2B5EF4-FFF2-40B4-BE49-F238E27FC236}">
                  <a16:creationId xmlns:a16="http://schemas.microsoft.com/office/drawing/2014/main" id="{00000000-0008-0000-0D00-000005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하수급인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190500</xdr:colOff>
          <xdr:row>2</xdr:row>
          <xdr:rowOff>161925</xdr:rowOff>
        </xdr:from>
        <xdr:to>
          <xdr:col>21</xdr:col>
          <xdr:colOff>504825</xdr:colOff>
          <xdr:row>4</xdr:row>
          <xdr:rowOff>47625</xdr:rowOff>
        </xdr:to>
        <xdr:sp macro="" textlink="">
          <xdr:nvSpPr>
            <xdr:cNvPr id="144390" name="Option Button 6" hidden="1">
              <a:extLst>
                <a:ext uri="{63B3BB69-23CF-44E3-9099-C40C66FF867C}">
                  <a14:compatExt spid="_x0000_s144390"/>
                </a:ext>
                <a:ext uri="{FF2B5EF4-FFF2-40B4-BE49-F238E27FC236}">
                  <a16:creationId xmlns:a16="http://schemas.microsoft.com/office/drawing/2014/main" id="{00000000-0008-0000-0D00-000006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원수급인 부담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609600</xdr:colOff>
          <xdr:row>35</xdr:row>
          <xdr:rowOff>95250</xdr:rowOff>
        </xdr:from>
        <xdr:to>
          <xdr:col>15</xdr:col>
          <xdr:colOff>161925</xdr:colOff>
          <xdr:row>38</xdr:row>
          <xdr:rowOff>190500</xdr:rowOff>
        </xdr:to>
        <xdr:sp macro="" textlink="">
          <xdr:nvSpPr>
            <xdr:cNvPr id="144410" name="Group Box 26" hidden="1">
              <a:extLst>
                <a:ext uri="{63B3BB69-23CF-44E3-9099-C40C66FF867C}">
                  <a14:compatExt spid="_x0000_s144410"/>
                </a:ext>
                <a:ext uri="{FF2B5EF4-FFF2-40B4-BE49-F238E27FC236}">
                  <a16:creationId xmlns:a16="http://schemas.microsoft.com/office/drawing/2014/main" id="{00000000-0008-0000-0D00-00001A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4대보험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37</xdr:row>
          <xdr:rowOff>28575</xdr:rowOff>
        </xdr:from>
        <xdr:to>
          <xdr:col>13</xdr:col>
          <xdr:colOff>523875</xdr:colOff>
          <xdr:row>38</xdr:row>
          <xdr:rowOff>66675</xdr:rowOff>
        </xdr:to>
        <xdr:sp macro="" textlink="">
          <xdr:nvSpPr>
            <xdr:cNvPr id="144411" name="Option Button 27" hidden="1">
              <a:extLst>
                <a:ext uri="{63B3BB69-23CF-44E3-9099-C40C66FF867C}">
                  <a14:compatExt spid="_x0000_s144411"/>
                </a:ext>
                <a:ext uri="{FF2B5EF4-FFF2-40B4-BE49-F238E27FC236}">
                  <a16:creationId xmlns:a16="http://schemas.microsoft.com/office/drawing/2014/main" id="{00000000-0008-0000-0D00-00001B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고지금액(기 신고 보수액)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266700</xdr:colOff>
          <xdr:row>35</xdr:row>
          <xdr:rowOff>95250</xdr:rowOff>
        </xdr:from>
        <xdr:to>
          <xdr:col>18</xdr:col>
          <xdr:colOff>828675</xdr:colOff>
          <xdr:row>38</xdr:row>
          <xdr:rowOff>95250</xdr:rowOff>
        </xdr:to>
        <xdr:sp macro="" textlink="">
          <xdr:nvSpPr>
            <xdr:cNvPr id="144413" name="Group Box 29" hidden="1">
              <a:extLst>
                <a:ext uri="{63B3BB69-23CF-44E3-9099-C40C66FF867C}">
                  <a14:compatExt spid="_x0000_s144413"/>
                </a:ext>
                <a:ext uri="{FF2B5EF4-FFF2-40B4-BE49-F238E27FC236}">
                  <a16:creationId xmlns:a16="http://schemas.microsoft.com/office/drawing/2014/main" id="{00000000-0008-0000-0D00-00001D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법인 대표자 및 65세 이후 고용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37</xdr:row>
          <xdr:rowOff>9525</xdr:rowOff>
        </xdr:from>
        <xdr:to>
          <xdr:col>17</xdr:col>
          <xdr:colOff>28575</xdr:colOff>
          <xdr:row>38</xdr:row>
          <xdr:rowOff>47625</xdr:rowOff>
        </xdr:to>
        <xdr:sp macro="" textlink="">
          <xdr:nvSpPr>
            <xdr:cNvPr id="144414" name="Option Button 30" hidden="1">
              <a:extLst>
                <a:ext uri="{63B3BB69-23CF-44E3-9099-C40C66FF867C}">
                  <a14:compatExt spid="_x0000_s144414"/>
                </a:ext>
                <a:ext uri="{FF2B5EF4-FFF2-40B4-BE49-F238E27FC236}">
                  <a16:creationId xmlns:a16="http://schemas.microsoft.com/office/drawing/2014/main" id="{00000000-0008-0000-0D00-00001E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190500</xdr:colOff>
          <xdr:row>37</xdr:row>
          <xdr:rowOff>38100</xdr:rowOff>
        </xdr:from>
        <xdr:to>
          <xdr:col>18</xdr:col>
          <xdr:colOff>657225</xdr:colOff>
          <xdr:row>38</xdr:row>
          <xdr:rowOff>76200</xdr:rowOff>
        </xdr:to>
        <xdr:sp macro="" textlink="">
          <xdr:nvSpPr>
            <xdr:cNvPr id="144415" name="Option Button 31" hidden="1">
              <a:extLst>
                <a:ext uri="{63B3BB69-23CF-44E3-9099-C40C66FF867C}">
                  <a14:compatExt spid="_x0000_s144415"/>
                </a:ext>
                <a:ext uri="{FF2B5EF4-FFF2-40B4-BE49-F238E27FC236}">
                  <a16:creationId xmlns:a16="http://schemas.microsoft.com/office/drawing/2014/main" id="{00000000-0008-0000-0D00-00001F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고용보험 가입 미대상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600075</xdr:colOff>
          <xdr:row>37</xdr:row>
          <xdr:rowOff>38100</xdr:rowOff>
        </xdr:from>
        <xdr:to>
          <xdr:col>14</xdr:col>
          <xdr:colOff>647700</xdr:colOff>
          <xdr:row>38</xdr:row>
          <xdr:rowOff>76200</xdr:rowOff>
        </xdr:to>
        <xdr:sp macro="" textlink="">
          <xdr:nvSpPr>
            <xdr:cNvPr id="144495" name="Option Button 111" hidden="1">
              <a:extLst>
                <a:ext uri="{63B3BB69-23CF-44E3-9099-C40C66FF867C}">
                  <a14:compatExt spid="_x0000_s144495"/>
                </a:ext>
                <a:ext uri="{FF2B5EF4-FFF2-40B4-BE49-F238E27FC236}">
                  <a16:creationId xmlns:a16="http://schemas.microsoft.com/office/drawing/2014/main" id="{00000000-0008-0000-0D00-00006F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과세급액(현 급여)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</xdr:row>
          <xdr:rowOff>9525</xdr:rowOff>
        </xdr:from>
        <xdr:to>
          <xdr:col>3</xdr:col>
          <xdr:colOff>19050</xdr:colOff>
          <xdr:row>3</xdr:row>
          <xdr:rowOff>85725</xdr:rowOff>
        </xdr:to>
        <xdr:sp macro="" textlink="">
          <xdr:nvSpPr>
            <xdr:cNvPr id="144503" name="Group Box 119" hidden="1">
              <a:extLst>
                <a:ext uri="{63B3BB69-23CF-44E3-9099-C40C66FF867C}">
                  <a14:compatExt spid="_x0000_s144503"/>
                </a:ext>
                <a:ext uri="{FF2B5EF4-FFF2-40B4-BE49-F238E27FC236}">
                  <a16:creationId xmlns:a16="http://schemas.microsoft.com/office/drawing/2014/main" id="{00000000-0008-0000-0D00-000077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 입력구분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</xdr:row>
          <xdr:rowOff>38100</xdr:rowOff>
        </xdr:from>
        <xdr:to>
          <xdr:col>1</xdr:col>
          <xdr:colOff>104775</xdr:colOff>
          <xdr:row>3</xdr:row>
          <xdr:rowOff>28575</xdr:rowOff>
        </xdr:to>
        <xdr:sp macro="" textlink="">
          <xdr:nvSpPr>
            <xdr:cNvPr id="144505" name="Option Button 121" hidden="1">
              <a:extLst>
                <a:ext uri="{63B3BB69-23CF-44E3-9099-C40C66FF867C}">
                  <a14:compatExt spid="_x0000_s144505"/>
                </a:ext>
                <a:ext uri="{FF2B5EF4-FFF2-40B4-BE49-F238E27FC236}">
                  <a16:creationId xmlns:a16="http://schemas.microsoft.com/office/drawing/2014/main" id="{00000000-0008-0000-0D00-000079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급여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</xdr:row>
          <xdr:rowOff>47625</xdr:rowOff>
        </xdr:from>
        <xdr:to>
          <xdr:col>2</xdr:col>
          <xdr:colOff>142875</xdr:colOff>
          <xdr:row>3</xdr:row>
          <xdr:rowOff>38100</xdr:rowOff>
        </xdr:to>
        <xdr:sp macro="" textlink="">
          <xdr:nvSpPr>
            <xdr:cNvPr id="144507" name="Option Button 123" hidden="1">
              <a:extLst>
                <a:ext uri="{63B3BB69-23CF-44E3-9099-C40C66FF867C}">
                  <a14:compatExt spid="_x0000_s144507"/>
                </a:ext>
                <a:ext uri="{FF2B5EF4-FFF2-40B4-BE49-F238E27FC236}">
                  <a16:creationId xmlns:a16="http://schemas.microsoft.com/office/drawing/2014/main" id="{00000000-0008-0000-0D00-00007B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일용직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af&#233;.daum.net/transta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R96D/62" TargetMode="External"/><Relationship Id="rId13" Type="http://schemas.openxmlformats.org/officeDocument/2006/relationships/hyperlink" Target="https://dinohr.tistory.com/93" TargetMode="External"/><Relationship Id="rId18" Type="http://schemas.openxmlformats.org/officeDocument/2006/relationships/hyperlink" Target="https://cafe.daum.net/transtax/R96D/62" TargetMode="External"/><Relationship Id="rId26" Type="http://schemas.openxmlformats.org/officeDocument/2006/relationships/ctrlProp" Target="../ctrlProps/ctrlProp4.xml"/><Relationship Id="rId3" Type="http://schemas.openxmlformats.org/officeDocument/2006/relationships/hyperlink" Target="https://si4n.nhis.or.kr/" TargetMode="External"/><Relationship Id="rId21" Type="http://schemas.openxmlformats.org/officeDocument/2006/relationships/drawing" Target="../drawings/drawing6.xml"/><Relationship Id="rId34" Type="http://schemas.openxmlformats.org/officeDocument/2006/relationships/ctrlProp" Target="../ctrlProps/ctrlProp12.xml"/><Relationship Id="rId7" Type="http://schemas.openxmlformats.org/officeDocument/2006/relationships/hyperlink" Target="https://cafe.daum.net/transtax/CUf2/286" TargetMode="External"/><Relationship Id="rId12" Type="http://schemas.openxmlformats.org/officeDocument/2006/relationships/hyperlink" Target="https://cafe.daum.net/transtax/FWkz/185" TargetMode="External"/><Relationship Id="rId17" Type="http://schemas.openxmlformats.org/officeDocument/2006/relationships/hyperlink" Target="https://cafe.daum.net/transtax/FWkz/224" TargetMode="External"/><Relationship Id="rId25" Type="http://schemas.openxmlformats.org/officeDocument/2006/relationships/ctrlProp" Target="../ctrlProps/ctrlProp3.xml"/><Relationship Id="rId33" Type="http://schemas.openxmlformats.org/officeDocument/2006/relationships/ctrlProp" Target="../ctrlProps/ctrlProp11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6ax6/201" TargetMode="External"/><Relationship Id="rId20" Type="http://schemas.openxmlformats.org/officeDocument/2006/relationships/printerSettings" Target="../printerSettings/printerSettings9.bin"/><Relationship Id="rId29" Type="http://schemas.openxmlformats.org/officeDocument/2006/relationships/ctrlProp" Target="../ctrlProps/ctrlProp7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www.youtube.com/watch?v=gXWMTEoxbB0" TargetMode="External"/><Relationship Id="rId11" Type="http://schemas.openxmlformats.org/officeDocument/2006/relationships/hyperlink" Target="https://cafe.daum.net/transtax/R96D/62" TargetMode="External"/><Relationship Id="rId24" Type="http://schemas.openxmlformats.org/officeDocument/2006/relationships/ctrlProp" Target="../ctrlProps/ctrlProp2.xml"/><Relationship Id="rId32" Type="http://schemas.openxmlformats.org/officeDocument/2006/relationships/ctrlProp" Target="../ctrlProps/ctrlProp10.xml"/><Relationship Id="rId5" Type="http://schemas.openxmlformats.org/officeDocument/2006/relationships/hyperlink" Target="https://www.kcomwel.or.kr/comwel/paym/paym/tari.jsp" TargetMode="External"/><Relationship Id="rId15" Type="http://schemas.openxmlformats.org/officeDocument/2006/relationships/hyperlink" Target="https://cafe.daum.net/transtax/R96D/62" TargetMode="External"/><Relationship Id="rId23" Type="http://schemas.openxmlformats.org/officeDocument/2006/relationships/ctrlProp" Target="../ctrlProps/ctrlProp1.xml"/><Relationship Id="rId28" Type="http://schemas.openxmlformats.org/officeDocument/2006/relationships/ctrlProp" Target="../ctrlProps/ctrlProp6.xml"/><Relationship Id="rId10" Type="http://schemas.openxmlformats.org/officeDocument/2006/relationships/hyperlink" Target="https://www.law.go.kr/%ED%96%89%EC%A0%95%EA%B7%9C%EC%B9%99/%ED%86%B5%EC%83%81%EC%9E%84%EA%B8%88%EC%82%B0%EC%A0%95%EC%A7%80%EC%B9%A8" TargetMode="External"/><Relationship Id="rId19" Type="http://schemas.openxmlformats.org/officeDocument/2006/relationships/hyperlink" Target="https://si4n.nhis.or.kr/" TargetMode="External"/><Relationship Id="rId31" Type="http://schemas.openxmlformats.org/officeDocument/2006/relationships/ctrlProp" Target="../ctrlProps/ctrlProp9.xml"/><Relationship Id="rId4" Type="http://schemas.openxmlformats.org/officeDocument/2006/relationships/hyperlink" Target="https://si4n.nhis.or.kr/" TargetMode="External"/><Relationship Id="rId9" Type="http://schemas.openxmlformats.org/officeDocument/2006/relationships/hyperlink" Target="https://blog.naver.com/hope-pys/222547604214" TargetMode="External"/><Relationship Id="rId14" Type="http://schemas.openxmlformats.org/officeDocument/2006/relationships/hyperlink" Target="https://www.law.go.kr/%ED%96%89%EC%A0%95%EA%B7%9C%EC%B9%99/%ED%86%B5%EC%83%81%EC%9E%84%EA%B8%88%EC%82%B0%EC%A0%95%EC%A7%80%EC%B9%A8" TargetMode="External"/><Relationship Id="rId22" Type="http://schemas.openxmlformats.org/officeDocument/2006/relationships/vmlDrawing" Target="../drawings/vmlDrawing3.vml"/><Relationship Id="rId27" Type="http://schemas.openxmlformats.org/officeDocument/2006/relationships/ctrlProp" Target="../ctrlProps/ctrlProp5.xml"/><Relationship Id="rId30" Type="http://schemas.openxmlformats.org/officeDocument/2006/relationships/ctrlProp" Target="../ctrlProps/ctrlProp8.xml"/><Relationship Id="rId35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R96D/62" TargetMode="External"/><Relationship Id="rId13" Type="http://schemas.openxmlformats.org/officeDocument/2006/relationships/hyperlink" Target="https://www.law.go.kr/%ED%96%89%EC%A0%95%EA%B7%9C%EC%B9%99/%ED%86%B5%EC%83%81%EC%9E%84%EA%B8%88%EC%82%B0%EC%A0%95%EC%A7%80%EC%B9%A8" TargetMode="External"/><Relationship Id="rId18" Type="http://schemas.openxmlformats.org/officeDocument/2006/relationships/hyperlink" Target="https://si4n.nhis.or.kr/" TargetMode="External"/><Relationship Id="rId26" Type="http://schemas.openxmlformats.org/officeDocument/2006/relationships/ctrlProp" Target="../ctrlProps/ctrlProp16.xml"/><Relationship Id="rId3" Type="http://schemas.openxmlformats.org/officeDocument/2006/relationships/hyperlink" Target="https://www.kcomwel.or.kr/comwel/paym/paym/tari.jsp" TargetMode="External"/><Relationship Id="rId21" Type="http://schemas.openxmlformats.org/officeDocument/2006/relationships/drawing" Target="../drawings/drawing7.xml"/><Relationship Id="rId34" Type="http://schemas.openxmlformats.org/officeDocument/2006/relationships/ctrlProp" Target="../ctrlProps/ctrlProp24.xml"/><Relationship Id="rId7" Type="http://schemas.openxmlformats.org/officeDocument/2006/relationships/hyperlink" Target="https://www.law.go.kr/%ED%96%89%EC%A0%95%EA%B7%9C%EC%B9%99/%ED%86%B5%EC%83%81%EC%9E%84%EA%B8%88%EC%82%B0%EC%A0%95%EC%A7%80%EC%B9%A8" TargetMode="External"/><Relationship Id="rId12" Type="http://schemas.openxmlformats.org/officeDocument/2006/relationships/hyperlink" Target="https://cafe.daum.net/transtax/R96D/62" TargetMode="External"/><Relationship Id="rId17" Type="http://schemas.openxmlformats.org/officeDocument/2006/relationships/hyperlink" Target="https://cafe.daum.net/transtax/R96D/62" TargetMode="External"/><Relationship Id="rId25" Type="http://schemas.openxmlformats.org/officeDocument/2006/relationships/ctrlProp" Target="../ctrlProps/ctrlProp15.xml"/><Relationship Id="rId33" Type="http://schemas.openxmlformats.org/officeDocument/2006/relationships/ctrlProp" Target="../ctrlProps/ctrlProp23.xml"/><Relationship Id="rId2" Type="http://schemas.openxmlformats.org/officeDocument/2006/relationships/hyperlink" Target="https://si4n.nhis.or.kr/" TargetMode="External"/><Relationship Id="rId16" Type="http://schemas.openxmlformats.org/officeDocument/2006/relationships/hyperlink" Target="https://cafe.daum.net/transtax/FWkz/224" TargetMode="External"/><Relationship Id="rId20" Type="http://schemas.openxmlformats.org/officeDocument/2006/relationships/printerSettings" Target="../printerSettings/printerSettings10.bin"/><Relationship Id="rId29" Type="http://schemas.openxmlformats.org/officeDocument/2006/relationships/ctrlProp" Target="../ctrlProps/ctrlProp19.xml"/><Relationship Id="rId1" Type="http://schemas.openxmlformats.org/officeDocument/2006/relationships/hyperlink" Target="https://si4n.nhis.or.kr/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www.law.go.kr/%ED%96%89%EC%A0%95%EA%B7%9C%EC%B9%99/%ED%86%B5%EC%83%81%EC%9E%84%EA%B8%88%EC%82%B0%EC%A0%95%EC%A7%80%EC%B9%A8" TargetMode="External"/><Relationship Id="rId24" Type="http://schemas.openxmlformats.org/officeDocument/2006/relationships/ctrlProp" Target="../ctrlProps/ctrlProp14.xml"/><Relationship Id="rId32" Type="http://schemas.openxmlformats.org/officeDocument/2006/relationships/ctrlProp" Target="../ctrlProps/ctrlProp22.xml"/><Relationship Id="rId5" Type="http://schemas.openxmlformats.org/officeDocument/2006/relationships/hyperlink" Target="https://cafe.daum.net/transtax/CUf2/286" TargetMode="External"/><Relationship Id="rId15" Type="http://schemas.openxmlformats.org/officeDocument/2006/relationships/hyperlink" Target="https://cafe.daum.net/transtax/6ax6/201" TargetMode="External"/><Relationship Id="rId23" Type="http://schemas.openxmlformats.org/officeDocument/2006/relationships/ctrlProp" Target="../ctrlProps/ctrlProp13.xml"/><Relationship Id="rId28" Type="http://schemas.openxmlformats.org/officeDocument/2006/relationships/ctrlProp" Target="../ctrlProps/ctrlProp18.xml"/><Relationship Id="rId10" Type="http://schemas.openxmlformats.org/officeDocument/2006/relationships/hyperlink" Target="https://dinohr.tistory.com/93" TargetMode="External"/><Relationship Id="rId19" Type="http://schemas.openxmlformats.org/officeDocument/2006/relationships/hyperlink" Target="https://www.nodong.or.kr/common_wage_cal" TargetMode="External"/><Relationship Id="rId31" Type="http://schemas.openxmlformats.org/officeDocument/2006/relationships/ctrlProp" Target="../ctrlProps/ctrlProp21.xml"/><Relationship Id="rId4" Type="http://schemas.openxmlformats.org/officeDocument/2006/relationships/hyperlink" Target="https://www.youtube.com/watch?v=gXWMTEoxbB0" TargetMode="External"/><Relationship Id="rId9" Type="http://schemas.openxmlformats.org/officeDocument/2006/relationships/hyperlink" Target="https://cafe.daum.net/transtax/FWkz/185" TargetMode="External"/><Relationship Id="rId14" Type="http://schemas.openxmlformats.org/officeDocument/2006/relationships/hyperlink" Target="https://cafe.daum.net/transtax/R96D/62" TargetMode="External"/><Relationship Id="rId22" Type="http://schemas.openxmlformats.org/officeDocument/2006/relationships/vmlDrawing" Target="../drawings/vmlDrawing4.vml"/><Relationship Id="rId27" Type="http://schemas.openxmlformats.org/officeDocument/2006/relationships/ctrlProp" Target="../ctrlProps/ctrlProp17.xml"/><Relationship Id="rId30" Type="http://schemas.openxmlformats.org/officeDocument/2006/relationships/ctrlProp" Target="../ctrlProps/ctrlProp20.xml"/><Relationship Id="rId35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awnb.com/Info/ContentView?sid=L000003058_B0001000_Y_20211119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hyperlink" Target="https://si4n.nhis.or.kr/" TargetMode="External"/><Relationship Id="rId26" Type="http://schemas.openxmlformats.org/officeDocument/2006/relationships/ctrlProp" Target="../ctrlProps/ctrlProp28.xml"/><Relationship Id="rId3" Type="http://schemas.openxmlformats.org/officeDocument/2006/relationships/hyperlink" Target="https://si4n.nhis.or.kr/" TargetMode="External"/><Relationship Id="rId21" Type="http://schemas.openxmlformats.org/officeDocument/2006/relationships/drawing" Target="../drawings/drawing8.xml"/><Relationship Id="rId7" Type="http://schemas.openxmlformats.org/officeDocument/2006/relationships/hyperlink" Target="https://cafe.daum.net/transtax/CUf2/286" TargetMode="External"/><Relationship Id="rId12" Type="http://schemas.openxmlformats.org/officeDocument/2006/relationships/hyperlink" Target="https://dinohr.tistory.com/93" TargetMode="External"/><Relationship Id="rId17" Type="http://schemas.openxmlformats.org/officeDocument/2006/relationships/hyperlink" Target="https://cafe.daum.net/transtax/R96D/62" TargetMode="External"/><Relationship Id="rId25" Type="http://schemas.openxmlformats.org/officeDocument/2006/relationships/ctrlProp" Target="../ctrlProps/ctrlProp27.xml"/><Relationship Id="rId2" Type="http://schemas.openxmlformats.org/officeDocument/2006/relationships/hyperlink" Target="https://si4n.nhis.or.kr/" TargetMode="External"/><Relationship Id="rId16" Type="http://schemas.openxmlformats.org/officeDocument/2006/relationships/hyperlink" Target="https://cafe.daum.net/transtax/FWkz/224" TargetMode="External"/><Relationship Id="rId20" Type="http://schemas.openxmlformats.org/officeDocument/2006/relationships/printerSettings" Target="../printerSettings/printerSettings11.bin"/><Relationship Id="rId29" Type="http://schemas.openxmlformats.org/officeDocument/2006/relationships/comments" Target="../comments5.xml"/><Relationship Id="rId1" Type="http://schemas.openxmlformats.org/officeDocument/2006/relationships/hyperlink" Target="https://www.law.go.kr/%ED%96%89%EC%A0%95%EA%B7%9C%EC%B9%99/%ED%86%B5%EC%83%81%EC%9E%84%EA%B8%88%EC%82%B0%EC%A0%95%EC%A7%80%EC%B9%A8" TargetMode="External"/><Relationship Id="rId6" Type="http://schemas.openxmlformats.org/officeDocument/2006/relationships/hyperlink" Target="https://www.youtube.com/watch?v=gXWMTEoxbB0" TargetMode="External"/><Relationship Id="rId11" Type="http://schemas.openxmlformats.org/officeDocument/2006/relationships/hyperlink" Target="https://www.law.go.kr/%ED%96%89%EC%A0%95%EA%B7%9C%EC%B9%99/%ED%86%B5%EC%83%81%EC%9E%84%EA%B8%88%EC%82%B0%EC%A0%95%EC%A7%80%EC%B9%A8" TargetMode="External"/><Relationship Id="rId24" Type="http://schemas.openxmlformats.org/officeDocument/2006/relationships/ctrlProp" Target="../ctrlProps/ctrlProp26.xml"/><Relationship Id="rId5" Type="http://schemas.openxmlformats.org/officeDocument/2006/relationships/hyperlink" Target="mailto:idtax@hanmail.net" TargetMode="External"/><Relationship Id="rId15" Type="http://schemas.openxmlformats.org/officeDocument/2006/relationships/hyperlink" Target="https://cafe.daum.net/transtax/6ax6/201" TargetMode="External"/><Relationship Id="rId23" Type="http://schemas.openxmlformats.org/officeDocument/2006/relationships/ctrlProp" Target="../ctrlProps/ctrlProp25.xml"/><Relationship Id="rId28" Type="http://schemas.openxmlformats.org/officeDocument/2006/relationships/ctrlProp" Target="../ctrlProps/ctrlProp30.xml"/><Relationship Id="rId10" Type="http://schemas.openxmlformats.org/officeDocument/2006/relationships/hyperlink" Target="https://cafe.daum.net/transtax/FWkz/185" TargetMode="External"/><Relationship Id="rId19" Type="http://schemas.openxmlformats.org/officeDocument/2006/relationships/hyperlink" Target="https://www.nodong.or.kr/common_wage_cal" TargetMode="Externa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blog.naver.com/hope-pys/222547604214" TargetMode="External"/><Relationship Id="rId14" Type="http://schemas.openxmlformats.org/officeDocument/2006/relationships/hyperlink" Target="https://www.law.go.kr/%ED%96%89%EC%A0%95%EA%B7%9C%EC%B9%99/%ED%86%B5%EC%83%81%EC%9E%84%EA%B8%88%EC%82%B0%EC%A0%95%EC%A7%80%EC%B9%A8" TargetMode="External"/><Relationship Id="rId22" Type="http://schemas.openxmlformats.org/officeDocument/2006/relationships/vmlDrawing" Target="../drawings/vmlDrawing5.vml"/><Relationship Id="rId27" Type="http://schemas.openxmlformats.org/officeDocument/2006/relationships/ctrlProp" Target="../ctrlProps/ctrlProp2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jedilaborlaw.tistory.com/843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inohr.tistory.com/93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printerSettings" Target="../printerSettings/printerSettings13.bin"/><Relationship Id="rId26" Type="http://schemas.openxmlformats.org/officeDocument/2006/relationships/ctrlProp" Target="../ctrlProps/ctrlProp36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ctrlProp" Target="../ctrlProps/ctrlProp31.xml"/><Relationship Id="rId34" Type="http://schemas.openxmlformats.org/officeDocument/2006/relationships/ctrlProp" Target="../ctrlProps/ctrlProp44.xml"/><Relationship Id="rId7" Type="http://schemas.openxmlformats.org/officeDocument/2006/relationships/hyperlink" Target="https://cafe.daum.net/transtax/FWkz/185" TargetMode="External"/><Relationship Id="rId12" Type="http://schemas.openxmlformats.org/officeDocument/2006/relationships/hyperlink" Target="https://www.law.go.kr/%ED%96%89%EC%A0%95%EA%B7%9C%EC%B9%99/%ED%86%B5%EC%83%81%EC%9E%84%EA%B8%88%EC%82%B0%EC%A0%95%EC%A7%80%EC%B9%A8" TargetMode="External"/><Relationship Id="rId17" Type="http://schemas.openxmlformats.org/officeDocument/2006/relationships/hyperlink" Target="https://si4n.nhis.or.kr/" TargetMode="External"/><Relationship Id="rId25" Type="http://schemas.openxmlformats.org/officeDocument/2006/relationships/ctrlProp" Target="../ctrlProps/ctrlProp35.xml"/><Relationship Id="rId33" Type="http://schemas.openxmlformats.org/officeDocument/2006/relationships/ctrlProp" Target="../ctrlProps/ctrlProp43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R96D/62" TargetMode="External"/><Relationship Id="rId20" Type="http://schemas.openxmlformats.org/officeDocument/2006/relationships/vmlDrawing" Target="../drawings/vmlDrawing6.vml"/><Relationship Id="rId29" Type="http://schemas.openxmlformats.org/officeDocument/2006/relationships/ctrlProp" Target="../ctrlProps/ctrlProp39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www.youtube.com/watch?v=nW08iCgHxPA" TargetMode="External"/><Relationship Id="rId24" Type="http://schemas.openxmlformats.org/officeDocument/2006/relationships/ctrlProp" Target="../ctrlProps/ctrlProp34.xml"/><Relationship Id="rId32" Type="http://schemas.openxmlformats.org/officeDocument/2006/relationships/ctrlProp" Target="../ctrlProps/ctrlProp42.xml"/><Relationship Id="rId5" Type="http://schemas.openxmlformats.org/officeDocument/2006/relationships/hyperlink" Target="https://www.youtube.com/watch?v=gXWMTEoxbB0" TargetMode="External"/><Relationship Id="rId15" Type="http://schemas.openxmlformats.org/officeDocument/2006/relationships/hyperlink" Target="https://cafe.daum.net/transtax/FWkz/224" TargetMode="External"/><Relationship Id="rId23" Type="http://schemas.openxmlformats.org/officeDocument/2006/relationships/ctrlProp" Target="../ctrlProps/ctrlProp33.xml"/><Relationship Id="rId28" Type="http://schemas.openxmlformats.org/officeDocument/2006/relationships/ctrlProp" Target="../ctrlProps/ctrlProp38.xml"/><Relationship Id="rId36" Type="http://schemas.openxmlformats.org/officeDocument/2006/relationships/comments" Target="../comments6.xml"/><Relationship Id="rId10" Type="http://schemas.openxmlformats.org/officeDocument/2006/relationships/hyperlink" Target="https://cafe.daum.net/transtax/R96D/62" TargetMode="External"/><Relationship Id="rId19" Type="http://schemas.openxmlformats.org/officeDocument/2006/relationships/drawing" Target="../drawings/drawing9.xml"/><Relationship Id="rId31" Type="http://schemas.openxmlformats.org/officeDocument/2006/relationships/ctrlProp" Target="../ctrlProps/ctrlProp41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www.youtube.com/watch?v=BVRVpPvgxxc" TargetMode="External"/><Relationship Id="rId14" Type="http://schemas.openxmlformats.org/officeDocument/2006/relationships/hyperlink" Target="https://cafe.daum.net/transtax/6ax6/201" TargetMode="External"/><Relationship Id="rId22" Type="http://schemas.openxmlformats.org/officeDocument/2006/relationships/ctrlProp" Target="../ctrlProps/ctrlProp32.xml"/><Relationship Id="rId27" Type="http://schemas.openxmlformats.org/officeDocument/2006/relationships/ctrlProp" Target="../ctrlProps/ctrlProp37.xml"/><Relationship Id="rId30" Type="http://schemas.openxmlformats.org/officeDocument/2006/relationships/ctrlProp" Target="../ctrlProps/ctrlProp40.xml"/><Relationship Id="rId35" Type="http://schemas.openxmlformats.org/officeDocument/2006/relationships/ctrlProp" Target="../ctrlProps/ctrlProp4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FWkz/185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hyperlink" Target="https://cafe.daum.net/transtax/R96D/62" TargetMode="External"/><Relationship Id="rId26" Type="http://schemas.openxmlformats.org/officeDocument/2006/relationships/ctrlProp" Target="../ctrlProps/ctrlProp49.xml"/><Relationship Id="rId39" Type="http://schemas.openxmlformats.org/officeDocument/2006/relationships/ctrlProp" Target="../ctrlProps/ctrlProp62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drawing" Target="../drawings/drawing10.xml"/><Relationship Id="rId34" Type="http://schemas.openxmlformats.org/officeDocument/2006/relationships/ctrlProp" Target="../ctrlProps/ctrlProp57.xml"/><Relationship Id="rId7" Type="http://schemas.openxmlformats.org/officeDocument/2006/relationships/hyperlink" Target="https://cafe.daum.net/transtax/R96D/62" TargetMode="External"/><Relationship Id="rId12" Type="http://schemas.openxmlformats.org/officeDocument/2006/relationships/hyperlink" Target="https://www.youtube.com/watch?v=nW08iCgHxPA" TargetMode="External"/><Relationship Id="rId17" Type="http://schemas.openxmlformats.org/officeDocument/2006/relationships/hyperlink" Target="https://cafe.daum.net/transtax/FWkz/224" TargetMode="External"/><Relationship Id="rId25" Type="http://schemas.openxmlformats.org/officeDocument/2006/relationships/ctrlProp" Target="../ctrlProps/ctrlProp48.xml"/><Relationship Id="rId33" Type="http://schemas.openxmlformats.org/officeDocument/2006/relationships/ctrlProp" Target="../ctrlProps/ctrlProp56.xml"/><Relationship Id="rId38" Type="http://schemas.openxmlformats.org/officeDocument/2006/relationships/ctrlProp" Target="../ctrlProps/ctrlProp61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6ax6/201" TargetMode="External"/><Relationship Id="rId20" Type="http://schemas.openxmlformats.org/officeDocument/2006/relationships/printerSettings" Target="../printerSettings/printerSettings14.bin"/><Relationship Id="rId29" Type="http://schemas.openxmlformats.org/officeDocument/2006/relationships/ctrlProp" Target="../ctrlProps/ctrlProp52.xml"/><Relationship Id="rId41" Type="http://schemas.openxmlformats.org/officeDocument/2006/relationships/comments" Target="../comments7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cafe.daum.net/transtax/R96D/62" TargetMode="External"/><Relationship Id="rId24" Type="http://schemas.openxmlformats.org/officeDocument/2006/relationships/ctrlProp" Target="../ctrlProps/ctrlProp47.xml"/><Relationship Id="rId32" Type="http://schemas.openxmlformats.org/officeDocument/2006/relationships/ctrlProp" Target="../ctrlProps/ctrlProp55.xml"/><Relationship Id="rId37" Type="http://schemas.openxmlformats.org/officeDocument/2006/relationships/ctrlProp" Target="../ctrlProps/ctrlProp60.xml"/><Relationship Id="rId40" Type="http://schemas.openxmlformats.org/officeDocument/2006/relationships/ctrlProp" Target="../ctrlProps/ctrlProp63.xml"/><Relationship Id="rId5" Type="http://schemas.openxmlformats.org/officeDocument/2006/relationships/hyperlink" Target="mailto:idtax@hanmail.net" TargetMode="External"/><Relationship Id="rId15" Type="http://schemas.openxmlformats.org/officeDocument/2006/relationships/hyperlink" Target="https://cafe.daum.net/transtax/R96D/62" TargetMode="External"/><Relationship Id="rId23" Type="http://schemas.openxmlformats.org/officeDocument/2006/relationships/ctrlProp" Target="../ctrlProps/ctrlProp46.xml"/><Relationship Id="rId28" Type="http://schemas.openxmlformats.org/officeDocument/2006/relationships/ctrlProp" Target="../ctrlProps/ctrlProp51.xml"/><Relationship Id="rId36" Type="http://schemas.openxmlformats.org/officeDocument/2006/relationships/ctrlProp" Target="../ctrlProps/ctrlProp59.xml"/><Relationship Id="rId10" Type="http://schemas.openxmlformats.org/officeDocument/2006/relationships/hyperlink" Target="https://www.youtube.com/watch?v=BVRVpPvgxxc" TargetMode="External"/><Relationship Id="rId19" Type="http://schemas.openxmlformats.org/officeDocument/2006/relationships/hyperlink" Target="https://si4n.nhis.or.kr/" TargetMode="External"/><Relationship Id="rId31" Type="http://schemas.openxmlformats.org/officeDocument/2006/relationships/ctrlProp" Target="../ctrlProps/ctrlProp54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dinohr.tistory.com/93" TargetMode="External"/><Relationship Id="rId14" Type="http://schemas.openxmlformats.org/officeDocument/2006/relationships/hyperlink" Target="https://cafe.daum.net/transtax/R96D/57" TargetMode="External"/><Relationship Id="rId22" Type="http://schemas.openxmlformats.org/officeDocument/2006/relationships/vmlDrawing" Target="../drawings/vmlDrawing7.vml"/><Relationship Id="rId27" Type="http://schemas.openxmlformats.org/officeDocument/2006/relationships/ctrlProp" Target="../ctrlProps/ctrlProp50.xml"/><Relationship Id="rId30" Type="http://schemas.openxmlformats.org/officeDocument/2006/relationships/ctrlProp" Target="../ctrlProps/ctrlProp53.xml"/><Relationship Id="rId35" Type="http://schemas.openxmlformats.org/officeDocument/2006/relationships/ctrlProp" Target="../ctrlProps/ctrlProp5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FWkz/185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hyperlink" Target="https://cafe.daum.net/transtax/R96D/62" TargetMode="External"/><Relationship Id="rId26" Type="http://schemas.openxmlformats.org/officeDocument/2006/relationships/ctrlProp" Target="../ctrlProps/ctrlProp67.xml"/><Relationship Id="rId39" Type="http://schemas.openxmlformats.org/officeDocument/2006/relationships/ctrlProp" Target="../ctrlProps/ctrlProp80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drawing" Target="../drawings/drawing11.xml"/><Relationship Id="rId34" Type="http://schemas.openxmlformats.org/officeDocument/2006/relationships/ctrlProp" Target="../ctrlProps/ctrlProp75.xml"/><Relationship Id="rId7" Type="http://schemas.openxmlformats.org/officeDocument/2006/relationships/hyperlink" Target="https://cafe.daum.net/transtax/R96D/62" TargetMode="External"/><Relationship Id="rId12" Type="http://schemas.openxmlformats.org/officeDocument/2006/relationships/hyperlink" Target="https://www.youtube.com/watch?v=nW08iCgHxPA" TargetMode="External"/><Relationship Id="rId17" Type="http://schemas.openxmlformats.org/officeDocument/2006/relationships/hyperlink" Target="https://cafe.daum.net/transtax/FWkz/224" TargetMode="External"/><Relationship Id="rId25" Type="http://schemas.openxmlformats.org/officeDocument/2006/relationships/ctrlProp" Target="../ctrlProps/ctrlProp66.xml"/><Relationship Id="rId33" Type="http://schemas.openxmlformats.org/officeDocument/2006/relationships/ctrlProp" Target="../ctrlProps/ctrlProp74.xml"/><Relationship Id="rId38" Type="http://schemas.openxmlformats.org/officeDocument/2006/relationships/ctrlProp" Target="../ctrlProps/ctrlProp79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6ax6/201" TargetMode="External"/><Relationship Id="rId20" Type="http://schemas.openxmlformats.org/officeDocument/2006/relationships/printerSettings" Target="../printerSettings/printerSettings16.bin"/><Relationship Id="rId29" Type="http://schemas.openxmlformats.org/officeDocument/2006/relationships/ctrlProp" Target="../ctrlProps/ctrlProp70.xml"/><Relationship Id="rId41" Type="http://schemas.openxmlformats.org/officeDocument/2006/relationships/comments" Target="../comments9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cafe.daum.net/transtax/R96D/62" TargetMode="External"/><Relationship Id="rId24" Type="http://schemas.openxmlformats.org/officeDocument/2006/relationships/ctrlProp" Target="../ctrlProps/ctrlProp65.xml"/><Relationship Id="rId32" Type="http://schemas.openxmlformats.org/officeDocument/2006/relationships/ctrlProp" Target="../ctrlProps/ctrlProp73.xml"/><Relationship Id="rId37" Type="http://schemas.openxmlformats.org/officeDocument/2006/relationships/ctrlProp" Target="../ctrlProps/ctrlProp78.xml"/><Relationship Id="rId40" Type="http://schemas.openxmlformats.org/officeDocument/2006/relationships/ctrlProp" Target="../ctrlProps/ctrlProp81.xml"/><Relationship Id="rId5" Type="http://schemas.openxmlformats.org/officeDocument/2006/relationships/hyperlink" Target="mailto:idtax@hanmail.net" TargetMode="External"/><Relationship Id="rId15" Type="http://schemas.openxmlformats.org/officeDocument/2006/relationships/hyperlink" Target="https://cafe.daum.net/transtax/R96D/62" TargetMode="External"/><Relationship Id="rId23" Type="http://schemas.openxmlformats.org/officeDocument/2006/relationships/ctrlProp" Target="../ctrlProps/ctrlProp64.xml"/><Relationship Id="rId28" Type="http://schemas.openxmlformats.org/officeDocument/2006/relationships/ctrlProp" Target="../ctrlProps/ctrlProp69.xml"/><Relationship Id="rId36" Type="http://schemas.openxmlformats.org/officeDocument/2006/relationships/ctrlProp" Target="../ctrlProps/ctrlProp77.xml"/><Relationship Id="rId10" Type="http://schemas.openxmlformats.org/officeDocument/2006/relationships/hyperlink" Target="https://www.youtube.com/watch?v=BVRVpPvgxxc" TargetMode="External"/><Relationship Id="rId19" Type="http://schemas.openxmlformats.org/officeDocument/2006/relationships/hyperlink" Target="https://si4n.nhis.or.kr/" TargetMode="External"/><Relationship Id="rId31" Type="http://schemas.openxmlformats.org/officeDocument/2006/relationships/ctrlProp" Target="../ctrlProps/ctrlProp72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dinohr.tistory.com/93" TargetMode="External"/><Relationship Id="rId14" Type="http://schemas.openxmlformats.org/officeDocument/2006/relationships/hyperlink" Target="https://cafe.daum.net/transtax/R96D/57" TargetMode="External"/><Relationship Id="rId22" Type="http://schemas.openxmlformats.org/officeDocument/2006/relationships/vmlDrawing" Target="../drawings/vmlDrawing9.vml"/><Relationship Id="rId27" Type="http://schemas.openxmlformats.org/officeDocument/2006/relationships/ctrlProp" Target="../ctrlProps/ctrlProp68.xml"/><Relationship Id="rId30" Type="http://schemas.openxmlformats.org/officeDocument/2006/relationships/ctrlProp" Target="../ctrlProps/ctrlProp71.xml"/><Relationship Id="rId35" Type="http://schemas.openxmlformats.org/officeDocument/2006/relationships/ctrlProp" Target="../ctrlProps/ctrlProp76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FWkz/185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hyperlink" Target="https://si4n.nhis.or.kr/" TargetMode="External"/><Relationship Id="rId26" Type="http://schemas.openxmlformats.org/officeDocument/2006/relationships/ctrlProp" Target="../ctrlProps/ctrlProp86.xml"/><Relationship Id="rId39" Type="http://schemas.openxmlformats.org/officeDocument/2006/relationships/ctrlProp" Target="../ctrlProps/ctrlProp99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vmlDrawing" Target="../drawings/vmlDrawing10.vml"/><Relationship Id="rId34" Type="http://schemas.openxmlformats.org/officeDocument/2006/relationships/ctrlProp" Target="../ctrlProps/ctrlProp94.xml"/><Relationship Id="rId7" Type="http://schemas.openxmlformats.org/officeDocument/2006/relationships/hyperlink" Target="https://cafe.daum.net/transtax/R96D/62" TargetMode="External"/><Relationship Id="rId12" Type="http://schemas.openxmlformats.org/officeDocument/2006/relationships/hyperlink" Target="https://www.youtube.com/watch?v=nW08iCgHxPA" TargetMode="External"/><Relationship Id="rId17" Type="http://schemas.openxmlformats.org/officeDocument/2006/relationships/hyperlink" Target="https://cafe.daum.net/transtax/R96D/62" TargetMode="External"/><Relationship Id="rId25" Type="http://schemas.openxmlformats.org/officeDocument/2006/relationships/ctrlProp" Target="../ctrlProps/ctrlProp85.xml"/><Relationship Id="rId33" Type="http://schemas.openxmlformats.org/officeDocument/2006/relationships/ctrlProp" Target="../ctrlProps/ctrlProp93.xml"/><Relationship Id="rId38" Type="http://schemas.openxmlformats.org/officeDocument/2006/relationships/ctrlProp" Target="../ctrlProps/ctrlProp98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FWkz/224" TargetMode="External"/><Relationship Id="rId20" Type="http://schemas.openxmlformats.org/officeDocument/2006/relationships/drawing" Target="../drawings/drawing12.xml"/><Relationship Id="rId29" Type="http://schemas.openxmlformats.org/officeDocument/2006/relationships/ctrlProp" Target="../ctrlProps/ctrlProp89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cafe.daum.net/transtax/R96D/62" TargetMode="External"/><Relationship Id="rId24" Type="http://schemas.openxmlformats.org/officeDocument/2006/relationships/ctrlProp" Target="../ctrlProps/ctrlProp84.xml"/><Relationship Id="rId32" Type="http://schemas.openxmlformats.org/officeDocument/2006/relationships/ctrlProp" Target="../ctrlProps/ctrlProp92.xml"/><Relationship Id="rId37" Type="http://schemas.openxmlformats.org/officeDocument/2006/relationships/ctrlProp" Target="../ctrlProps/ctrlProp97.xml"/><Relationship Id="rId40" Type="http://schemas.openxmlformats.org/officeDocument/2006/relationships/comments" Target="../comments10.xml"/><Relationship Id="rId5" Type="http://schemas.openxmlformats.org/officeDocument/2006/relationships/hyperlink" Target="mailto:idtax@hanmail.net" TargetMode="External"/><Relationship Id="rId15" Type="http://schemas.openxmlformats.org/officeDocument/2006/relationships/hyperlink" Target="https://cafe.daum.net/transtax/6ax6/201" TargetMode="External"/><Relationship Id="rId23" Type="http://schemas.openxmlformats.org/officeDocument/2006/relationships/ctrlProp" Target="../ctrlProps/ctrlProp83.xml"/><Relationship Id="rId28" Type="http://schemas.openxmlformats.org/officeDocument/2006/relationships/ctrlProp" Target="../ctrlProps/ctrlProp88.xml"/><Relationship Id="rId36" Type="http://schemas.openxmlformats.org/officeDocument/2006/relationships/ctrlProp" Target="../ctrlProps/ctrlProp96.xml"/><Relationship Id="rId10" Type="http://schemas.openxmlformats.org/officeDocument/2006/relationships/hyperlink" Target="https://www.youtube.com/watch?v=BVRVpPvgxxc" TargetMode="External"/><Relationship Id="rId19" Type="http://schemas.openxmlformats.org/officeDocument/2006/relationships/printerSettings" Target="../printerSettings/printerSettings17.bin"/><Relationship Id="rId31" Type="http://schemas.openxmlformats.org/officeDocument/2006/relationships/ctrlProp" Target="../ctrlProps/ctrlProp91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dinohr.tistory.com/93" TargetMode="External"/><Relationship Id="rId14" Type="http://schemas.openxmlformats.org/officeDocument/2006/relationships/hyperlink" Target="https://cafe.daum.net/transtax/R96D/62" TargetMode="External"/><Relationship Id="rId22" Type="http://schemas.openxmlformats.org/officeDocument/2006/relationships/ctrlProp" Target="../ctrlProps/ctrlProp82.xml"/><Relationship Id="rId27" Type="http://schemas.openxmlformats.org/officeDocument/2006/relationships/ctrlProp" Target="../ctrlProps/ctrlProp87.xml"/><Relationship Id="rId30" Type="http://schemas.openxmlformats.org/officeDocument/2006/relationships/ctrlProp" Target="../ctrlProps/ctrlProp90.xml"/><Relationship Id="rId35" Type="http://schemas.openxmlformats.org/officeDocument/2006/relationships/ctrlProp" Target="../ctrlProps/ctrlProp95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dinohr.tistory.com/93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printerSettings" Target="../printerSettings/printerSettings18.bin"/><Relationship Id="rId26" Type="http://schemas.openxmlformats.org/officeDocument/2006/relationships/ctrlProp" Target="../ctrlProps/ctrlProp105.xml"/><Relationship Id="rId39" Type="http://schemas.openxmlformats.org/officeDocument/2006/relationships/comments" Target="../comments11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ctrlProp" Target="../ctrlProps/ctrlProp100.xml"/><Relationship Id="rId34" Type="http://schemas.openxmlformats.org/officeDocument/2006/relationships/ctrlProp" Target="../ctrlProps/ctrlProp113.xml"/><Relationship Id="rId7" Type="http://schemas.openxmlformats.org/officeDocument/2006/relationships/hyperlink" Target="https://cafe.daum.net/transtax/FWkz/185" TargetMode="External"/><Relationship Id="rId12" Type="http://schemas.openxmlformats.org/officeDocument/2006/relationships/hyperlink" Target="https://cafe.daum.net/transtax/R96D/62" TargetMode="External"/><Relationship Id="rId17" Type="http://schemas.openxmlformats.org/officeDocument/2006/relationships/hyperlink" Target="https://si4n.nhis.or.kr/" TargetMode="External"/><Relationship Id="rId25" Type="http://schemas.openxmlformats.org/officeDocument/2006/relationships/ctrlProp" Target="../ctrlProps/ctrlProp104.xml"/><Relationship Id="rId33" Type="http://schemas.openxmlformats.org/officeDocument/2006/relationships/ctrlProp" Target="../ctrlProps/ctrlProp112.xml"/><Relationship Id="rId38" Type="http://schemas.openxmlformats.org/officeDocument/2006/relationships/ctrlProp" Target="../ctrlProps/ctrlProp117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R96D/62" TargetMode="External"/><Relationship Id="rId20" Type="http://schemas.openxmlformats.org/officeDocument/2006/relationships/vmlDrawing" Target="../drawings/vmlDrawing11.vml"/><Relationship Id="rId29" Type="http://schemas.openxmlformats.org/officeDocument/2006/relationships/ctrlProp" Target="../ctrlProps/ctrlProp108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cafe.daum.net/transtax/R96D/62" TargetMode="External"/><Relationship Id="rId11" Type="http://schemas.openxmlformats.org/officeDocument/2006/relationships/hyperlink" Target="https://www.youtube.com/watch?v=nW08iCgHxPA" TargetMode="External"/><Relationship Id="rId24" Type="http://schemas.openxmlformats.org/officeDocument/2006/relationships/ctrlProp" Target="../ctrlProps/ctrlProp103.xml"/><Relationship Id="rId32" Type="http://schemas.openxmlformats.org/officeDocument/2006/relationships/ctrlProp" Target="../ctrlProps/ctrlProp111.xml"/><Relationship Id="rId37" Type="http://schemas.openxmlformats.org/officeDocument/2006/relationships/ctrlProp" Target="../ctrlProps/ctrlProp116.xml"/><Relationship Id="rId5" Type="http://schemas.openxmlformats.org/officeDocument/2006/relationships/hyperlink" Target="https://blog.naver.com/hope-pys/222547604214" TargetMode="External"/><Relationship Id="rId15" Type="http://schemas.openxmlformats.org/officeDocument/2006/relationships/hyperlink" Target="https://cafe.daum.net/transtax/FWkz/224" TargetMode="External"/><Relationship Id="rId23" Type="http://schemas.openxmlformats.org/officeDocument/2006/relationships/ctrlProp" Target="../ctrlProps/ctrlProp102.xml"/><Relationship Id="rId28" Type="http://schemas.openxmlformats.org/officeDocument/2006/relationships/ctrlProp" Target="../ctrlProps/ctrlProp107.xml"/><Relationship Id="rId36" Type="http://schemas.openxmlformats.org/officeDocument/2006/relationships/ctrlProp" Target="../ctrlProps/ctrlProp115.xml"/><Relationship Id="rId10" Type="http://schemas.openxmlformats.org/officeDocument/2006/relationships/hyperlink" Target="https://cafe.daum.net/transtax/R96D/62" TargetMode="External"/><Relationship Id="rId19" Type="http://schemas.openxmlformats.org/officeDocument/2006/relationships/drawing" Target="../drawings/drawing13.xml"/><Relationship Id="rId31" Type="http://schemas.openxmlformats.org/officeDocument/2006/relationships/ctrlProp" Target="../ctrlProps/ctrlProp110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www.youtube.com/watch?v=BVRVpPvgxxc" TargetMode="External"/><Relationship Id="rId14" Type="http://schemas.openxmlformats.org/officeDocument/2006/relationships/hyperlink" Target="https://cafe.daum.net/transtax/6ax6/201" TargetMode="External"/><Relationship Id="rId22" Type="http://schemas.openxmlformats.org/officeDocument/2006/relationships/ctrlProp" Target="../ctrlProps/ctrlProp101.xml"/><Relationship Id="rId27" Type="http://schemas.openxmlformats.org/officeDocument/2006/relationships/ctrlProp" Target="../ctrlProps/ctrlProp106.xml"/><Relationship Id="rId30" Type="http://schemas.openxmlformats.org/officeDocument/2006/relationships/ctrlProp" Target="../ctrlProps/ctrlProp109.xml"/><Relationship Id="rId35" Type="http://schemas.openxmlformats.org/officeDocument/2006/relationships/ctrlProp" Target="../ctrlProps/ctrlProp1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daum.net/transtax/FWkz/185" TargetMode="External"/><Relationship Id="rId13" Type="http://schemas.openxmlformats.org/officeDocument/2006/relationships/hyperlink" Target="https://cafe.daum.net/transtax/R96D/62" TargetMode="External"/><Relationship Id="rId18" Type="http://schemas.openxmlformats.org/officeDocument/2006/relationships/hyperlink" Target="https://si4n.nhis.or.kr/" TargetMode="External"/><Relationship Id="rId26" Type="http://schemas.openxmlformats.org/officeDocument/2006/relationships/ctrlProp" Target="../ctrlProps/ctrlProp122.xml"/><Relationship Id="rId39" Type="http://schemas.openxmlformats.org/officeDocument/2006/relationships/ctrlProp" Target="../ctrlProps/ctrlProp135.xml"/><Relationship Id="rId3" Type="http://schemas.openxmlformats.org/officeDocument/2006/relationships/hyperlink" Target="https://www.law.go.kr/%ED%96%89%EC%A0%95%EA%B7%9C%EC%B9%99/%ED%86%B5%EC%83%81%EC%9E%84%EA%B8%88%EC%82%B0%EC%A0%95%EC%A7%80%EC%B9%A8" TargetMode="External"/><Relationship Id="rId21" Type="http://schemas.openxmlformats.org/officeDocument/2006/relationships/vmlDrawing" Target="../drawings/vmlDrawing12.vml"/><Relationship Id="rId34" Type="http://schemas.openxmlformats.org/officeDocument/2006/relationships/ctrlProp" Target="../ctrlProps/ctrlProp130.xml"/><Relationship Id="rId7" Type="http://schemas.openxmlformats.org/officeDocument/2006/relationships/hyperlink" Target="https://cafe.daum.net/transtax/R96D/62" TargetMode="External"/><Relationship Id="rId12" Type="http://schemas.openxmlformats.org/officeDocument/2006/relationships/hyperlink" Target="https://www.youtube.com/watch?v=nW08iCgHxPA" TargetMode="External"/><Relationship Id="rId17" Type="http://schemas.openxmlformats.org/officeDocument/2006/relationships/hyperlink" Target="https://cafe.daum.net/transtax/R96D/62" TargetMode="External"/><Relationship Id="rId25" Type="http://schemas.openxmlformats.org/officeDocument/2006/relationships/ctrlProp" Target="../ctrlProps/ctrlProp121.xml"/><Relationship Id="rId33" Type="http://schemas.openxmlformats.org/officeDocument/2006/relationships/ctrlProp" Target="../ctrlProps/ctrlProp129.xml"/><Relationship Id="rId38" Type="http://schemas.openxmlformats.org/officeDocument/2006/relationships/ctrlProp" Target="../ctrlProps/ctrlProp134.xm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6" Type="http://schemas.openxmlformats.org/officeDocument/2006/relationships/hyperlink" Target="https://cafe.daum.net/transtax/FWkz/224" TargetMode="External"/><Relationship Id="rId20" Type="http://schemas.openxmlformats.org/officeDocument/2006/relationships/drawing" Target="../drawings/drawing14.xml"/><Relationship Id="rId29" Type="http://schemas.openxmlformats.org/officeDocument/2006/relationships/ctrlProp" Target="../ctrlProps/ctrlProp125.xml"/><Relationship Id="rId1" Type="http://schemas.openxmlformats.org/officeDocument/2006/relationships/hyperlink" Target="https://www.nodong.or.kr/common_wage_cal" TargetMode="External"/><Relationship Id="rId6" Type="http://schemas.openxmlformats.org/officeDocument/2006/relationships/hyperlink" Target="https://blog.naver.com/hope-pys/222547604214" TargetMode="External"/><Relationship Id="rId11" Type="http://schemas.openxmlformats.org/officeDocument/2006/relationships/hyperlink" Target="https://cafe.daum.net/transtax/R96D/62" TargetMode="External"/><Relationship Id="rId24" Type="http://schemas.openxmlformats.org/officeDocument/2006/relationships/ctrlProp" Target="../ctrlProps/ctrlProp120.xml"/><Relationship Id="rId32" Type="http://schemas.openxmlformats.org/officeDocument/2006/relationships/ctrlProp" Target="../ctrlProps/ctrlProp128.xml"/><Relationship Id="rId37" Type="http://schemas.openxmlformats.org/officeDocument/2006/relationships/ctrlProp" Target="../ctrlProps/ctrlProp133.xml"/><Relationship Id="rId40" Type="http://schemas.openxmlformats.org/officeDocument/2006/relationships/comments" Target="../comments12.xml"/><Relationship Id="rId5" Type="http://schemas.openxmlformats.org/officeDocument/2006/relationships/hyperlink" Target="mailto:idtax@hanmail.net" TargetMode="External"/><Relationship Id="rId15" Type="http://schemas.openxmlformats.org/officeDocument/2006/relationships/hyperlink" Target="https://cafe.daum.net/transtax/6ax6/201" TargetMode="External"/><Relationship Id="rId23" Type="http://schemas.openxmlformats.org/officeDocument/2006/relationships/ctrlProp" Target="../ctrlProps/ctrlProp119.xml"/><Relationship Id="rId28" Type="http://schemas.openxmlformats.org/officeDocument/2006/relationships/ctrlProp" Target="../ctrlProps/ctrlProp124.xml"/><Relationship Id="rId36" Type="http://schemas.openxmlformats.org/officeDocument/2006/relationships/ctrlProp" Target="../ctrlProps/ctrlProp132.xml"/><Relationship Id="rId10" Type="http://schemas.openxmlformats.org/officeDocument/2006/relationships/hyperlink" Target="https://www.youtube.com/watch?v=BVRVpPvgxxc" TargetMode="External"/><Relationship Id="rId19" Type="http://schemas.openxmlformats.org/officeDocument/2006/relationships/printerSettings" Target="../printerSettings/printerSettings19.bin"/><Relationship Id="rId31" Type="http://schemas.openxmlformats.org/officeDocument/2006/relationships/ctrlProp" Target="../ctrlProps/ctrlProp127.xml"/><Relationship Id="rId4" Type="http://schemas.openxmlformats.org/officeDocument/2006/relationships/hyperlink" Target="https://www.kcomwel.or.kr/comwel/paym/paym/tari.jsp" TargetMode="External"/><Relationship Id="rId9" Type="http://schemas.openxmlformats.org/officeDocument/2006/relationships/hyperlink" Target="https://dinohr.tistory.com/93" TargetMode="External"/><Relationship Id="rId14" Type="http://schemas.openxmlformats.org/officeDocument/2006/relationships/hyperlink" Target="https://cafe.daum.net/transtax/R96D/62" TargetMode="External"/><Relationship Id="rId22" Type="http://schemas.openxmlformats.org/officeDocument/2006/relationships/ctrlProp" Target="../ctrlProps/ctrlProp118.xml"/><Relationship Id="rId27" Type="http://schemas.openxmlformats.org/officeDocument/2006/relationships/ctrlProp" Target="../ctrlProps/ctrlProp123.xml"/><Relationship Id="rId30" Type="http://schemas.openxmlformats.org/officeDocument/2006/relationships/ctrlProp" Target="../ctrlProps/ctrlProp126.xml"/><Relationship Id="rId35" Type="http://schemas.openxmlformats.org/officeDocument/2006/relationships/ctrlProp" Target="../ctrlProps/ctrlProp13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cafe.daum.net/transtax/6ax6/199" TargetMode="External"/><Relationship Id="rId2" Type="http://schemas.openxmlformats.org/officeDocument/2006/relationships/hyperlink" Target="http://www.moel.go.kr/retirementpayCal.do" TargetMode="External"/><Relationship Id="rId1" Type="http://schemas.openxmlformats.org/officeDocument/2006/relationships/hyperlink" Target="https://cafe.daum.net/transtax/R96D/45" TargetMode="External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www.youtube.com/watch?v=tfSDiFeCAw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www.youtube.com/watch?v=tfSDiFeCAwk" TargetMode="External"/><Relationship Id="rId1" Type="http://schemas.openxmlformats.org/officeDocument/2006/relationships/hyperlink" Target="https://blog.naver.com/green19992/222400952216" TargetMode="External"/><Relationship Id="rId4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mments" Target="../comments13.xml"/><Relationship Id="rId3" Type="http://schemas.openxmlformats.org/officeDocument/2006/relationships/hyperlink" Target="http://www.moel.go.kr/mainpop2.do;jsessionid=eghsqLS6ngVeZLEbO118eJU6royS9E6g6ebB7Mp6XVxsbngDprIJQBlv71eTd71o.moel_was_outside_servlet_www1" TargetMode="External"/><Relationship Id="rId7" Type="http://schemas.openxmlformats.org/officeDocument/2006/relationships/vmlDrawing" Target="../drawings/vmlDrawing13.vml"/><Relationship Id="rId2" Type="http://schemas.openxmlformats.org/officeDocument/2006/relationships/hyperlink" Target="http://www.moel.go.kr/miniWageMain.do" TargetMode="External"/><Relationship Id="rId1" Type="http://schemas.openxmlformats.org/officeDocument/2006/relationships/hyperlink" Target="https://cafe.daum.net/transtax/6ax6/194" TargetMode="External"/><Relationship Id="rId6" Type="http://schemas.openxmlformats.org/officeDocument/2006/relationships/printerSettings" Target="../printerSettings/printerSettings24.bin"/><Relationship Id="rId5" Type="http://schemas.openxmlformats.org/officeDocument/2006/relationships/hyperlink" Target="https://www.ei.go.kr/ei/eih/cm/hm/main.do" TargetMode="External"/><Relationship Id="rId4" Type="http://schemas.openxmlformats.org/officeDocument/2006/relationships/hyperlink" Target="http://www.moel.go.kr/retirementpay.do;jsessionid=eghsqLS6ngVeZLEbO118eJU6royS9E6g6ebB7Mp6XVxsbngDprIJQBlv71eTd71o.moel_was_outside_servlet_www1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youtube.com/watch?v=tfSDiFeCAwk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youtube.com/watch?v=tfSDiFeCAwk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youtube.com/watch?v=tfSDiFeCAwk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N3dRdqYQu1s" TargetMode="External"/><Relationship Id="rId7" Type="http://schemas.openxmlformats.org/officeDocument/2006/relationships/drawing" Target="../drawings/drawing18.xml"/><Relationship Id="rId2" Type="http://schemas.openxmlformats.org/officeDocument/2006/relationships/hyperlink" Target="https://www.youtube.com/watch?v=WUm5A9yxu3A" TargetMode="External"/><Relationship Id="rId1" Type="http://schemas.openxmlformats.org/officeDocument/2006/relationships/hyperlink" Target="https://www.youtube.com/watch?v=fnDNy8djF7k" TargetMode="External"/><Relationship Id="rId6" Type="http://schemas.openxmlformats.org/officeDocument/2006/relationships/printerSettings" Target="../printerSettings/printerSettings28.bin"/><Relationship Id="rId5" Type="http://schemas.openxmlformats.org/officeDocument/2006/relationships/hyperlink" Target="http://www.moel.go.kr/miniWageMain.do" TargetMode="External"/><Relationship Id="rId4" Type="http://schemas.openxmlformats.org/officeDocument/2006/relationships/hyperlink" Target="https://www.youtube.com/watch?v=tfSDiFeCAw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n51kUfpqjo0" TargetMode="External"/><Relationship Id="rId2" Type="http://schemas.openxmlformats.org/officeDocument/2006/relationships/hyperlink" Target="https://www.youtube.com/watch?v=1mMaNE_BmoY" TargetMode="External"/><Relationship Id="rId1" Type="http://schemas.openxmlformats.org/officeDocument/2006/relationships/hyperlink" Target="https://cafe.daum.net/transtax/R96D/49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sy-hr.tistory.com/177" TargetMode="External"/><Relationship Id="rId4" Type="http://schemas.openxmlformats.org/officeDocument/2006/relationships/hyperlink" Target="https://dinohr.tistory.com/93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cafe.daum.net/transtax/R96D/53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hyperlink" Target="https://www.youtube.com/watch?v=RY9ZISHVVEk" TargetMode="External"/><Relationship Id="rId1" Type="http://schemas.openxmlformats.org/officeDocument/2006/relationships/hyperlink" Target="https://cafe.daum.net/transtax/R96D/50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VCxBngDyhlw" TargetMode="External"/><Relationship Id="rId2" Type="http://schemas.openxmlformats.org/officeDocument/2006/relationships/hyperlink" Target="https://www.youtube.com/watch?v=sQkXQulFuZ4" TargetMode="External"/><Relationship Id="rId1" Type="http://schemas.openxmlformats.org/officeDocument/2006/relationships/hyperlink" Target="https://www.lawnb.com/Info/ContentView?sid=L0001ED5D87C23EF_15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aw.go.kr/LSW/admRulInfoP.do?admRulSeq=2000000021031&amp;chrClsCd=010201" TargetMode="External"/><Relationship Id="rId3" Type="http://schemas.openxmlformats.org/officeDocument/2006/relationships/hyperlink" Target="https://cafe.daum.net/transtax/R96D/48" TargetMode="External"/><Relationship Id="rId7" Type="http://schemas.openxmlformats.org/officeDocument/2006/relationships/hyperlink" Target="https://www.law.go.kr/%ED%96%89%EC%A0%95%EA%B7%9C%EC%B9%99/%ED%86%B5%EC%83%81%EC%9E%84%EA%B8%88%EC%82%B0%EC%A0%95%EC%A7%80%EC%B9%A8" TargetMode="External"/><Relationship Id="rId2" Type="http://schemas.openxmlformats.org/officeDocument/2006/relationships/hyperlink" Target="https://www.law.go.kr/%ED%96%89%EC%A0%95%EA%B7%9C%EC%B9%99/%ED%86%B5%EC%83%81%EC%9E%84%EA%B8%88%EC%82%B0%EC%A0%95%EC%A7%80%EC%B9%A8" TargetMode="External"/><Relationship Id="rId1" Type="http://schemas.openxmlformats.org/officeDocument/2006/relationships/hyperlink" Target="http://www.seenews365.com/news/articleView.html?idxno=40712" TargetMode="External"/><Relationship Id="rId6" Type="http://schemas.openxmlformats.org/officeDocument/2006/relationships/hyperlink" Target="https://www.youtube.com/watch?v=N3dRdqYQu1s" TargetMode="External"/><Relationship Id="rId5" Type="http://schemas.openxmlformats.org/officeDocument/2006/relationships/hyperlink" Target="https://www.nodong.or.kr/common_wage_cal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www.youtube.com/watch?v=KjqaN8uT_dk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339SFX2c7ew" TargetMode="External"/><Relationship Id="rId2" Type="http://schemas.openxmlformats.org/officeDocument/2006/relationships/hyperlink" Target="https://cafe.daum.net/transtax/R96D/62" TargetMode="External"/><Relationship Id="rId1" Type="http://schemas.openxmlformats.org/officeDocument/2006/relationships/hyperlink" Target="http://panrye.com/?p=3584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cafe.daum.net/transtax/R96D/54" TargetMode="External"/><Relationship Id="rId7" Type="http://schemas.openxmlformats.org/officeDocument/2006/relationships/hyperlink" Target="https://www.youtube.com/watch?v=nW08iCgHxPA" TargetMode="External"/><Relationship Id="rId2" Type="http://schemas.openxmlformats.org/officeDocument/2006/relationships/hyperlink" Target="https://mbanote2.tistory.com/362" TargetMode="External"/><Relationship Id="rId1" Type="http://schemas.openxmlformats.org/officeDocument/2006/relationships/hyperlink" Target="https://cafe.daum.net/transtax/R96D/40" TargetMode="External"/><Relationship Id="rId6" Type="http://schemas.openxmlformats.org/officeDocument/2006/relationships/hyperlink" Target="https://www.youtube.com/watch?v=o8LdyoNrdsQ" TargetMode="External"/><Relationship Id="rId5" Type="http://schemas.openxmlformats.org/officeDocument/2006/relationships/hyperlink" Target="https://www.youtube.com/watch?v=tfSDiFeCAwk" TargetMode="External"/><Relationship Id="rId4" Type="http://schemas.openxmlformats.org/officeDocument/2006/relationships/hyperlink" Target="https://www.youtube.com/watch?v=rK6c43S-0Ow" TargetMode="External"/><Relationship Id="rId9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jipgaeceo.tistory.com/entry/%EB%85%B8%EB%AC%B4%EA%B4%80%EB%A6%AC-%EA%B0%80%EC%9D%B4%EB%93%9C-6-%EC%9C%A0%EA%B8%89%ED%9C%B4%EC%9D%BC-%EB%9C%BB-%ED%9C%B4%EC%9D%BC%EC%9D%98-%EA%B5%AC%EB%B6%84-%EC%A3%BC%ED%9C%B4%EC%9D%BC-%EC%A0%81%EC%9A%A9-%EB%B6%80%EC%97%AC%EB%B0%A9%EB%B2%95" TargetMode="External"/><Relationship Id="rId1" Type="http://schemas.openxmlformats.org/officeDocument/2006/relationships/hyperlink" Target="https://cafe.daum.net/transtax/6ax6/201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hyperlink" Target="https://www.youtube.com/watch?v=jKq-p_y_TGg" TargetMode="External"/><Relationship Id="rId7" Type="http://schemas.openxmlformats.org/officeDocument/2006/relationships/hyperlink" Target="https://cafe.daum.net/transtax/6ax6/204" TargetMode="External"/><Relationship Id="rId2" Type="http://schemas.openxmlformats.org/officeDocument/2006/relationships/hyperlink" Target="http://www.moel.go.kr/miniWageMain.do" TargetMode="External"/><Relationship Id="rId1" Type="http://schemas.openxmlformats.org/officeDocument/2006/relationships/hyperlink" Target="http://www.minimumwage.go.kr/" TargetMode="External"/><Relationship Id="rId6" Type="http://schemas.openxmlformats.org/officeDocument/2006/relationships/hyperlink" Target="https://www.lawnb.com/Info/ContentView?sid=L000000129" TargetMode="External"/><Relationship Id="rId11" Type="http://schemas.openxmlformats.org/officeDocument/2006/relationships/comments" Target="../comments2.xml"/><Relationship Id="rId5" Type="http://schemas.openxmlformats.org/officeDocument/2006/relationships/hyperlink" Target="https://cafe.daum.net/transtax/6ax6/197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www.youtube.com/watch?v=L9f_VY1h0uY" TargetMode="External"/><Relationship Id="rId9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F0DF-7EFC-43E2-827A-A0991E316C66}">
  <sheetPr codeName="Sheet1"/>
  <dimension ref="A1:P46"/>
  <sheetViews>
    <sheetView showGridLines="0" topLeftCell="A22" zoomScaleNormal="100" workbookViewId="0">
      <selection activeCell="A33" sqref="A33"/>
    </sheetView>
  </sheetViews>
  <sheetFormatPr defaultRowHeight="16.5"/>
  <cols>
    <col min="1" max="1" width="28.375" style="311" customWidth="1"/>
    <col min="2" max="2" width="13.25" customWidth="1"/>
    <col min="3" max="3" width="24" style="1" customWidth="1"/>
    <col min="4" max="4" width="12.375" bestFit="1" customWidth="1"/>
    <col min="5" max="6" width="14.375" bestFit="1" customWidth="1"/>
    <col min="8" max="8" width="9" style="1"/>
    <col min="10" max="10" width="21.5" customWidth="1"/>
    <col min="11" max="12" width="0" hidden="1" customWidth="1"/>
    <col min="13" max="13" width="12.125" bestFit="1" customWidth="1"/>
    <col min="14" max="14" width="13" bestFit="1" customWidth="1"/>
  </cols>
  <sheetData>
    <row r="1" spans="1:14">
      <c r="A1" s="311" t="s">
        <v>1171</v>
      </c>
      <c r="B1" s="312" t="s">
        <v>1172</v>
      </c>
    </row>
    <row r="2" spans="1:14">
      <c r="A2" s="313" t="s">
        <v>1173</v>
      </c>
    </row>
    <row r="3" spans="1:14">
      <c r="A3" s="313" t="s">
        <v>1174</v>
      </c>
    </row>
    <row r="4" spans="1:14">
      <c r="A4" s="313"/>
    </row>
    <row r="5" spans="1:14">
      <c r="A5" s="313" t="s">
        <v>1175</v>
      </c>
    </row>
    <row r="6" spans="1:14">
      <c r="A6" s="313"/>
      <c r="G6" s="314" t="s">
        <v>1176</v>
      </c>
    </row>
    <row r="7" spans="1:14" ht="17.25" thickBot="1">
      <c r="A7" s="313" t="s">
        <v>1177</v>
      </c>
    </row>
    <row r="8" spans="1:14" s="1" customFormat="1" ht="17.25" thickBot="1">
      <c r="A8" s="315" t="s">
        <v>1178</v>
      </c>
      <c r="B8" s="308" t="s">
        <v>1179</v>
      </c>
      <c r="C8" s="308" t="s">
        <v>1180</v>
      </c>
      <c r="D8" s="308" t="s">
        <v>1181</v>
      </c>
      <c r="E8" s="308" t="s">
        <v>1182</v>
      </c>
      <c r="F8" s="308" t="s">
        <v>1183</v>
      </c>
      <c r="G8" s="308" t="s">
        <v>1184</v>
      </c>
      <c r="H8" s="308" t="s">
        <v>1185</v>
      </c>
    </row>
    <row r="9" spans="1:14" s="1" customFormat="1">
      <c r="A9" s="311"/>
      <c r="B9" s="1">
        <v>123456</v>
      </c>
      <c r="C9" s="1">
        <v>7</v>
      </c>
      <c r="D9" s="41" t="s">
        <v>1186</v>
      </c>
      <c r="E9" s="41" t="s">
        <v>1187</v>
      </c>
      <c r="F9" s="41" t="s">
        <v>1188</v>
      </c>
      <c r="G9" s="41" t="s">
        <v>1189</v>
      </c>
      <c r="H9" s="41" t="s">
        <v>1190</v>
      </c>
    </row>
    <row r="10" spans="1:14" s="318" customFormat="1">
      <c r="A10" s="316"/>
      <c r="B10" s="317" t="s">
        <v>566</v>
      </c>
      <c r="C10" s="317" t="s">
        <v>1191</v>
      </c>
      <c r="D10" s="318" t="s">
        <v>1192</v>
      </c>
      <c r="E10" s="319" t="s">
        <v>1193</v>
      </c>
      <c r="F10" s="318" t="s">
        <v>1194</v>
      </c>
      <c r="G10" s="320" t="s">
        <v>1195</v>
      </c>
      <c r="H10" s="317" t="s">
        <v>1196</v>
      </c>
      <c r="M10" s="321">
        <v>7</v>
      </c>
      <c r="N10" s="321" t="s">
        <v>1197</v>
      </c>
    </row>
    <row r="11" spans="1:14" s="318" customFormat="1">
      <c r="A11" s="316"/>
      <c r="C11" s="317" t="s">
        <v>1198</v>
      </c>
      <c r="E11" s="319" t="s">
        <v>1199</v>
      </c>
      <c r="G11" s="322" t="s">
        <v>1200</v>
      </c>
      <c r="H11" s="317"/>
      <c r="M11" s="321">
        <v>8</v>
      </c>
      <c r="N11" s="321" t="s">
        <v>1201</v>
      </c>
    </row>
    <row r="12" spans="1:14" s="318" customFormat="1">
      <c r="A12" s="316"/>
      <c r="C12" s="317" t="s">
        <v>1202</v>
      </c>
      <c r="E12" s="319" t="s">
        <v>1203</v>
      </c>
      <c r="G12" s="323" t="s">
        <v>1204</v>
      </c>
      <c r="H12" s="317"/>
      <c r="M12" s="321">
        <v>9</v>
      </c>
      <c r="N12" s="321" t="s">
        <v>1205</v>
      </c>
    </row>
    <row r="13" spans="1:14" s="318" customFormat="1">
      <c r="A13" s="316"/>
      <c r="C13" s="317" t="s">
        <v>1206</v>
      </c>
      <c r="E13" s="319" t="s">
        <v>1207</v>
      </c>
      <c r="G13" s="322"/>
      <c r="H13" s="317"/>
    </row>
    <row r="14" spans="1:14" s="318" customFormat="1">
      <c r="A14" s="316"/>
      <c r="C14" s="317" t="s">
        <v>1208</v>
      </c>
      <c r="E14" s="319" t="s">
        <v>1209</v>
      </c>
      <c r="G14" s="322"/>
      <c r="H14" s="317"/>
    </row>
    <row r="15" spans="1:14" s="318" customFormat="1">
      <c r="A15" s="316"/>
      <c r="C15" s="317" t="s">
        <v>1210</v>
      </c>
      <c r="E15" s="319" t="s">
        <v>1211</v>
      </c>
      <c r="G15" s="322"/>
      <c r="H15" s="317"/>
    </row>
    <row r="16" spans="1:14" s="318" customFormat="1">
      <c r="A16" s="316"/>
      <c r="C16" s="317" t="s">
        <v>1212</v>
      </c>
      <c r="E16" s="319" t="s">
        <v>1213</v>
      </c>
      <c r="G16" s="322"/>
      <c r="H16" s="317"/>
    </row>
    <row r="17" spans="1:16" s="318" customFormat="1">
      <c r="A17" s="316"/>
      <c r="C17" s="317" t="s">
        <v>1214</v>
      </c>
      <c r="E17" s="319" t="s">
        <v>1215</v>
      </c>
      <c r="G17" s="322"/>
      <c r="H17" s="317"/>
    </row>
    <row r="18" spans="1:16" s="318" customFormat="1">
      <c r="A18" s="316"/>
      <c r="C18" s="317" t="s">
        <v>1216</v>
      </c>
      <c r="E18" s="318" t="s">
        <v>1217</v>
      </c>
      <c r="G18" s="323" t="s">
        <v>1218</v>
      </c>
      <c r="H18" s="309" t="s">
        <v>1219</v>
      </c>
    </row>
    <row r="19" spans="1:16" s="318" customFormat="1">
      <c r="A19" s="316"/>
      <c r="C19" s="317" t="s">
        <v>1220</v>
      </c>
      <c r="E19" s="319" t="s">
        <v>1221</v>
      </c>
      <c r="G19" s="323" t="s">
        <v>1222</v>
      </c>
      <c r="H19" s="309" t="s">
        <v>1223</v>
      </c>
    </row>
    <row r="20" spans="1:16" s="318" customFormat="1">
      <c r="A20" s="316"/>
      <c r="C20" s="317" t="s">
        <v>1224</v>
      </c>
      <c r="E20" s="319" t="s">
        <v>1225</v>
      </c>
      <c r="G20" s="322"/>
      <c r="H20" s="317"/>
    </row>
    <row r="21" spans="1:16" s="318" customFormat="1">
      <c r="A21" s="309" t="s">
        <v>1226</v>
      </c>
      <c r="E21" s="319" t="s">
        <v>1227</v>
      </c>
      <c r="G21" s="322"/>
      <c r="H21" s="317"/>
    </row>
    <row r="22" spans="1:16" s="318" customFormat="1">
      <c r="A22" s="316"/>
      <c r="C22" s="317"/>
      <c r="E22" s="319" t="s">
        <v>1228</v>
      </c>
      <c r="G22" s="322"/>
      <c r="H22" s="317"/>
    </row>
    <row r="23" spans="1:16" s="318" customFormat="1">
      <c r="A23" s="316"/>
      <c r="C23" s="317"/>
      <c r="E23" s="318" t="s">
        <v>1229</v>
      </c>
      <c r="G23" s="322"/>
      <c r="H23" s="317">
        <v>13</v>
      </c>
      <c r="I23" s="318">
        <v>7</v>
      </c>
      <c r="J23" s="318">
        <f>H23-I23</f>
        <v>6</v>
      </c>
      <c r="M23" s="318">
        <f>H23-J23</f>
        <v>7</v>
      </c>
    </row>
    <row r="24" spans="1:16" s="318" customFormat="1">
      <c r="A24" s="316"/>
      <c r="C24" s="317"/>
      <c r="E24" s="319" t="s">
        <v>1230</v>
      </c>
      <c r="G24" s="322"/>
      <c r="H24" s="317">
        <v>12</v>
      </c>
      <c r="I24" s="318">
        <v>6</v>
      </c>
      <c r="J24" s="318">
        <f>H24-I24</f>
        <v>6</v>
      </c>
    </row>
    <row r="25" spans="1:16" s="318" customFormat="1">
      <c r="A25" s="316"/>
      <c r="C25" s="317"/>
      <c r="E25" s="318" t="s">
        <v>1231</v>
      </c>
      <c r="G25" s="322"/>
      <c r="H25" s="317">
        <v>11</v>
      </c>
      <c r="I25" s="318">
        <v>5</v>
      </c>
      <c r="J25" s="318">
        <f t="shared" ref="J25:J26" si="0">H25-I25</f>
        <v>6</v>
      </c>
    </row>
    <row r="26" spans="1:16" s="318" customFormat="1">
      <c r="A26" s="316"/>
      <c r="C26" s="317"/>
      <c r="E26" s="318" t="s">
        <v>1232</v>
      </c>
      <c r="G26" s="322"/>
      <c r="H26" s="317">
        <v>10</v>
      </c>
      <c r="I26" s="318">
        <v>4</v>
      </c>
      <c r="J26" s="318">
        <f t="shared" si="0"/>
        <v>6</v>
      </c>
    </row>
    <row r="27" spans="1:16" s="318" customFormat="1">
      <c r="A27" s="316"/>
      <c r="C27" s="324">
        <f>DATE(2000,MID(A35,1,1),MID(A35,2,2))</f>
        <v>36548</v>
      </c>
      <c r="E27" s="319"/>
      <c r="G27" s="322"/>
      <c r="H27" s="317"/>
    </row>
    <row r="28" spans="1:16" s="318" customFormat="1">
      <c r="A28" s="316"/>
      <c r="C28" s="317"/>
      <c r="D28" s="318">
        <f>CHOOSE(14-LEN(CLEAN(A33)),1,2,3)</f>
        <v>1</v>
      </c>
      <c r="E28" s="319"/>
      <c r="G28" s="322"/>
      <c r="H28" s="317"/>
      <c r="M28" s="318">
        <f>LEN(CLEAN(A33))</f>
        <v>13</v>
      </c>
    </row>
    <row r="29" spans="1:16" s="318" customFormat="1">
      <c r="A29" s="316"/>
      <c r="C29" s="317"/>
      <c r="G29" s="322"/>
      <c r="H29" s="317"/>
      <c r="M29" s="318" t="str">
        <f>MID(A33,LEN(CLEAN(A33))-6,1)</f>
        <v>5</v>
      </c>
    </row>
    <row r="30" spans="1:16" s="318" customFormat="1">
      <c r="A30" s="313" t="s">
        <v>1233</v>
      </c>
      <c r="C30" s="313"/>
      <c r="D30" s="313" t="s">
        <v>1234</v>
      </c>
      <c r="G30" s="323"/>
      <c r="H30" s="317"/>
    </row>
    <row r="31" spans="1:16" s="318" customFormat="1">
      <c r="A31" s="313" t="s">
        <v>1235</v>
      </c>
      <c r="C31" s="317"/>
      <c r="D31" s="313" t="s">
        <v>1236</v>
      </c>
      <c r="H31" s="317"/>
      <c r="J31" s="318" t="s">
        <v>1237</v>
      </c>
      <c r="P31" s="318" t="str">
        <f>MID(A33,12,1)</f>
        <v>7</v>
      </c>
    </row>
    <row r="32" spans="1:16" s="1" customFormat="1">
      <c r="A32" s="325" t="s">
        <v>1238</v>
      </c>
      <c r="B32" s="325" t="s">
        <v>1239</v>
      </c>
      <c r="C32" s="325" t="s">
        <v>1240</v>
      </c>
      <c r="D32" s="325" t="s">
        <v>1241</v>
      </c>
      <c r="E32" s="325" t="s">
        <v>1242</v>
      </c>
      <c r="F32" s="325" t="s">
        <v>1243</v>
      </c>
      <c r="G32" s="325" t="s">
        <v>1244</v>
      </c>
      <c r="H32" s="325" t="s">
        <v>1245</v>
      </c>
      <c r="I32" s="325" t="s">
        <v>1246</v>
      </c>
      <c r="J32" s="325" t="s">
        <v>1247</v>
      </c>
      <c r="K32" s="325" t="s">
        <v>1248</v>
      </c>
      <c r="L32" s="325" t="s">
        <v>1249</v>
      </c>
      <c r="M32" s="325" t="s">
        <v>1250</v>
      </c>
      <c r="N32" s="325" t="s">
        <v>1251</v>
      </c>
    </row>
    <row r="33" spans="1:14" s="1" customFormat="1" ht="17.25">
      <c r="A33" s="332">
        <v>5005015100377</v>
      </c>
      <c r="B33" s="326">
        <f>IF(LEN(CLEAN(A33))=10,IF(AND(VALUE(MID(A33,4,1))&gt;=1,VALUE(MID(A33,4,1))&lt;=4),MOD(11-MOD(0*2+0*3+0*4+MID(A33,1,1)*5+MID(A33,2,1)*6+MID(A33,3,1)*7+MID(A33,4,1)*8+MID(A33,5,1)*9+MID(A33,6,1)*2+MID(A33,7,1)*3+MID(A33,8,1)*4+MID(A33,9,1)*5,11),10),IF(AND(VALUE(MID(A33,4,1))&gt;=5,VALUE(MID(A33,4,1))&lt;=8),MOD(11-MOD(0*2+0*3+0*4+MID(A33,1,1)*5+MID(A33,2,1)*6+MID(A33,3,1)*7+MID(A33,4,1)*8+MID(A33,5,1)*9+MID(A33,6,1)*2+MID(A33,7,1)*3+MID(A33,8,1)*4+MID(A33,9,1)*5,11),10),"오류")),IF(LEN(CLEAN(A33))=11,IF(AND(VALUE(MID(A33,5,1))&gt;=1,VALUE(MID(A33,5,1))&lt;=4),MOD(11-MOD(0*2+0*3+MID(A33,1,1)*4+MID(A33,2,1)*5+MID(A33,3,1)*6+MID(A33,4,1)*7+MID(A33,5,1)*8+MID(A33,6,1)*9+MID(A33,7,1)*2+MID(A33,8,1)*3+MID(A33,9,1)*4+MID(A33,10,1)*5,11),10),IF(AND(VALUE(MID(A33,5,1))&gt;=5,VALUE(MID(A33,5,1))&lt;=8),MOD(11-MOD(0*2+0*3+MID(A33,1,1)*4+MID(A33,2,1)*5+MID(A33,3,1)*6+MID(A33,4,1)*7+MID(A33,5,1)*8+MID(A33,6,1)*9+MID(A33,7,1)*2+MID(A33,8,1)*3+MID(A33,9,1)*4+MID(A33,10,1)*5,11),10),"오류")),IF(LEN(CLEAN(A33))=12,IF(AND(VALUE(MID(A33,6,1))&gt;=1,VALUE(MID(A33,6,1))&lt;=4),MOD(11-MOD(0*2+MID(A33,1,1)*3+MID(A33,2,1)*4+MID(A33,3,1)*5+MID(A33,4,1)*6+MID(A33,5,1)*7+MID(A33,6,1)*8+MID(A33,7,1)*9+MID(A33,8,1)*2+MID(A33,9,1)*3+MID(A33,10,1)*4+MID(A33,11,1)*5,11),10),IF(AND(VALUE(MID(A33,7,1))&gt;=5,VALUE(MID(A33,7,1))&lt;=8),MOD(11-MOD(0*2+MID(A33,1,1)*3+MID(A33,2,1)*4+MID(A33,3,1)*5+MID(A33,4,1)*6+MID(A33,5,1)*7+MID(A33,6,1)*8+MID(A33,7,1)*9+MID(A33,8,1)*2+MID(A33,9,1)*3+MID(A33,10,1)*4+MID(A33,11,1)*5,11),10),"오류")),IF(AND(VALUE(MID(A33,7,1))&gt;=1,VALUE(MID(A33,7,1))&lt;=4),MOD(11-MOD(MID(A33,1,1)*2+MID(A33,2,1)*3+MID(A33,3,1)*4+MID(A33,4,1)*5+MID(A33,5,1)*6+MID(A33,6,1)*7+MID(A33,7,1)*8+MID(A33,8,1)*9+MID(A33,9,1)*2+MID(A33,10,1)*3+MID(A33,11,1)*4+MID(A33,12,1)*5,11),10),IF(AND(VALUE(MID(A33,7,1))&gt;=5,VALUE(MID(A33,7,1))&lt;=8),IF(LEN(CLEAN(A33))=12,MOD(MOD(11-MOD(0*2+MID(A33,1,1)*3+MID(A33,2,1)*4+MID(A33,3,1)*5+MID(A33,4,1)*6+MID(A33,5,1)*7+MID(A33,6,1)*8+MID(A33,7,1)*9+MID(A33,8,1)*2+MID(A33,9,1)*3+MID(A33,10,1)*4+MID(A33,11,1)*5,11),10)+2,10),MOD(MOD(11-MOD(MID(A33,1,1)*2+MID(A33,2,1)*3+MID(A33,3,1)*4+MID(A33,4,1)*5+MID(A33,5,1)*6+MID(A33,6,1)*7+MID(A33,7,1)*8+MID(A33,8,1)*9+MID(A33,9,1)*2+MID(A33,10,1)*3+MID(A33,11,1)*4+MID(A33,12,1)*5,11),10)+2,10)))))))</f>
        <v>7</v>
      </c>
      <c r="C33" s="326" t="str">
        <f>IF(INT(RIGHT(A33,1))=B33,"OK","주민오류")</f>
        <v>OK</v>
      </c>
      <c r="D33" s="327">
        <f ca="1">DATEDIF(IF(OR(MID(A33,LEN(CLEAN(A33))-6,1)&lt;="2",MID(A33,LEN(CLEAN(A33))-6,1)="5",MID(A33,LEN(CLEAN(A33))-6,1)="6"),DATE(MID(A33,1,2),MID(A33,3,2),MID(A33,5,2)),CHOOSE(14-LEN(CLEAN(A33)), DATE(MID(A33,1,2)+100,MID(A33,3,2),MID(A33,5,2)), DATE(MID(A33,1,1)+100,MID(A33,2,2),MID(A33,4,2)),DATE(2000,MID(A33,1,2),MID(A33,3,2)),DATE(2000,MID(A33,1,1),MID(A33,2,2)))),TODAY(),"y")</f>
        <v>71</v>
      </c>
      <c r="E33" s="333">
        <v>44530</v>
      </c>
      <c r="F33" s="327">
        <f>DATEDIF(IF(OR(MID(A33,LEN(CLEAN(A33))-6,1)&lt;="2",MID(A33,LEN(CLEAN(A33))-6,1)="5",MID(A33,LEN(CLEAN(A33))-6,1)="6"),DATE(MID(A33,1,2),MID(A33,3,2),MID(A33,5,2)),CHOOSE(14-LEN(CLEAN(A33)), DATE(MID(A33,1,2)+100,MID(A33,3,2),MID(A33,5,2)), DATE(MID(A33,1,1)+100,MID(A33,2,2),MID(A33,4,2)),DATE(2000,MID(A33,1,2),MID(A33,3,2)),DATE(2000,MID(A33,1,1),MID(A33,2,2)))),E33,"y")</f>
        <v>71</v>
      </c>
      <c r="G33" s="326" t="str">
        <f>CHOOSE(14-LEN(CLEAN(A33)),CHOOSE(MID(A33,7,1),"남","여","남","여","남","여","남","여","남","여"),CHOOSE(MID(A33,6,1),"남","여","남","여","남","여","남","여","남","여"),CHOOSE(MID(A33,5,1),"남","여","남","여","남","여","남","여","남","여"),CHOOSE(MID(A33,4,1),"남","여","남","여","남","여","남","여","남","여"),CHOOSE(MID(A33,3,1),"남","여","남","여","남","여","남","여","남","여"))</f>
        <v>남</v>
      </c>
      <c r="H33" s="326" t="str">
        <f>CHOOSE(14-LEN(CLEAN(A33)),MID(A33,7,1),MID(A33,6,1),MID(A33,5,1),MID(A33,4,1))</f>
        <v>5</v>
      </c>
      <c r="I33" s="326" t="str">
        <f>CHOOSE(H33,"내국인","내국인","내국인","내국인","외국인","외국인","외국인","외국인")</f>
        <v>외국인</v>
      </c>
      <c r="J33" s="326" t="str">
        <f>IF(I33="외국인","고용허가체크","")</f>
        <v>고용허가체크</v>
      </c>
      <c r="K33" s="326">
        <f>IF(LEN(CLEAN(A33))=12,MOD(MID(A33,7,1)*10+MID(A33,8,1),2),MOD(MID(A33,8,1)*10+MID(A33,9,1),2))</f>
        <v>0</v>
      </c>
      <c r="L33" s="326" t="str">
        <f>IF(K33=0,"OK","")</f>
        <v>OK</v>
      </c>
      <c r="M33" s="326">
        <f>LEN(CLEAN(A33))</f>
        <v>13</v>
      </c>
      <c r="N33" s="329" t="str">
        <f>IF(I33="외국인",VLOOKUP(VALUE(MID(A33,12,1)),$M$10:$N$12,2),"")</f>
        <v>외국국적동포</v>
      </c>
    </row>
    <row r="34" spans="1:14" ht="17.25">
      <c r="A34" s="332">
        <v>612313234569</v>
      </c>
      <c r="B34" s="326">
        <f t="shared" ref="B34:B39" si="1">IF(LEN(CLEAN(A34))=10,IF(AND(VALUE(MID(A34,4,1))&gt;=1,VALUE(MID(A34,4,1))&lt;=4),MOD(11-MOD(0*2+0*3+0*4+MID(A34,1,1)*5+MID(A34,2,1)*6+MID(A34,3,1)*7+MID(A34,4,1)*8+MID(A34,5,1)*9+MID(A34,6,1)*2+MID(A34,7,1)*3+MID(A34,8,1)*4+MID(A34,9,1)*5,11),10),IF(AND(VALUE(MID(A34,4,1))&gt;=5,VALUE(MID(A34,4,1))&lt;=8),MOD(11-MOD(0*2+0*3+0*4+MID(A34,1,1)*5+MID(A34,2,1)*6+MID(A34,3,1)*7+MID(A34,4,1)*8+MID(A34,5,1)*9+MID(A34,6,1)*2+MID(A34,7,1)*3+MID(A34,8,1)*4+MID(A34,9,1)*5,11),10),"오류")),IF(LEN(CLEAN(A34))=11,IF(AND(VALUE(MID(A34,5,1))&gt;=1,VALUE(MID(A34,5,1))&lt;=4),MOD(11-MOD(0*2+0*3+MID(A34,1,1)*4+MID(A34,2,1)*5+MID(A34,3,1)*6+MID(A34,4,1)*7+MID(A34,5,1)*8+MID(A34,6,1)*9+MID(A34,7,1)*2+MID(A34,8,1)*3+MID(A34,9,1)*4+MID(A34,10,1)*5,11),10),IF(AND(VALUE(MID(A34,5,1))&gt;=5,VALUE(MID(A34,5,1))&lt;=8),MOD(11-MOD(0*2+0*3+MID(A34,1,1)*4+MID(A34,2,1)*5+MID(A34,3,1)*6+MID(A34,4,1)*7+MID(A34,5,1)*8+MID(A34,6,1)*9+MID(A34,7,1)*2+MID(A34,8,1)*3+MID(A34,9,1)*4+MID(A34,10,1)*5,11),10),"오류")),IF(LEN(CLEAN(A34))=12,IF(AND(VALUE(MID(A34,6,1))&gt;=1,VALUE(MID(A34,6,1))&lt;=4),MOD(11-MOD(0*2+MID(A34,1,1)*3+MID(A34,2,1)*4+MID(A34,3,1)*5+MID(A34,4,1)*6+MID(A34,5,1)*7+MID(A34,6,1)*8+MID(A34,7,1)*9+MID(A34,8,1)*2+MID(A34,9,1)*3+MID(A34,10,1)*4+MID(A34,11,1)*5,11),10),IF(AND(VALUE(MID(A34,7,1))&gt;=5,VALUE(MID(A34,7,1))&lt;=8),MOD(11-MOD(0*2+MID(A34,1,1)*3+MID(A34,2,1)*4+MID(A34,3,1)*5+MID(A34,4,1)*6+MID(A34,5,1)*7+MID(A34,6,1)*8+MID(A34,7,1)*9+MID(A34,8,1)*2+MID(A34,9,1)*3+MID(A34,10,1)*4+MID(A34,11,1)*5,11),10),"오류")),IF(AND(VALUE(MID(A34,7,1))&gt;=1,VALUE(MID(A34,7,1))&lt;=4),MOD(11-MOD(MID(A34,1,1)*2+MID(A34,2,1)*3+MID(A34,3,1)*4+MID(A34,4,1)*5+MID(A34,5,1)*6+MID(A34,6,1)*7+MID(A34,7,1)*8+MID(A34,8,1)*9+MID(A34,9,1)*2+MID(A34,10,1)*3+MID(A34,11,1)*4+MID(A34,12,1)*5,11),10),IF(AND(VALUE(MID(A34,7,1))&gt;=5,VALUE(MID(A34,7,1))&lt;=8),IF(LEN(CLEAN(A34))=12,MOD(MOD(11-MOD(0*2+MID(A34,1,1)*3+MID(A34,2,1)*4+MID(A34,3,1)*5+MID(A34,4,1)*6+MID(A34,5,1)*7+MID(A34,6,1)*8+MID(A34,7,1)*9+MID(A34,8,1)*2+MID(A34,9,1)*3+MID(A34,10,1)*4+MID(A34,11,1)*5,11),10)+2,10),MOD(MOD(11-MOD(MID(A34,1,1)*2+MID(A34,2,1)*3+MID(A34,3,1)*4+MID(A34,4,1)*5+MID(A34,5,1)*6+MID(A34,6,1)*7+MID(A34,7,1)*8+MID(A34,8,1)*9+MID(A34,9,1)*2+MID(A34,10,1)*3+MID(A34,11,1)*4+MID(A34,12,1)*5,11),10)+2,10)))))))</f>
        <v>9</v>
      </c>
      <c r="C34" s="326" t="str">
        <f>IF(INT(RIGHT(A34,1))=B34,"OK","주민오류")</f>
        <v>OK</v>
      </c>
      <c r="D34" s="327">
        <f t="shared" ref="D34:D42" ca="1" si="2">DATEDIF(IF(OR(MID(A34,LEN(CLEAN(A34))-6,1)&lt;="2",MID(A34,LEN(CLEAN(A34))-6,1)="5",MID(A34,LEN(CLEAN(A34))-6,1)="6"),DATE(MID(A34,1,2),MID(A34,3,2),MID(A34,5,2)),CHOOSE(14-LEN(CLEAN(A34)), DATE(MID(A34,1,2)+100,MID(A34,3,2),MID(A34,5,2)), DATE(MID(A34,1,1)+100,MID(A34,2,2),MID(A34,4,2)),DATE(2000,MID(A34,1,2),MID(A34,3,2)),DATE(2000,MID(A34,1,1),MID(A34,2,2)))),TODAY(),"y")</f>
        <v>15</v>
      </c>
      <c r="E34" s="328">
        <f>$E$33</f>
        <v>44530</v>
      </c>
      <c r="F34" s="327">
        <f t="shared" ref="F34:F42" si="3">DATEDIF(IF(OR(MID(A34,LEN(CLEAN(A34))-6,1)&lt;="2",MID(A34,LEN(CLEAN(A34))-6,1)="5",MID(A34,LEN(CLEAN(A34))-6,1)="6"),DATE(MID(A34,1,2),MID(A34,3,2),MID(A34,5,2)),CHOOSE(14-LEN(CLEAN(A34)), DATE(MID(A34,1,2)+100,MID(A34,3,2),MID(A34,5,2)), DATE(MID(A34,1,1)+100,MID(A34,2,2),MID(A34,4,2)),DATE(2000,MID(A34,1,2),MID(A34,3,2)),DATE(2000,MID(A34,1,1),MID(A34,2,2)))),E34,"y")</f>
        <v>14</v>
      </c>
      <c r="G34" s="326" t="str">
        <f t="shared" ref="G34:G42" si="4">CHOOSE(14-LEN(CLEAN(A34)),CHOOSE(MID(A34,7,1),"남","여","남","여","남","여","남","여","남","여"),CHOOSE(MID(A34,6,1),"남","여","남","여","남","여","남","여","남","여"),CHOOSE(MID(A34,5,1),"남","여","남","여","남","여","남","여","남","여"),CHOOSE(MID(A34,4,1),"남","여","남","여","남","여","남","여","남","여"),CHOOSE(MID(A34,3,1),"남","여","남","여","남","여","남","여","남","여"))</f>
        <v>남</v>
      </c>
      <c r="H34" s="326" t="str">
        <f t="shared" ref="H34:H39" si="5">CHOOSE(14-LEN(CLEAN(A34)),MID(A34,7,1),MID(A34,6,1),MID(A34,5,1),MID(A34,4,1))</f>
        <v>3</v>
      </c>
      <c r="I34" s="326" t="str">
        <f>CHOOSE(H34,"내국인","내국인","내국인","내국인","외국인","외국인","외국인","외국인")</f>
        <v>내국인</v>
      </c>
      <c r="J34" s="326" t="str">
        <f>IF(I34="외국인","고용허가체크","")</f>
        <v/>
      </c>
      <c r="K34" s="330">
        <f t="shared" ref="K34:K35" si="6">IF(LEN(CLEAN(A34))=12,MOD(MID(A34,7,1)*10+MID(A34,8,1),2),MOD(MID(A34,8,1)*10+MID(A34,9,1),2))</f>
        <v>1</v>
      </c>
      <c r="L34" s="326" t="str">
        <f>IF(K34=0,"OK","")</f>
        <v/>
      </c>
      <c r="M34" s="326">
        <f t="shared" ref="M34:M42" si="7">LEN(CLEAN(A34))</f>
        <v>12</v>
      </c>
      <c r="N34" s="329" t="str">
        <f t="shared" ref="N34:N42" si="8">IF(I34="외국인",VLOOKUP(VALUE(MID(A34,12,1)),$M$10:$N$12,2),"")</f>
        <v/>
      </c>
    </row>
    <row r="35" spans="1:14" ht="17.25">
      <c r="A35" s="332">
        <v>12314234598</v>
      </c>
      <c r="B35" s="326">
        <f t="shared" si="1"/>
        <v>4</v>
      </c>
      <c r="C35" s="326" t="str">
        <f>IF(INT(RIGHT(A35,1))=B35,"OK","주민오류")</f>
        <v>주민오류</v>
      </c>
      <c r="D35" s="327">
        <f t="shared" ca="1" si="2"/>
        <v>21</v>
      </c>
      <c r="E35" s="328">
        <f t="shared" ref="E35:E42" si="9">$E$33</f>
        <v>44530</v>
      </c>
      <c r="F35" s="327">
        <f t="shared" si="3"/>
        <v>20</v>
      </c>
      <c r="G35" s="326" t="str">
        <f t="shared" si="4"/>
        <v>여</v>
      </c>
      <c r="H35" s="326" t="str">
        <f t="shared" si="5"/>
        <v>4</v>
      </c>
      <c r="I35" s="326" t="str">
        <f>CHOOSE(H35,"내국인","내국인","내국인","내국인","외국인","외국인","외국인","외국인")</f>
        <v>내국인</v>
      </c>
      <c r="J35" s="326" t="str">
        <f>IF(I35="외국인","고용허가체크","")</f>
        <v/>
      </c>
      <c r="K35" s="330">
        <f t="shared" si="6"/>
        <v>1</v>
      </c>
      <c r="L35" s="326" t="str">
        <f>IF(K35=0,"OK","")</f>
        <v/>
      </c>
      <c r="M35" s="326">
        <f t="shared" si="7"/>
        <v>11</v>
      </c>
      <c r="N35" s="329" t="str">
        <f t="shared" si="8"/>
        <v/>
      </c>
    </row>
    <row r="36" spans="1:14" ht="17.25">
      <c r="A36" s="332">
        <v>7004306584089</v>
      </c>
      <c r="B36" s="326">
        <f t="shared" si="1"/>
        <v>9</v>
      </c>
      <c r="C36" s="326" t="str">
        <f t="shared" ref="C36:C42" si="10">IF(INT(RIGHT(A36,1))=B36,"OK","주민오류")</f>
        <v>OK</v>
      </c>
      <c r="D36" s="327">
        <f t="shared" ca="1" si="2"/>
        <v>51</v>
      </c>
      <c r="E36" s="328">
        <f t="shared" si="9"/>
        <v>44530</v>
      </c>
      <c r="F36" s="327">
        <f t="shared" si="3"/>
        <v>51</v>
      </c>
      <c r="G36" s="326" t="str">
        <f t="shared" si="4"/>
        <v>여</v>
      </c>
      <c r="H36" s="326" t="str">
        <f t="shared" si="5"/>
        <v>6</v>
      </c>
      <c r="I36" s="326" t="str">
        <f t="shared" ref="I36:I42" si="11">CHOOSE(H36,"내국인","내국인","내국인","내국인","외국인","외국인","외국인","외국인")</f>
        <v>외국인</v>
      </c>
      <c r="J36" s="326" t="str">
        <f t="shared" ref="J36:J42" si="12">IF(I36="외국인","고용허가체크","")</f>
        <v>고용허가체크</v>
      </c>
      <c r="M36" s="326">
        <f t="shared" si="7"/>
        <v>13</v>
      </c>
      <c r="N36" s="329" t="str">
        <f t="shared" si="8"/>
        <v>재외국민</v>
      </c>
    </row>
    <row r="37" spans="1:14" ht="17.25">
      <c r="A37" s="332">
        <v>1304074123451</v>
      </c>
      <c r="B37" s="326">
        <f t="shared" si="1"/>
        <v>1</v>
      </c>
      <c r="C37" s="326" t="str">
        <f t="shared" si="10"/>
        <v>OK</v>
      </c>
      <c r="D37" s="327">
        <f t="shared" ca="1" si="2"/>
        <v>8</v>
      </c>
      <c r="E37" s="328">
        <f t="shared" si="9"/>
        <v>44530</v>
      </c>
      <c r="F37" s="327">
        <f t="shared" si="3"/>
        <v>8</v>
      </c>
      <c r="G37" s="326" t="str">
        <f t="shared" si="4"/>
        <v>여</v>
      </c>
      <c r="H37" s="326" t="str">
        <f t="shared" si="5"/>
        <v>4</v>
      </c>
      <c r="I37" s="326" t="str">
        <f t="shared" si="11"/>
        <v>내국인</v>
      </c>
      <c r="J37" s="326" t="str">
        <f t="shared" si="12"/>
        <v/>
      </c>
      <c r="M37" s="326">
        <f t="shared" si="7"/>
        <v>13</v>
      </c>
      <c r="N37" s="329" t="str">
        <f t="shared" si="8"/>
        <v/>
      </c>
    </row>
    <row r="38" spans="1:14" ht="17.25">
      <c r="A38" s="332">
        <v>1401014123451</v>
      </c>
      <c r="B38" s="326">
        <f t="shared" si="1"/>
        <v>1</v>
      </c>
      <c r="C38" s="326" t="str">
        <f t="shared" si="10"/>
        <v>OK</v>
      </c>
      <c r="D38" s="327">
        <f t="shared" ca="1" si="2"/>
        <v>8</v>
      </c>
      <c r="E38" s="328">
        <f t="shared" si="9"/>
        <v>44530</v>
      </c>
      <c r="F38" s="327">
        <f t="shared" si="3"/>
        <v>7</v>
      </c>
      <c r="G38" s="326" t="str">
        <f t="shared" si="4"/>
        <v>여</v>
      </c>
      <c r="H38" s="326" t="str">
        <f t="shared" si="5"/>
        <v>4</v>
      </c>
      <c r="I38" s="326" t="str">
        <f t="shared" si="11"/>
        <v>내국인</v>
      </c>
      <c r="J38" s="326" t="str">
        <f t="shared" si="12"/>
        <v/>
      </c>
      <c r="M38" s="326">
        <f t="shared" si="7"/>
        <v>13</v>
      </c>
      <c r="N38" s="329" t="str">
        <f t="shared" si="8"/>
        <v/>
      </c>
    </row>
    <row r="39" spans="1:14" ht="17.25">
      <c r="A39" s="332">
        <v>7310241234564</v>
      </c>
      <c r="B39" s="326">
        <f t="shared" si="1"/>
        <v>4</v>
      </c>
      <c r="C39" s="326" t="str">
        <f t="shared" si="10"/>
        <v>OK</v>
      </c>
      <c r="D39" s="327">
        <f t="shared" ca="1" si="2"/>
        <v>48</v>
      </c>
      <c r="E39" s="328">
        <f t="shared" si="9"/>
        <v>44530</v>
      </c>
      <c r="F39" s="327">
        <f t="shared" si="3"/>
        <v>48</v>
      </c>
      <c r="G39" s="326" t="str">
        <f t="shared" si="4"/>
        <v>남</v>
      </c>
      <c r="H39" s="326" t="str">
        <f t="shared" si="5"/>
        <v>1</v>
      </c>
      <c r="I39" s="326" t="str">
        <f t="shared" si="11"/>
        <v>내국인</v>
      </c>
      <c r="J39" s="326" t="str">
        <f t="shared" si="12"/>
        <v/>
      </c>
      <c r="M39" s="326">
        <f t="shared" si="7"/>
        <v>13</v>
      </c>
      <c r="N39" s="329" t="str">
        <f t="shared" si="8"/>
        <v/>
      </c>
    </row>
    <row r="40" spans="1:14" ht="17.25">
      <c r="A40" s="332"/>
      <c r="B40" s="326" t="e">
        <f t="shared" ref="B40:B42" si="13">IF(LEN(CLEAN(A40))=11,IF(AND(VALUE(MID(A40,5,1))&gt;=1,VALUE(MID(A40,5,1))&lt;=4),MOD(11-MOD(0*2+0*3+MID(A40,1,1)*4+MID(A40,2,1)*5+MID(A40,3,1)*6+MID(A40,4,1)*7+MID(A40,5,1)*8+MID(A40,6,1)*9+MID(A40,7,1)*2+MID(A40,8,1)*3+MID(A40,9,1)*4+MID(A40,10,1)*5,11),10),IF(AND(VALUE(MID(A40,5,1))&gt;=5,VALUE(MID(A40,5,1))&lt;=8),MOD(11-MOD(0*2+0*3+MID(A40,1,1)*4+MID(A40,2,1)*5+MID(A40,3,1)*6+MID(A40,4,1)*7+MID(A40,5,1)*8+MID(A40,6,1)*9+MID(A40,7,1)*2+MID(A40,8,1)*3+MID(A40,9,1)*4+MID(A40,10,1)*5,11),10),"오류")),IF(LEN(CLEAN(A40))=10,IF(AND(VALUE(MID(A40,4,1))&gt;=1,VALUE(MID(A40,4,1))&lt;=4),MOD(11-MOD(0*2+0*3+0*4+MID(A40,1,1)*5+MID(A40,2,1)*6+MID(A40,3,1)*7+MID(A40,4,1)*8+MID(A40,5,1)*9+MID(A40,6,1)*2+MID(A40,7,1)*3+MID(A40,8,1)*4+MID(A40,9,1)*5,11),10),IF(AND(VALUE(MID(A40,4,1))&gt;=5,VALUE(MID(A40,4,1))&lt;=8),MOD(11-MOD(0*2+0*3+0*4+MID(A40,1,1)*5+MID(A40,2,1)*6+MID(A40,3,1)*7+MID(A40,4,1)*8+MID(A40,5,1)*9+MID(A40,6,1)*2+MID(A40,7,1)*3+MID(A40,8,1)*4+MID(A40,9,1)*5,11),10),"오류")),IF(LEN(CLEAN(A40))=12,IF(AND(VALUE(MID(A40,6,1))&gt;=1,VALUE(MID(A40,6,1))&lt;=4),MOD(11-MOD(0*2+MID(A40,1,1)*3+MID(A40,2,1)*4+MID(A40,3,1)*5+MID(A40,4,1)*6+MID(A40,5,1)*7+MID(A40,6,1)*8+MID(A40,7,1)*9+MID(A40,8,1)*2+MID(A40,9,1)*3+MID(A40,10,1)*4+MID(A40,11,1)*5,11),10),IF(AND(VALUE(MID(A40,7,1))&gt;=5,VALUE(MID(A40,7,1))&lt;=8),MOD(11-MOD(0*2+MID(A40,1,1)*3+MID(A40,2,1)*4+MID(A40,3,1)*5+MID(A40,4,1)*6+MID(A40,5,1)*7+MID(A40,6,1)*8+MID(A40,7,1)*9+MID(A40,8,1)*2+MID(A40,9,1)*3+MID(A40,10,1)*4+MID(A40,11,1)*5,11),10),"오류")),IF(AND(VALUE(MID(A40,7,1))&gt;=1,VALUE(MID(A40,7,1))&lt;=4),MOD(11-MOD(MID(A40,1,1)*2+MID(A40,2,1)*3+MID(A40,3,1)*4+MID(A40,4,1)*5+MID(A40,5,1)*6+MID(A40,6,1)*7+MID(A40,7,1)*8+MID(A40,8,1)*9+MID(A40,9,1)*2+MID(A40,10,1)*3+MID(A40,11,1)*4+MID(A40,12,1)*5,11),10),IF(AND(VALUE(MID(A40,7,1))&gt;=5,VALUE(MID(A40,7,1))&lt;=8),IF(LEN(CLEAN(A40))=12,MOD(MOD(11-MOD(0*2+MID(A40,1,1)*3+MID(A40,2,1)*4+MID(A40,3,1)*5+MID(A40,4,1)*6+MID(A40,5,1)*7+MID(A40,6,1)*8+MID(A40,7,1)*9+MID(A40,8,1)*2+MID(A40,9,1)*3+MID(A40,10,1)*4+MID(A40,11,1)*5,11),10)+2,10),MOD(MOD(11-MOD(MID(A40,1,1)*2+MID(A40,2,1)*3+MID(A40,3,1)*4+MID(A40,4,1)*5+MID(A40,5,1)*6+MID(A40,6,1)*7+MID(A40,7,1)*8+MID(A40,8,1)*9+MID(A40,9,1)*2+MID(A40,10,1)*3+MID(A40,11,1)*4+MID(A40,12,1)*5,11),10)+2,10)))))))</f>
        <v>#VALUE!</v>
      </c>
      <c r="C40" s="326" t="e">
        <f t="shared" si="10"/>
        <v>#VALUE!</v>
      </c>
      <c r="D40" s="327" t="e">
        <f t="shared" ca="1" si="2"/>
        <v>#VALUE!</v>
      </c>
      <c r="E40" s="328">
        <f t="shared" si="9"/>
        <v>44530</v>
      </c>
      <c r="F40" s="327" t="e">
        <f t="shared" si="3"/>
        <v>#VALUE!</v>
      </c>
      <c r="G40" s="326" t="e">
        <f t="shared" si="4"/>
        <v>#VALUE!</v>
      </c>
      <c r="H40" s="326" t="str">
        <f t="shared" ref="H40:H42" si="14">IF(LEN(CLEAN(A40))=12,MID(A40,6,1),MID(A40,7,1))</f>
        <v/>
      </c>
      <c r="I40" s="326" t="e">
        <f t="shared" si="11"/>
        <v>#VALUE!</v>
      </c>
      <c r="J40" s="326" t="e">
        <f t="shared" si="12"/>
        <v>#VALUE!</v>
      </c>
      <c r="M40" s="326">
        <f t="shared" si="7"/>
        <v>0</v>
      </c>
      <c r="N40" s="329" t="e">
        <f t="shared" si="8"/>
        <v>#VALUE!</v>
      </c>
    </row>
    <row r="41" spans="1:14" ht="17.25">
      <c r="A41" s="332"/>
      <c r="B41" s="326" t="e">
        <f t="shared" si="13"/>
        <v>#VALUE!</v>
      </c>
      <c r="C41" s="326" t="e">
        <f t="shared" si="10"/>
        <v>#VALUE!</v>
      </c>
      <c r="D41" s="327" t="e">
        <f t="shared" ca="1" si="2"/>
        <v>#VALUE!</v>
      </c>
      <c r="E41" s="328">
        <f t="shared" si="9"/>
        <v>44530</v>
      </c>
      <c r="F41" s="327" t="e">
        <f t="shared" si="3"/>
        <v>#VALUE!</v>
      </c>
      <c r="G41" s="326" t="e">
        <f t="shared" si="4"/>
        <v>#VALUE!</v>
      </c>
      <c r="H41" s="326" t="str">
        <f t="shared" si="14"/>
        <v/>
      </c>
      <c r="I41" s="326" t="e">
        <f t="shared" si="11"/>
        <v>#VALUE!</v>
      </c>
      <c r="J41" s="326" t="e">
        <f t="shared" si="12"/>
        <v>#VALUE!</v>
      </c>
      <c r="M41" s="326">
        <f t="shared" si="7"/>
        <v>0</v>
      </c>
      <c r="N41" s="329" t="e">
        <f t="shared" si="8"/>
        <v>#VALUE!</v>
      </c>
    </row>
    <row r="42" spans="1:14" ht="17.25">
      <c r="A42" s="332"/>
      <c r="B42" s="326" t="e">
        <f t="shared" si="13"/>
        <v>#VALUE!</v>
      </c>
      <c r="C42" s="326" t="e">
        <f t="shared" si="10"/>
        <v>#VALUE!</v>
      </c>
      <c r="D42" s="327" t="e">
        <f t="shared" ca="1" si="2"/>
        <v>#VALUE!</v>
      </c>
      <c r="E42" s="328">
        <f t="shared" si="9"/>
        <v>44530</v>
      </c>
      <c r="F42" s="327" t="e">
        <f t="shared" si="3"/>
        <v>#VALUE!</v>
      </c>
      <c r="G42" s="326" t="e">
        <f t="shared" si="4"/>
        <v>#VALUE!</v>
      </c>
      <c r="H42" s="326" t="str">
        <f t="shared" si="14"/>
        <v/>
      </c>
      <c r="I42" s="326" t="e">
        <f t="shared" si="11"/>
        <v>#VALUE!</v>
      </c>
      <c r="J42" s="326" t="e">
        <f t="shared" si="12"/>
        <v>#VALUE!</v>
      </c>
      <c r="M42" s="326">
        <f t="shared" si="7"/>
        <v>0</v>
      </c>
      <c r="N42" s="329" t="e">
        <f t="shared" si="8"/>
        <v>#VALUE!</v>
      </c>
    </row>
    <row r="44" spans="1:14">
      <c r="A44" s="36"/>
    </row>
    <row r="46" spans="1:14">
      <c r="A46" s="331"/>
    </row>
  </sheetData>
  <phoneticPr fontId="2" type="noConversion"/>
  <conditionalFormatting sqref="K33:K1048576">
    <cfRule type="cellIs" dxfId="180" priority="10" operator="greaterThan">
      <formula>0</formula>
    </cfRule>
  </conditionalFormatting>
  <conditionalFormatting sqref="L33:L1048576 C33:C1048576">
    <cfRule type="cellIs" dxfId="179" priority="9" operator="equal">
      <formula>"주민오류"</formula>
    </cfRule>
  </conditionalFormatting>
  <conditionalFormatting sqref="I33:I1048576">
    <cfRule type="cellIs" dxfId="178" priority="8" operator="equal">
      <formula>"외국인"</formula>
    </cfRule>
  </conditionalFormatting>
  <conditionalFormatting sqref="J33:J1048576">
    <cfRule type="cellIs" dxfId="177" priority="7" operator="equal">
      <formula>"고용허가체크"</formula>
    </cfRule>
  </conditionalFormatting>
  <conditionalFormatting sqref="M33:M42">
    <cfRule type="cellIs" dxfId="176" priority="5" operator="equal">
      <formula>13</formula>
    </cfRule>
    <cfRule type="cellIs" dxfId="175" priority="6" operator="equal">
      <formula>"고용허가체크"</formula>
    </cfRule>
  </conditionalFormatting>
  <conditionalFormatting sqref="F33:F42">
    <cfRule type="cellIs" dxfId="174" priority="1" operator="lessThan">
      <formula>18</formula>
    </cfRule>
    <cfRule type="cellIs" dxfId="173" priority="4" operator="greaterThan">
      <formula>60</formula>
    </cfRule>
  </conditionalFormatting>
  <conditionalFormatting sqref="D33:D42">
    <cfRule type="cellIs" dxfId="172" priority="2" operator="lessThan">
      <formula>18</formula>
    </cfRule>
    <cfRule type="cellIs" dxfId="171" priority="3" operator="greaterThan">
      <formula>60</formula>
    </cfRule>
  </conditionalFormatting>
  <hyperlinks>
    <hyperlink ref="B1" r:id="rId1" xr:uid="{DFDCC08D-243F-4240-A449-E07E9205225B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861AF-8EA8-4BB1-B353-6A8AACC9A2EC}">
  <sheetPr codeName="Sheet9">
    <tabColor rgb="FF7030A0"/>
    <pageSetUpPr fitToPage="1"/>
  </sheetPr>
  <dimension ref="A1:AG83"/>
  <sheetViews>
    <sheetView showGridLines="0" workbookViewId="0">
      <selection activeCell="D3" sqref="D3:F3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2.125" customWidth="1"/>
    <col min="9" max="9" width="6.5" customWidth="1"/>
    <col min="10" max="10" width="1.625" customWidth="1"/>
    <col min="11" max="11" width="4" customWidth="1"/>
    <col min="12" max="12" width="12.125" customWidth="1"/>
    <col min="13" max="13" width="11.625" customWidth="1"/>
    <col min="14" max="14" width="13.5" customWidth="1"/>
    <col min="15" max="15" width="18.625" customWidth="1"/>
    <col min="16" max="16" width="13.25" customWidth="1"/>
    <col min="20" max="20" width="10.875" bestFit="1" customWidth="1"/>
    <col min="21" max="21" width="12.75" customWidth="1"/>
    <col min="22" max="22" width="12.875" bestFit="1" customWidth="1"/>
  </cols>
  <sheetData>
    <row r="1" spans="1:33">
      <c r="A1" s="3" t="s">
        <v>0</v>
      </c>
      <c r="N1" s="510">
        <f>IF(B7&gt;EOMONTH($D$3,-1)+1,B7,EOMONTH(D3,-1)+1)</f>
        <v>44562</v>
      </c>
      <c r="O1" s="511">
        <f>IF(AND(B8&lt;&gt;"",B8&lt;EOMONTH(D3,0)),B8,EOMONTH(D3,0))</f>
        <v>44592</v>
      </c>
      <c r="P1" t="s">
        <v>1656</v>
      </c>
      <c r="Q1" s="289"/>
      <c r="V1" s="289"/>
      <c r="AG1" t="s">
        <v>1506</v>
      </c>
    </row>
    <row r="2" spans="1:33" ht="8.25" customHeight="1"/>
    <row r="3" spans="1:33" ht="20.25">
      <c r="D3" s="888">
        <v>44562</v>
      </c>
      <c r="E3" s="888"/>
      <c r="F3" s="888"/>
      <c r="G3" s="5" t="s">
        <v>1</v>
      </c>
      <c r="J3" s="2"/>
      <c r="K3" s="2"/>
      <c r="L3" s="26" t="s">
        <v>1256</v>
      </c>
      <c r="N3" s="15" t="s">
        <v>1388</v>
      </c>
      <c r="O3" s="15"/>
      <c r="P3" t="s">
        <v>1491</v>
      </c>
      <c r="Q3" s="36"/>
      <c r="Y3" s="66" t="s">
        <v>1498</v>
      </c>
      <c r="Z3" s="66" t="s">
        <v>1499</v>
      </c>
      <c r="AA3" s="66" t="s">
        <v>1500</v>
      </c>
      <c r="AB3" s="66" t="s">
        <v>1501</v>
      </c>
      <c r="AC3" s="66" t="s">
        <v>1503</v>
      </c>
      <c r="AD3" s="66" t="s">
        <v>1504</v>
      </c>
      <c r="AE3" s="66" t="s">
        <v>1505</v>
      </c>
      <c r="AF3" s="66" t="s">
        <v>1504</v>
      </c>
      <c r="AG3" s="66" t="s">
        <v>1505</v>
      </c>
    </row>
    <row r="4" spans="1:33" ht="8.25" customHeight="1">
      <c r="Q4" s="36"/>
      <c r="Y4" s="66"/>
      <c r="Z4" s="66"/>
      <c r="AA4" s="66"/>
      <c r="AB4" s="66"/>
      <c r="AC4" s="66"/>
      <c r="AD4" s="66"/>
      <c r="AE4" s="66"/>
      <c r="AF4" s="66"/>
      <c r="AG4" s="66"/>
    </row>
    <row r="5" spans="1:33">
      <c r="A5" t="s">
        <v>12</v>
      </c>
      <c r="B5" s="889" t="s">
        <v>385</v>
      </c>
      <c r="C5" s="889"/>
      <c r="D5" s="889"/>
      <c r="E5" s="889"/>
      <c r="F5" s="889"/>
      <c r="G5" s="714" t="s">
        <v>11</v>
      </c>
      <c r="H5" s="714"/>
      <c r="I5" s="466"/>
      <c r="J5" s="890">
        <v>44592</v>
      </c>
      <c r="K5" s="890"/>
      <c r="L5" s="890"/>
      <c r="O5" s="430">
        <f>DATEDIF(B7,O1,"y")</f>
        <v>1</v>
      </c>
      <c r="P5" t="s">
        <v>1492</v>
      </c>
      <c r="T5" t="s">
        <v>1493</v>
      </c>
      <c r="Y5" s="425">
        <v>11</v>
      </c>
      <c r="Z5" s="425">
        <v>15</v>
      </c>
      <c r="AA5" s="425">
        <f>Z5</f>
        <v>15</v>
      </c>
      <c r="AB5" s="425">
        <v>16</v>
      </c>
      <c r="AC5" s="425">
        <f>AB5</f>
        <v>16</v>
      </c>
      <c r="AD5" s="425">
        <v>17</v>
      </c>
      <c r="AE5" s="425">
        <f>AD5</f>
        <v>17</v>
      </c>
      <c r="AF5" s="425">
        <v>18</v>
      </c>
      <c r="AG5" s="425">
        <f>AF5</f>
        <v>18</v>
      </c>
    </row>
    <row r="6" spans="1:33">
      <c r="A6" s="467" t="s">
        <v>2</v>
      </c>
      <c r="B6" s="881" t="s">
        <v>19</v>
      </c>
      <c r="C6" s="884"/>
      <c r="D6" s="885"/>
      <c r="E6" s="891" t="s">
        <v>652</v>
      </c>
      <c r="F6" s="880"/>
      <c r="G6" s="892">
        <v>35652</v>
      </c>
      <c r="H6" s="893"/>
      <c r="I6" s="894"/>
      <c r="J6" s="895"/>
      <c r="K6" s="895"/>
      <c r="L6" s="896"/>
      <c r="N6" s="420" t="s">
        <v>1459</v>
      </c>
      <c r="O6" s="431" t="s">
        <v>1510</v>
      </c>
      <c r="P6" t="s">
        <v>1494</v>
      </c>
      <c r="Y6" s="66"/>
      <c r="Z6" s="66"/>
      <c r="AA6" s="66"/>
      <c r="AB6" s="66"/>
      <c r="AC6" s="66"/>
      <c r="AD6" s="66"/>
      <c r="AE6" s="66"/>
      <c r="AF6" s="66"/>
      <c r="AG6" s="66"/>
    </row>
    <row r="7" spans="1:33">
      <c r="A7" s="467" t="s">
        <v>33</v>
      </c>
      <c r="B7" s="878">
        <v>44197</v>
      </c>
      <c r="C7" s="878"/>
      <c r="D7" s="878"/>
      <c r="E7" s="879" t="s">
        <v>34</v>
      </c>
      <c r="F7" s="880"/>
      <c r="G7" s="881"/>
      <c r="H7" s="882"/>
      <c r="I7" s="883"/>
      <c r="J7" s="884"/>
      <c r="K7" s="884"/>
      <c r="L7" s="885"/>
      <c r="N7" s="502" t="str">
        <f>IF(D3="","",DATEDIF(B7,O1+1,"Y") &amp; "년 " &amp; DATEDIF(B7,O1+1,"YM") &amp; "개월 "&amp; IF(OR(VALUE(TEXT(B7,"dd"))-1=VALUE(TEXT(O1,"dd")),TEXT(B7,"dd")="01"),"",DATEDIF(B7,O1,"MD")+1 &amp; "일"))</f>
        <v xml:space="preserve">1년 1개월 </v>
      </c>
      <c r="O7" s="429">
        <f>IF(O5=0,1,VLOOKUP(O5,연차,2))</f>
        <v>15</v>
      </c>
      <c r="P7" t="s">
        <v>1495</v>
      </c>
      <c r="Y7" s="467" t="s">
        <v>1502</v>
      </c>
      <c r="Z7" s="426">
        <f>SUM(Y5:Z5)</f>
        <v>26</v>
      </c>
      <c r="AA7" s="426">
        <f t="shared" ref="AA7:AG7" si="0">SUM(Z7,AA5)</f>
        <v>41</v>
      </c>
      <c r="AB7" s="426">
        <f t="shared" si="0"/>
        <v>57</v>
      </c>
      <c r="AC7" s="426">
        <f t="shared" si="0"/>
        <v>73</v>
      </c>
      <c r="AD7" s="426">
        <f t="shared" si="0"/>
        <v>90</v>
      </c>
      <c r="AE7" s="426">
        <f t="shared" si="0"/>
        <v>107</v>
      </c>
      <c r="AF7" s="426">
        <f t="shared" si="0"/>
        <v>125</v>
      </c>
      <c r="AG7" s="426">
        <f t="shared" si="0"/>
        <v>143</v>
      </c>
    </row>
    <row r="8" spans="1:33" ht="16.5" customHeight="1">
      <c r="A8" s="482" t="s">
        <v>1655</v>
      </c>
      <c r="B8" s="878"/>
      <c r="C8" s="878"/>
      <c r="D8" s="878"/>
      <c r="E8" s="897" t="s">
        <v>1653</v>
      </c>
      <c r="F8" s="898"/>
      <c r="G8" s="886"/>
      <c r="H8" s="887"/>
      <c r="I8" s="883"/>
      <c r="J8" s="884"/>
      <c r="K8" s="884"/>
      <c r="L8" s="885"/>
      <c r="N8" s="500" t="str">
        <f>IF(B8-B7&gt;=355,"퇴직금대상 check","")</f>
        <v/>
      </c>
      <c r="O8" s="464" t="str">
        <f>IF(O5=0,"입사후 근무월 개수","")</f>
        <v/>
      </c>
      <c r="P8" t="s">
        <v>1496</v>
      </c>
    </row>
    <row r="9" spans="1:33" ht="16.5" customHeight="1" thickBot="1">
      <c r="A9" s="337" t="s">
        <v>383</v>
      </c>
      <c r="B9" s="865"/>
      <c r="C9" s="866"/>
      <c r="D9" s="866"/>
      <c r="E9" s="867"/>
      <c r="F9" s="868" t="s">
        <v>651</v>
      </c>
      <c r="G9" s="869"/>
      <c r="H9" s="870"/>
      <c r="I9" s="871"/>
      <c r="J9" s="871"/>
      <c r="K9" s="871"/>
      <c r="L9" s="872"/>
      <c r="N9" s="501" t="str">
        <f>IF(B8-B7&gt;=355,"미사용연차수당 check","")</f>
        <v/>
      </c>
      <c r="P9" t="s">
        <v>1497</v>
      </c>
    </row>
    <row r="10" spans="1:33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P10" s="15" t="s">
        <v>1804</v>
      </c>
    </row>
    <row r="11" spans="1:33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6"/>
      <c r="K11" s="876"/>
      <c r="L11" s="877"/>
      <c r="M11" t="s">
        <v>1167</v>
      </c>
      <c r="O11" s="10" t="s">
        <v>1805</v>
      </c>
    </row>
    <row r="12" spans="1:33" s="469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6"/>
      <c r="I12" s="857"/>
      <c r="J12" s="858" t="s">
        <v>10</v>
      </c>
      <c r="K12" s="859"/>
      <c r="L12" s="860"/>
      <c r="M12" s="296" t="s">
        <v>1165</v>
      </c>
      <c r="O12" s="296" t="s">
        <v>1166</v>
      </c>
    </row>
    <row r="13" spans="1:33">
      <c r="A13" s="861" t="s">
        <v>5</v>
      </c>
      <c r="B13" s="837" t="s">
        <v>1263</v>
      </c>
      <c r="C13" s="838"/>
      <c r="D13" s="839"/>
      <c r="E13" s="826">
        <v>1322381</v>
      </c>
      <c r="F13" s="827"/>
      <c r="G13" s="828" t="s">
        <v>26</v>
      </c>
      <c r="H13" s="829"/>
      <c r="I13" s="830"/>
      <c r="J13" s="787">
        <f>IF(N13&gt;=60,0,TRUNC(P19*O13,-1))</f>
        <v>65390</v>
      </c>
      <c r="K13" s="788"/>
      <c r="L13" s="789"/>
      <c r="M13" s="65">
        <f>J13/($E$26-IF($E$18&gt;100000,$E$18-100000,0)-IF($E$19&gt;100000,$E$19-100000,0)-IF($E$20&gt;100000,$E$20-100000,0))</f>
        <v>3.7294939146910351E-2</v>
      </c>
      <c r="N13" s="351">
        <f>DATEDIF($G$6,$D$3,"y")</f>
        <v>24</v>
      </c>
      <c r="O13" s="299">
        <f>S13/2</f>
        <v>4.4999999999999998E-2</v>
      </c>
      <c r="P13" t="s">
        <v>459</v>
      </c>
      <c r="S13" s="300">
        <v>0.09</v>
      </c>
      <c r="T13" t="s">
        <v>1170</v>
      </c>
      <c r="U13" s="469"/>
    </row>
    <row r="14" spans="1:33">
      <c r="A14" s="717"/>
      <c r="B14" s="837" t="s">
        <v>1264</v>
      </c>
      <c r="C14" s="838"/>
      <c r="D14" s="839"/>
      <c r="E14" s="826">
        <v>0</v>
      </c>
      <c r="F14" s="827"/>
      <c r="G14" s="828" t="s">
        <v>28</v>
      </c>
      <c r="H14" s="829"/>
      <c r="I14" s="830"/>
      <c r="J14" s="787">
        <f>TRUNC(P19*O14,-1)</f>
        <v>50790</v>
      </c>
      <c r="K14" s="788"/>
      <c r="L14" s="789"/>
      <c r="M14" s="65">
        <f>J14/($E$26-IF($E$18&gt;100000,$E$18-100000,0)-IF($E$19&gt;100000,$E$19-100000,0)-IF($E$20&gt;100000,$E$20-100000,0))</f>
        <v>2.8967884374852065E-2</v>
      </c>
      <c r="N14" s="65"/>
      <c r="O14" s="698">
        <f>S14/2</f>
        <v>3.4950000000000002E-2</v>
      </c>
      <c r="P14" t="s">
        <v>459</v>
      </c>
      <c r="S14" s="301">
        <f>IF(AND(D3&gt;=44197,D3&lt;=44561),6.86%,6.99%)</f>
        <v>6.9900000000000004E-2</v>
      </c>
      <c r="U14" s="469"/>
    </row>
    <row r="15" spans="1:33">
      <c r="A15" s="717"/>
      <c r="B15" s="837" t="s">
        <v>1265</v>
      </c>
      <c r="C15" s="838"/>
      <c r="D15" s="839"/>
      <c r="E15" s="826">
        <v>0</v>
      </c>
      <c r="F15" s="827"/>
      <c r="G15" s="828" t="s">
        <v>36</v>
      </c>
      <c r="H15" s="829"/>
      <c r="I15" s="830"/>
      <c r="J15" s="787">
        <f>TRUNC(J14*O15,-1)</f>
        <v>6230</v>
      </c>
      <c r="K15" s="788"/>
      <c r="L15" s="789"/>
      <c r="M15" s="65">
        <f>J15/($E$26-IF($E$18&gt;100000,$E$18-100000,0)-IF($E$19&gt;100000,$E$19-100000,0)-IF($E$20&gt;100000,$E$20-100000,0))</f>
        <v>3.5532569335563766E-3</v>
      </c>
      <c r="N15" s="65">
        <f>J15/J14</f>
        <v>0.12266194132703288</v>
      </c>
      <c r="O15" s="299">
        <f>S15</f>
        <v>0.12269999999999999</v>
      </c>
      <c r="P15" t="s">
        <v>459</v>
      </c>
      <c r="R15" s="266">
        <f>SUM(M14:M15)</f>
        <v>3.2521141308408441E-2</v>
      </c>
      <c r="S15" s="301">
        <f>IF(AND(D3&gt;=44197,D3&lt;=44561),11.52%,12.27%)</f>
        <v>0.12269999999999999</v>
      </c>
      <c r="U15" s="469"/>
    </row>
    <row r="16" spans="1:33" ht="17.25" thickBot="1">
      <c r="A16" s="717"/>
      <c r="B16" s="837" t="s">
        <v>1266</v>
      </c>
      <c r="C16" s="838"/>
      <c r="D16" s="839"/>
      <c r="E16" s="826">
        <v>200000</v>
      </c>
      <c r="F16" s="827"/>
      <c r="G16" s="849" t="s">
        <v>37</v>
      </c>
      <c r="H16" s="850"/>
      <c r="I16" s="851"/>
      <c r="J16" s="787">
        <f>IF(N16&gt;=65,0,CHOOSE(R24,TRUNC(P19*O16,-1),0))</f>
        <v>11620</v>
      </c>
      <c r="K16" s="788"/>
      <c r="L16" s="789"/>
      <c r="M16" s="65">
        <f>J16/($E$26-IF($E$18&gt;100000,$E$18-100000,0)-IF($E$19&gt;100000,$E$19-100000,0)-IF($E$20&gt;100000,$E$20-100000,0))</f>
        <v>6.6274230446107703E-3</v>
      </c>
      <c r="N16" s="617">
        <f>DATEDIF($G$6,B7,"y")</f>
        <v>23</v>
      </c>
      <c r="O16" s="366">
        <v>8.0000000000000002E-3</v>
      </c>
      <c r="P16" s="15" t="s">
        <v>1390</v>
      </c>
      <c r="S16" s="703">
        <v>1.8499999999999999E-2</v>
      </c>
      <c r="T16" t="s">
        <v>1723</v>
      </c>
    </row>
    <row r="17" spans="1:23" ht="17.25" thickBot="1">
      <c r="A17" s="717"/>
      <c r="B17" s="837" t="s">
        <v>1267</v>
      </c>
      <c r="C17" s="838"/>
      <c r="D17" s="839"/>
      <c r="E17" s="826">
        <v>100000</v>
      </c>
      <c r="F17" s="827"/>
      <c r="G17" s="828" t="s">
        <v>38</v>
      </c>
      <c r="H17" s="829"/>
      <c r="I17" s="830"/>
      <c r="J17" s="787"/>
      <c r="K17" s="788"/>
      <c r="L17" s="789"/>
      <c r="M17" s="271">
        <f>SUM(M13:M16)</f>
        <v>7.6443503499929552E-2</v>
      </c>
      <c r="N17" s="271"/>
      <c r="O17" s="292">
        <f>SUM(O13:O14,O16)+(O14*O15)</f>
        <v>9.2238365000000003E-2</v>
      </c>
      <c r="S17" s="704" t="s">
        <v>1876</v>
      </c>
      <c r="T17" s="706">
        <f>TRUNC((C28-W20)/L29,0)</f>
        <v>6952</v>
      </c>
      <c r="U17" s="705" t="s">
        <v>1795</v>
      </c>
      <c r="V17" s="620" t="s">
        <v>1794</v>
      </c>
      <c r="W17" s="620" t="s">
        <v>1800</v>
      </c>
    </row>
    <row r="18" spans="1:23" ht="17.25" thickBot="1">
      <c r="A18" s="717"/>
      <c r="B18" s="823" t="s">
        <v>1620</v>
      </c>
      <c r="C18" s="824"/>
      <c r="D18" s="825"/>
      <c r="E18" s="826">
        <f>J34</f>
        <v>0</v>
      </c>
      <c r="F18" s="827"/>
      <c r="G18" s="862" t="s">
        <v>43</v>
      </c>
      <c r="H18" s="863"/>
      <c r="I18" s="864"/>
      <c r="J18" s="787"/>
      <c r="K18" s="788"/>
      <c r="L18" s="789"/>
      <c r="N18" s="498">
        <v>0</v>
      </c>
      <c r="O18" s="497" t="s">
        <v>1274</v>
      </c>
      <c r="P18" s="499">
        <f>N18/12</f>
        <v>0</v>
      </c>
      <c r="Q18" s="15" t="s">
        <v>1566</v>
      </c>
      <c r="T18" s="551" t="s">
        <v>1798</v>
      </c>
      <c r="U18" s="619">
        <f>VLOOKUP(YEAR(D3),최저임금!O44:Q49,3)</f>
        <v>38289</v>
      </c>
      <c r="V18" s="619">
        <f>VLOOKUP(YEAR(D3),최저임금!O44:Q49,2)</f>
        <v>191444</v>
      </c>
    </row>
    <row r="19" spans="1:23">
      <c r="A19" s="717"/>
      <c r="B19" s="823" t="s">
        <v>1283</v>
      </c>
      <c r="C19" s="824"/>
      <c r="D19" s="825"/>
      <c r="E19" s="826">
        <f>J35</f>
        <v>0</v>
      </c>
      <c r="F19" s="827"/>
      <c r="G19" s="862" t="s">
        <v>44</v>
      </c>
      <c r="H19" s="863"/>
      <c r="I19" s="864"/>
      <c r="J19" s="787"/>
      <c r="K19" s="788"/>
      <c r="L19" s="789"/>
      <c r="O19" s="268" t="s">
        <v>1146</v>
      </c>
      <c r="P19" s="463">
        <f>P21-P20</f>
        <v>1453321</v>
      </c>
      <c r="R19">
        <f>MIN(IF(AND(E15="",E15=0),0,E15),100000)</f>
        <v>0</v>
      </c>
      <c r="T19" s="585" t="s">
        <v>1796</v>
      </c>
      <c r="U19" s="618">
        <f>MAX((E16+E17)-U18,0)</f>
        <v>261711</v>
      </c>
      <c r="V19" s="66">
        <f>MAX(IF(V18&lt;=(E22+E23),V18,0),0)</f>
        <v>0</v>
      </c>
      <c r="W19" s="622">
        <f>SUM(U19:V19)</f>
        <v>261711</v>
      </c>
    </row>
    <row r="20" spans="1:23">
      <c r="A20" s="717"/>
      <c r="B20" s="823" t="s">
        <v>1621</v>
      </c>
      <c r="C20" s="824"/>
      <c r="D20" s="825"/>
      <c r="E20" s="826">
        <f>J36+J37</f>
        <v>0</v>
      </c>
      <c r="F20" s="827"/>
      <c r="G20" s="828" t="s">
        <v>41</v>
      </c>
      <c r="H20" s="829"/>
      <c r="I20" s="830"/>
      <c r="J20" s="787"/>
      <c r="K20" s="788"/>
      <c r="L20" s="789"/>
      <c r="M20" s="680">
        <f>H28*N29</f>
        <v>34.761904761904766</v>
      </c>
      <c r="N20" s="10"/>
      <c r="O20" s="268" t="s">
        <v>1147</v>
      </c>
      <c r="P20" s="283">
        <f>MIN(IF(AND(E15="",E15=0),0,E15),100000)+MIN(IF(AND(E16="",E16=0),0,E16),200000)+MIN(IF(AND(E17="",E17=0),0,E17),100000)</f>
        <v>300000</v>
      </c>
      <c r="R20">
        <f>MIN(IF(AND(E17="",E17=0),0,E17),100000)</f>
        <v>100000</v>
      </c>
      <c r="T20" s="585" t="s">
        <v>1797</v>
      </c>
      <c r="U20" s="618">
        <f>(E16+E17)-U19</f>
        <v>38289</v>
      </c>
      <c r="V20" s="621">
        <f>E22+E23-V19</f>
        <v>130940</v>
      </c>
      <c r="W20" s="622">
        <f>SUM(U20:V20)</f>
        <v>169229</v>
      </c>
    </row>
    <row r="21" spans="1:23" ht="16.5" customHeight="1">
      <c r="A21" s="831" t="s">
        <v>6</v>
      </c>
      <c r="B21" s="834" t="s">
        <v>1362</v>
      </c>
      <c r="C21" s="835"/>
      <c r="D21" s="836"/>
      <c r="E21" s="826"/>
      <c r="F21" s="827"/>
      <c r="G21" s="828" t="s">
        <v>39</v>
      </c>
      <c r="H21" s="829"/>
      <c r="I21" s="830"/>
      <c r="J21" s="787">
        <v>0</v>
      </c>
      <c r="K21" s="788"/>
      <c r="L21" s="789"/>
      <c r="M21" s="681">
        <f>I29*N29</f>
        <v>173.80952380952382</v>
      </c>
      <c r="N21" s="236"/>
      <c r="O21" s="268" t="s">
        <v>1148</v>
      </c>
      <c r="P21" s="283">
        <f>E26</f>
        <v>1753321</v>
      </c>
      <c r="R21">
        <f>MIN(IF(AND(E16="",E16=0),0,E16),200000)</f>
        <v>200000</v>
      </c>
      <c r="T21" s="585" t="s">
        <v>1799</v>
      </c>
      <c r="U21" s="68">
        <f>SUM(U19:U20)</f>
        <v>300000</v>
      </c>
      <c r="V21" s="68">
        <f>SUM(V19:V20)</f>
        <v>130940</v>
      </c>
      <c r="W21" s="622">
        <f>SUM(U21:V21)</f>
        <v>430940</v>
      </c>
    </row>
    <row r="22" spans="1:23">
      <c r="A22" s="832"/>
      <c r="B22" s="837" t="s">
        <v>1371</v>
      </c>
      <c r="C22" s="838"/>
      <c r="D22" s="839"/>
      <c r="E22" s="826">
        <v>130940</v>
      </c>
      <c r="F22" s="827"/>
      <c r="G22" s="828" t="s">
        <v>40</v>
      </c>
      <c r="H22" s="829"/>
      <c r="I22" s="830"/>
      <c r="J22" s="787"/>
      <c r="K22" s="788"/>
      <c r="L22" s="789"/>
      <c r="M22" s="682">
        <f>SUM(M20:M21)</f>
        <v>208.57142857142858</v>
      </c>
      <c r="N22" s="10"/>
      <c r="U22" s="22"/>
    </row>
    <row r="23" spans="1:23">
      <c r="A23" s="832"/>
      <c r="B23" s="837" t="s">
        <v>1460</v>
      </c>
      <c r="C23" s="838"/>
      <c r="D23" s="839"/>
      <c r="E23" s="826"/>
      <c r="F23" s="827"/>
      <c r="G23" s="828"/>
      <c r="H23" s="829"/>
      <c r="I23" s="830"/>
      <c r="J23" s="787"/>
      <c r="K23" s="788"/>
      <c r="L23" s="789"/>
      <c r="O23" s="432" t="s">
        <v>1168</v>
      </c>
      <c r="P23" s="285">
        <f>P19</f>
        <v>1453321</v>
      </c>
      <c r="T23" s="101" t="s">
        <v>1707</v>
      </c>
      <c r="U23" s="509"/>
    </row>
    <row r="24" spans="1:23">
      <c r="A24" s="832"/>
      <c r="B24" s="837"/>
      <c r="C24" s="838"/>
      <c r="D24" s="839"/>
      <c r="E24" s="826"/>
      <c r="F24" s="827"/>
      <c r="G24" s="840" t="s">
        <v>1275</v>
      </c>
      <c r="H24" s="841"/>
      <c r="I24" s="842"/>
      <c r="J24" s="843">
        <f>IF(P19&lt;=10000000,VLOOKUP(P19/1000,간이세액표2021,A40+B40+2),VLOOKUP(P19/1000,간이세액표2021,A40+B40+2)+VLOOKUP(P19,근로세율,3)+(P19-VLOOKUP(P19,근로세율,4))*VLOOKUP(P19,근로세율,5)*VLOOKUP(P19,근로세율,6))</f>
        <v>7830</v>
      </c>
      <c r="K24" s="844"/>
      <c r="L24" s="845"/>
      <c r="M24" s="15" t="s">
        <v>1276</v>
      </c>
      <c r="O24" s="298">
        <v>2</v>
      </c>
      <c r="R24" s="310">
        <v>1</v>
      </c>
      <c r="U24" s="22"/>
    </row>
    <row r="25" spans="1:23">
      <c r="A25" s="833"/>
      <c r="B25" s="837" t="s">
        <v>1268</v>
      </c>
      <c r="C25" s="838"/>
      <c r="D25" s="839"/>
      <c r="E25" s="826">
        <v>0</v>
      </c>
      <c r="F25" s="827"/>
      <c r="G25" s="840" t="s">
        <v>35</v>
      </c>
      <c r="H25" s="841"/>
      <c r="I25" s="842"/>
      <c r="J25" s="846">
        <f>TRUNC(J24*10%,-1)</f>
        <v>780</v>
      </c>
      <c r="K25" s="847"/>
      <c r="L25" s="848"/>
    </row>
    <row r="26" spans="1:23" ht="17.25" thickBot="1">
      <c r="A26" s="802" t="s">
        <v>7</v>
      </c>
      <c r="B26" s="803"/>
      <c r="C26" s="803"/>
      <c r="D26" s="804"/>
      <c r="E26" s="805">
        <f>SUM(E13:F25)</f>
        <v>1753321</v>
      </c>
      <c r="F26" s="806"/>
      <c r="G26" s="807" t="s">
        <v>15</v>
      </c>
      <c r="H26" s="808"/>
      <c r="I26" s="809"/>
      <c r="J26" s="787">
        <f>SUM(J13:L25)</f>
        <v>142640</v>
      </c>
      <c r="K26" s="788"/>
      <c r="L26" s="789"/>
    </row>
    <row r="27" spans="1:23" ht="17.25" thickBot="1">
      <c r="A27" s="810" t="s">
        <v>1389</v>
      </c>
      <c r="B27" s="811"/>
      <c r="C27" s="812">
        <f>I28-A31</f>
        <v>0</v>
      </c>
      <c r="D27" s="813"/>
      <c r="E27" s="814"/>
      <c r="F27" s="396">
        <v>0</v>
      </c>
      <c r="G27" s="815" t="s">
        <v>16</v>
      </c>
      <c r="H27" s="816"/>
      <c r="I27" s="817"/>
      <c r="J27" s="818">
        <f>E26-J26</f>
        <v>1610681</v>
      </c>
      <c r="K27" s="819"/>
      <c r="L27" s="820"/>
      <c r="M27" s="15" t="s">
        <v>1262</v>
      </c>
    </row>
    <row r="28" spans="1:23" ht="16.5" customHeight="1" outlineLevel="1">
      <c r="A28" s="790" t="s">
        <v>1453</v>
      </c>
      <c r="B28" s="791"/>
      <c r="C28" s="792">
        <f>(SUM(E13:F17)/Q29)+P18</f>
        <v>1622381</v>
      </c>
      <c r="D28" s="792"/>
      <c r="E28" s="792"/>
      <c r="F28" s="793" t="s">
        <v>1458</v>
      </c>
      <c r="G28" s="794"/>
      <c r="H28" s="536">
        <v>8</v>
      </c>
      <c r="I28" s="795">
        <f>P33</f>
        <v>20</v>
      </c>
      <c r="J28" s="796"/>
      <c r="K28" s="797"/>
      <c r="L28" s="409">
        <f>MIN(H28,8)*I28</f>
        <v>160</v>
      </c>
      <c r="M28" t="s">
        <v>1327</v>
      </c>
    </row>
    <row r="29" spans="1:23" ht="16.5" customHeight="1" outlineLevel="1">
      <c r="A29" s="798" t="s">
        <v>67</v>
      </c>
      <c r="B29" s="798"/>
      <c r="C29" s="799">
        <f>TRUNC(C28/MAX(L29,M31),0)</f>
        <v>7762</v>
      </c>
      <c r="D29" s="799"/>
      <c r="E29" s="799"/>
      <c r="F29" s="800" t="s">
        <v>49</v>
      </c>
      <c r="G29" s="801"/>
      <c r="H29" s="537">
        <v>5</v>
      </c>
      <c r="I29" s="821">
        <f>MIN(MIN(H28,8)*H29,40)</f>
        <v>40</v>
      </c>
      <c r="J29" s="821"/>
      <c r="K29" s="822"/>
      <c r="L29" s="624">
        <f>IF(I29&lt;15,I29*N29,IF(H29&lt;5,ROUND((I29+(I29/5))*N29,0)*Q29,ROUND((I29+(MIN(H28,8)*(MIN(I29,40)/MIN(I29,40))))/7*365/12,0)))</f>
        <v>209</v>
      </c>
      <c r="M29" t="s">
        <v>1328</v>
      </c>
      <c r="N29" s="535">
        <f>365/12/7</f>
        <v>4.3452380952380958</v>
      </c>
      <c r="O29" s="472" t="s">
        <v>1622</v>
      </c>
      <c r="P29" s="471">
        <f>O1-N1+1</f>
        <v>31</v>
      </c>
      <c r="Q29" s="512">
        <f>P29/(EOMONTH(D3,0)-EOMONTH(D3,-1))</f>
        <v>1</v>
      </c>
      <c r="R29" s="174"/>
    </row>
    <row r="30" spans="1:23">
      <c r="A30" s="771" t="s">
        <v>1457</v>
      </c>
      <c r="B30" s="772"/>
      <c r="C30" s="773" t="s">
        <v>686</v>
      </c>
      <c r="D30" s="774"/>
      <c r="E30" s="775"/>
      <c r="F30" s="776" t="s">
        <v>684</v>
      </c>
      <c r="G30" s="776"/>
      <c r="H30" s="776" t="s">
        <v>1874</v>
      </c>
      <c r="I30" s="776"/>
      <c r="J30" s="776"/>
      <c r="K30" s="777" t="s">
        <v>685</v>
      </c>
      <c r="L30" s="778"/>
      <c r="M30" t="s">
        <v>1329</v>
      </c>
      <c r="N30" s="420" t="s">
        <v>1628</v>
      </c>
      <c r="O30" s="473" t="s">
        <v>1623</v>
      </c>
      <c r="P30" s="310">
        <f>IF(OR(N1&gt;EOMONTH(D3,-1)+1,O1&lt;EOMONTH(D3,0)),CEILING((P29-MOD(8-WEEKDAY(N1),7))/7,1),CEILING((DAY(EOMONTH($D$3,0))-MOD(8-WEEKDAY($D$3),7))/7,1))</f>
        <v>5</v>
      </c>
      <c r="Q30" s="474" t="s">
        <v>1627</v>
      </c>
    </row>
    <row r="31" spans="1:23" ht="17.25" thickBot="1">
      <c r="A31" s="411">
        <f>I28</f>
        <v>20</v>
      </c>
      <c r="B31" s="410">
        <f>A31*H28</f>
        <v>160</v>
      </c>
      <c r="C31" s="779">
        <f>SUM(B31,F31,K31)</f>
        <v>160</v>
      </c>
      <c r="D31" s="780"/>
      <c r="E31" s="781"/>
      <c r="F31" s="782">
        <v>0</v>
      </c>
      <c r="G31" s="782"/>
      <c r="H31" s="782">
        <v>0</v>
      </c>
      <c r="I31" s="782"/>
      <c r="J31" s="782"/>
      <c r="K31" s="783">
        <v>0</v>
      </c>
      <c r="L31" s="784"/>
      <c r="M31" s="625">
        <f>IF(H29&gt;=5,(I29+H28)*N29,(I29+(H28*H29)/5)*N29)</f>
        <v>208.57142857142861</v>
      </c>
      <c r="N31" s="476">
        <f>SUM(P30,Q31)</f>
        <v>10</v>
      </c>
      <c r="O31" s="473" t="s">
        <v>1624</v>
      </c>
      <c r="P31" s="477">
        <f>IF(OR(N1&gt;EOMONTH(D3,-1)+1,O1&lt;EOMONTH(D3,0)),NETWORKDAYS(N1,O1),NETWORKDAYS(EOMONTH($D$3,-1)+1,EOMONTH($D$3,0)))</f>
        <v>21</v>
      </c>
      <c r="Q31" s="475">
        <f>P29-P31-P30</f>
        <v>5</v>
      </c>
    </row>
    <row r="32" spans="1:23" ht="17.25" thickBot="1">
      <c r="A32" s="764" t="s">
        <v>18</v>
      </c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01">
        <f>C28/M31</f>
        <v>7778.5390410958889</v>
      </c>
      <c r="N32" s="578">
        <f>I29/5</f>
        <v>8</v>
      </c>
      <c r="O32" s="616" t="s">
        <v>1625</v>
      </c>
      <c r="P32" s="490">
        <f>VLOOKUP(EOMONTH(D3,-1)+1,주40시간,6)</f>
        <v>1</v>
      </c>
      <c r="W32" s="298">
        <v>2</v>
      </c>
    </row>
    <row r="33" spans="1:23">
      <c r="A33" s="766" t="s">
        <v>20</v>
      </c>
      <c r="B33" s="766"/>
      <c r="C33" s="785">
        <f>SUM(C34:D37)</f>
        <v>0</v>
      </c>
      <c r="D33" s="786"/>
      <c r="E33" s="687">
        <f>C31-L28</f>
        <v>0</v>
      </c>
      <c r="F33" s="685" t="s">
        <v>21</v>
      </c>
      <c r="G33" s="685"/>
      <c r="H33" s="685"/>
      <c r="I33" s="686"/>
      <c r="J33" s="766" t="s">
        <v>22</v>
      </c>
      <c r="K33" s="766"/>
      <c r="L33" s="766"/>
      <c r="M33" s="10"/>
      <c r="N33" s="578">
        <f>SUM(I29,N32)</f>
        <v>48</v>
      </c>
      <c r="O33" s="473" t="s">
        <v>1626</v>
      </c>
      <c r="P33" s="480">
        <f>P31-P32</f>
        <v>20</v>
      </c>
      <c r="Q33" t="s">
        <v>1802</v>
      </c>
    </row>
    <row r="34" spans="1:23">
      <c r="A34" s="767" t="s">
        <v>23</v>
      </c>
      <c r="B34" s="767"/>
      <c r="C34" s="768">
        <f>F31</f>
        <v>0</v>
      </c>
      <c r="D34" s="769"/>
      <c r="E34" s="6" t="s">
        <v>48</v>
      </c>
      <c r="F34" s="23">
        <f>C29</f>
        <v>7762</v>
      </c>
      <c r="G34" s="6" t="s">
        <v>48</v>
      </c>
      <c r="H34" s="412">
        <f>CHOOSE($W$32,1,1.5)</f>
        <v>1.5</v>
      </c>
      <c r="I34" s="7"/>
      <c r="J34" s="770">
        <f>C34*F34*H34</f>
        <v>0</v>
      </c>
      <c r="K34" s="770"/>
      <c r="L34" s="770"/>
      <c r="M34" s="347">
        <f>E18-J34</f>
        <v>0</v>
      </c>
      <c r="N34" s="577">
        <f>N33*N29</f>
        <v>208.57142857142861</v>
      </c>
      <c r="O34" s="473" t="s">
        <v>1629</v>
      </c>
      <c r="P34" s="481">
        <f>P33+Q31</f>
        <v>25</v>
      </c>
      <c r="Q34" t="s">
        <v>1801</v>
      </c>
    </row>
    <row r="35" spans="1:23">
      <c r="A35" s="724" t="s">
        <v>1019</v>
      </c>
      <c r="B35" s="724"/>
      <c r="C35" s="758">
        <f>CHOOSE(W32,0,H31)</f>
        <v>0</v>
      </c>
      <c r="D35" s="759"/>
      <c r="E35" s="11" t="s">
        <v>48</v>
      </c>
      <c r="F35" s="24">
        <f>C29</f>
        <v>7762</v>
      </c>
      <c r="G35" s="11" t="s">
        <v>48</v>
      </c>
      <c r="H35" s="413">
        <f>CHOOSE($W$32,0,0.5)</f>
        <v>0.5</v>
      </c>
      <c r="I35" s="12"/>
      <c r="J35" s="728">
        <f>C35*F35*H35</f>
        <v>0</v>
      </c>
      <c r="K35" s="728"/>
      <c r="L35" s="728"/>
      <c r="M35" s="347">
        <f>E19-J35</f>
        <v>0</v>
      </c>
      <c r="O35" s="473" t="s">
        <v>1746</v>
      </c>
      <c r="P35" s="569">
        <v>5</v>
      </c>
    </row>
    <row r="36" spans="1:23">
      <c r="A36" s="760" t="s">
        <v>65</v>
      </c>
      <c r="B36" s="760"/>
      <c r="C36" s="761">
        <f>K31-C37</f>
        <v>0</v>
      </c>
      <c r="D36" s="762"/>
      <c r="E36" s="13" t="s">
        <v>48</v>
      </c>
      <c r="F36" s="25">
        <f>C29</f>
        <v>7762</v>
      </c>
      <c r="G36" s="13" t="s">
        <v>48</v>
      </c>
      <c r="H36" s="414">
        <f>CHOOSE($W$32,1,1.5)</f>
        <v>1.5</v>
      </c>
      <c r="I36" s="415"/>
      <c r="J36" s="763">
        <f>C36*F36*H36</f>
        <v>0</v>
      </c>
      <c r="K36" s="763"/>
      <c r="L36" s="763"/>
      <c r="M36" s="347">
        <f>E20-J36-J37</f>
        <v>0</v>
      </c>
      <c r="O36" s="473" t="s">
        <v>1747</v>
      </c>
      <c r="P36" s="570">
        <f>P33-P35</f>
        <v>15</v>
      </c>
      <c r="Q36" t="s">
        <v>1803</v>
      </c>
    </row>
    <row r="37" spans="1:23" outlineLevel="1">
      <c r="A37" s="747" t="s">
        <v>66</v>
      </c>
      <c r="B37" s="747"/>
      <c r="C37" s="748">
        <v>0</v>
      </c>
      <c r="D37" s="749"/>
      <c r="E37" s="11" t="s">
        <v>48</v>
      </c>
      <c r="F37" s="24">
        <f>C29</f>
        <v>7762</v>
      </c>
      <c r="G37" s="11" t="s">
        <v>48</v>
      </c>
      <c r="H37" s="416">
        <f>CHOOSE($W$32,1,2)</f>
        <v>2</v>
      </c>
      <c r="I37" s="335"/>
      <c r="J37" s="728">
        <f>C37*F37*H37</f>
        <v>0</v>
      </c>
      <c r="K37" s="728"/>
      <c r="L37" s="728"/>
      <c r="N37" s="467" t="s">
        <v>1269</v>
      </c>
      <c r="O37" s="342">
        <v>0</v>
      </c>
      <c r="P37" s="467" t="s">
        <v>1270</v>
      </c>
      <c r="Q37" s="343">
        <v>0</v>
      </c>
      <c r="V37" s="16"/>
      <c r="W37" s="298">
        <v>1</v>
      </c>
    </row>
    <row r="38" spans="1:23" outlineLevel="1">
      <c r="A38" s="750" t="s">
        <v>1252</v>
      </c>
      <c r="B38" s="751"/>
      <c r="C38" s="752" t="str">
        <f>IF(OR(O37=0,O37=""),"",TEXT(N38,"#,##0")&amp;"원×"&amp;O37&amp;"명(배우자)")&amp;IF(OR(Q37=0,Q37=""),"","+"&amp;TEXT(P38,"#,##0")&amp;"원×"&amp;Q37&amp;"명(자녀"&amp;Q37&amp;"명)")</f>
        <v/>
      </c>
      <c r="D38" s="753"/>
      <c r="E38" s="753"/>
      <c r="F38" s="753"/>
      <c r="G38" s="753"/>
      <c r="H38" s="753"/>
      <c r="I38" s="754"/>
      <c r="J38" s="755">
        <f>SUM(O38,Q38)</f>
        <v>0</v>
      </c>
      <c r="K38" s="756"/>
      <c r="L38" s="757"/>
      <c r="M38" s="347">
        <f>E14-J38</f>
        <v>0</v>
      </c>
      <c r="N38" s="344">
        <v>100000</v>
      </c>
      <c r="O38" s="345">
        <f>N38*O37</f>
        <v>0</v>
      </c>
      <c r="P38" s="344">
        <v>50000</v>
      </c>
      <c r="Q38" s="345">
        <f>P38*Q37</f>
        <v>0</v>
      </c>
      <c r="V38" s="16"/>
    </row>
    <row r="39" spans="1:23">
      <c r="A39" s="729" t="s">
        <v>25</v>
      </c>
      <c r="B39" s="729"/>
      <c r="C39" s="730" t="s">
        <v>62</v>
      </c>
      <c r="D39" s="731"/>
      <c r="E39" s="731"/>
      <c r="F39" s="731"/>
      <c r="G39" s="731"/>
      <c r="H39" s="731"/>
      <c r="I39" s="732"/>
      <c r="J39" s="733">
        <f>J24</f>
        <v>7830</v>
      </c>
      <c r="K39" s="734"/>
      <c r="L39" s="735"/>
      <c r="M39" s="417">
        <f>J24-J39</f>
        <v>0</v>
      </c>
      <c r="V39" s="16"/>
    </row>
    <row r="40" spans="1:23">
      <c r="A40" s="434">
        <v>1</v>
      </c>
      <c r="B40" s="295">
        <v>0</v>
      </c>
      <c r="C40" s="736" t="str">
        <f>"근로소득세 \"&amp;TEXT(J39,"#,##0")&amp;"원 分의 지방소득세(10%)"</f>
        <v>근로소득세 \7,830원 分의 지방소득세(10%)</v>
      </c>
      <c r="D40" s="737"/>
      <c r="E40" s="737"/>
      <c r="F40" s="737"/>
      <c r="G40" s="737"/>
      <c r="H40" s="737"/>
      <c r="I40" s="738"/>
      <c r="J40" s="739">
        <f>J25</f>
        <v>780</v>
      </c>
      <c r="K40" s="740"/>
      <c r="L40" s="741"/>
      <c r="M40" s="417">
        <f t="shared" ref="M40" si="1">J25-J40</f>
        <v>0</v>
      </c>
      <c r="N40" s="19"/>
      <c r="O40" s="19" t="s">
        <v>1630</v>
      </c>
      <c r="P40" s="479"/>
      <c r="S40" t="s">
        <v>1572</v>
      </c>
      <c r="U40" s="470">
        <v>0</v>
      </c>
      <c r="V40" s="16"/>
    </row>
    <row r="41" spans="1:23">
      <c r="A41" s="742" t="s">
        <v>26</v>
      </c>
      <c r="B41" s="742"/>
      <c r="C41" s="743" t="str">
        <f>CHOOSE(O24,"취득(기)신고 보수월액 "&amp;TEXT(P23,"\#,##0원")&amp;"×"&amp;O13*100&amp;"%=국민연금공단 결정보험료(1/2)","상기 급여의 과세급여 "&amp;TEXT(P19,"\#,##0원")&amp;" × "&amp;O13*100&amp;"%")</f>
        <v>상기 급여의 과세급여 ₩1,453,321원 × 4.5%</v>
      </c>
      <c r="D41" s="744"/>
      <c r="E41" s="744"/>
      <c r="F41" s="744"/>
      <c r="G41" s="744"/>
      <c r="H41" s="744"/>
      <c r="I41" s="745"/>
      <c r="J41" s="746">
        <f>J13</f>
        <v>65390</v>
      </c>
      <c r="K41" s="746"/>
      <c r="L41" s="746"/>
      <c r="M41" s="417">
        <f>J13-J41</f>
        <v>0</v>
      </c>
      <c r="N41" s="479" t="s">
        <v>1631</v>
      </c>
      <c r="O41" s="479" t="s">
        <v>1632</v>
      </c>
      <c r="P41" s="479" t="s">
        <v>1635</v>
      </c>
      <c r="S41" t="s">
        <v>1573</v>
      </c>
      <c r="U41" s="443">
        <f>IF(O7=1,1,O7/12)</f>
        <v>1.25</v>
      </c>
      <c r="V41" s="16"/>
    </row>
    <row r="42" spans="1:23">
      <c r="A42" s="724" t="s">
        <v>28</v>
      </c>
      <c r="B42" s="724"/>
      <c r="C42" s="725" t="str">
        <f>CHOOSE(O24,"취득(기)신고 보수월액 "&amp;TEXT(P23,"\#,##0원")&amp;"×"&amp;O14*100&amp;"%=건강보험공단 고지금액","상기 급여의 과세급여 "&amp;TEXT(P19,"\#,##0원")&amp;"×"&amp;O14*100&amp;"%")</f>
        <v>상기 급여의 과세급여 ₩1,453,321원×3.495%</v>
      </c>
      <c r="D42" s="726"/>
      <c r="E42" s="726"/>
      <c r="F42" s="726"/>
      <c r="G42" s="726"/>
      <c r="H42" s="726"/>
      <c r="I42" s="727"/>
      <c r="J42" s="728">
        <f>SUM(J14,J18)</f>
        <v>50790</v>
      </c>
      <c r="K42" s="728"/>
      <c r="L42" s="728"/>
      <c r="M42" s="417">
        <f>J14-J42</f>
        <v>0</v>
      </c>
      <c r="N42" s="479"/>
      <c r="O42" s="479" t="s">
        <v>1633</v>
      </c>
      <c r="P42" s="479" t="s">
        <v>1636</v>
      </c>
      <c r="V42" s="16"/>
    </row>
    <row r="43" spans="1:23">
      <c r="A43" s="724" t="s">
        <v>29</v>
      </c>
      <c r="B43" s="724"/>
      <c r="C43" s="725" t="str">
        <f>CHOOSE(O24,"상기 건강보험료 "&amp;TEXT(J43,"\#,##0원")&amp;"×"&amp;O15*100&amp;"%=건강보험공단 고지금액","상기 건강보험료 "&amp;TEXT(J43,"\#,##0원")&amp;"×"&amp;O15*100&amp;"%")</f>
        <v>상기 건강보험료 ₩6,230원×12.27%</v>
      </c>
      <c r="D43" s="726"/>
      <c r="E43" s="726"/>
      <c r="F43" s="726"/>
      <c r="G43" s="726"/>
      <c r="H43" s="726"/>
      <c r="I43" s="727"/>
      <c r="J43" s="728">
        <f>SUM(J15,J19)</f>
        <v>6230</v>
      </c>
      <c r="K43" s="728"/>
      <c r="L43" s="728"/>
      <c r="M43" s="417">
        <f>J15-J43</f>
        <v>0</v>
      </c>
      <c r="N43" s="479"/>
      <c r="O43" s="479" t="s">
        <v>1634</v>
      </c>
      <c r="P43" s="479" t="s">
        <v>1637</v>
      </c>
    </row>
    <row r="44" spans="1:23">
      <c r="A44" s="724" t="s">
        <v>27</v>
      </c>
      <c r="B44" s="724"/>
      <c r="C44" s="725" t="str">
        <f>CHOOSE(R24,"상기 급여(임금) 과세총액기준 "&amp;TEXT(P19,"\#,##0원")&amp;" × "&amp;O16*100&amp;"%","고용보험 가입 미대상")</f>
        <v>상기 급여(임금) 과세총액기준 ₩1,453,321원 × 0.8%</v>
      </c>
      <c r="D44" s="726"/>
      <c r="E44" s="726"/>
      <c r="F44" s="726"/>
      <c r="G44" s="726"/>
      <c r="H44" s="726"/>
      <c r="I44" s="727"/>
      <c r="J44" s="728">
        <f>J16</f>
        <v>11620</v>
      </c>
      <c r="K44" s="728"/>
      <c r="L44" s="728"/>
      <c r="M44" s="417">
        <f>J16-J44</f>
        <v>0</v>
      </c>
      <c r="O44" s="579">
        <v>0</v>
      </c>
      <c r="P44" s="579">
        <v>0</v>
      </c>
      <c r="R44" s="15" t="s">
        <v>1722</v>
      </c>
      <c r="V44" s="16"/>
    </row>
    <row r="45" spans="1:23">
      <c r="A45" s="724"/>
      <c r="B45" s="724"/>
      <c r="C45" s="725"/>
      <c r="D45" s="726"/>
      <c r="E45" s="726"/>
      <c r="F45" s="726"/>
      <c r="G45" s="726"/>
      <c r="H45" s="726"/>
      <c r="I45" s="727"/>
      <c r="J45" s="728"/>
      <c r="K45" s="728"/>
      <c r="L45" s="728"/>
      <c r="O45" s="579">
        <v>4</v>
      </c>
      <c r="P45" s="580">
        <f>P36</f>
        <v>15</v>
      </c>
      <c r="V45" s="16"/>
    </row>
    <row r="46" spans="1:23">
      <c r="A46" s="719"/>
      <c r="B46" s="719"/>
      <c r="C46" s="720"/>
      <c r="D46" s="721"/>
      <c r="E46" s="721"/>
      <c r="F46" s="721"/>
      <c r="G46" s="721"/>
      <c r="H46" s="721"/>
      <c r="I46" s="722"/>
      <c r="J46" s="723">
        <f>30050/1.1+122660</f>
        <v>149978.18181818182</v>
      </c>
      <c r="K46" s="723"/>
      <c r="L46" s="723"/>
      <c r="O46" s="579">
        <v>5</v>
      </c>
      <c r="P46" s="580">
        <f>P33</f>
        <v>20</v>
      </c>
      <c r="R46">
        <f>365/12/7</f>
        <v>4.3452380952380958</v>
      </c>
      <c r="S46">
        <f>365/12/7</f>
        <v>4.3452380952380958</v>
      </c>
      <c r="V46" s="16"/>
    </row>
    <row r="47" spans="1:23">
      <c r="A47" s="19" t="s">
        <v>31</v>
      </c>
      <c r="L47" s="22" t="s">
        <v>653</v>
      </c>
      <c r="O47" s="579">
        <v>6</v>
      </c>
      <c r="P47" s="580">
        <f>P34</f>
        <v>25</v>
      </c>
      <c r="R47">
        <f>(8*5)+8</f>
        <v>48</v>
      </c>
      <c r="S47">
        <f>8*5</f>
        <v>40</v>
      </c>
    </row>
    <row r="48" spans="1:23">
      <c r="L48" s="4" t="s">
        <v>30</v>
      </c>
      <c r="R48" s="527">
        <f>ROUND(R46*R47,0)</f>
        <v>209</v>
      </c>
      <c r="S48" s="527">
        <f>ROUND(S46*S47,0)</f>
        <v>174</v>
      </c>
    </row>
    <row r="53" spans="1:15">
      <c r="O53" s="17"/>
    </row>
    <row r="58" spans="1:15">
      <c r="A58" s="18"/>
    </row>
    <row r="59" spans="1:15">
      <c r="A59" s="18"/>
    </row>
    <row r="60" spans="1:15">
      <c r="A60" s="18"/>
    </row>
    <row r="61" spans="1:15">
      <c r="O61" s="17"/>
    </row>
    <row r="62" spans="1:15">
      <c r="A62" s="18"/>
    </row>
    <row r="63" spans="1:15">
      <c r="O63" s="18"/>
    </row>
    <row r="64" spans="1:15">
      <c r="O64" s="18"/>
    </row>
    <row r="65" spans="15:15">
      <c r="O65" s="18"/>
    </row>
    <row r="66" spans="15:15">
      <c r="O66" s="18"/>
    </row>
    <row r="67" spans="15:15">
      <c r="O67" s="18"/>
    </row>
    <row r="68" spans="15:15">
      <c r="O68" s="18"/>
    </row>
    <row r="70" spans="15:15">
      <c r="O70" s="18"/>
    </row>
    <row r="76" spans="15:15">
      <c r="O76" s="18"/>
    </row>
    <row r="77" spans="15:15">
      <c r="O77" s="18"/>
    </row>
    <row r="78" spans="15:15">
      <c r="O78" s="18"/>
    </row>
    <row r="79" spans="15:15">
      <c r="O79" s="18"/>
    </row>
    <row r="81" spans="15:15">
      <c r="O81" s="18"/>
    </row>
    <row r="83" spans="15:15">
      <c r="O83" s="18"/>
    </row>
  </sheetData>
  <mergeCells count="147">
    <mergeCell ref="D3:F3"/>
    <mergeCell ref="B5:F5"/>
    <mergeCell ref="G5:H5"/>
    <mergeCell ref="J5:L5"/>
    <mergeCell ref="B6:D6"/>
    <mergeCell ref="E6:F6"/>
    <mergeCell ref="G6:H6"/>
    <mergeCell ref="I6:L6"/>
    <mergeCell ref="E8:F8"/>
    <mergeCell ref="B8:D8"/>
    <mergeCell ref="B9:E9"/>
    <mergeCell ref="F9:G9"/>
    <mergeCell ref="H9:L9"/>
    <mergeCell ref="A10:L10"/>
    <mergeCell ref="A11:F11"/>
    <mergeCell ref="G11:L11"/>
    <mergeCell ref="B7:D7"/>
    <mergeCell ref="E7:F7"/>
    <mergeCell ref="G7:H7"/>
    <mergeCell ref="I7:L7"/>
    <mergeCell ref="G8:H8"/>
    <mergeCell ref="I8:L8"/>
    <mergeCell ref="E14:F14"/>
    <mergeCell ref="G14:I14"/>
    <mergeCell ref="J14:L14"/>
    <mergeCell ref="B15:D15"/>
    <mergeCell ref="E15:F15"/>
    <mergeCell ref="G15:I15"/>
    <mergeCell ref="J15:L15"/>
    <mergeCell ref="A12:D12"/>
    <mergeCell ref="E12:F12"/>
    <mergeCell ref="G12:I12"/>
    <mergeCell ref="J12:L12"/>
    <mergeCell ref="A13:A20"/>
    <mergeCell ref="B13:D13"/>
    <mergeCell ref="E13:F13"/>
    <mergeCell ref="G13:I13"/>
    <mergeCell ref="J13:L13"/>
    <mergeCell ref="B14:D14"/>
    <mergeCell ref="B18:D18"/>
    <mergeCell ref="E18:F18"/>
    <mergeCell ref="G18:I18"/>
    <mergeCell ref="J18:L18"/>
    <mergeCell ref="B19:D19"/>
    <mergeCell ref="E19:F19"/>
    <mergeCell ref="G19:I19"/>
    <mergeCell ref="J19:L19"/>
    <mergeCell ref="B16:D16"/>
    <mergeCell ref="E16:F16"/>
    <mergeCell ref="G16:I16"/>
    <mergeCell ref="J16:L16"/>
    <mergeCell ref="B17:D17"/>
    <mergeCell ref="E17:F17"/>
    <mergeCell ref="G17:I17"/>
    <mergeCell ref="J17:L17"/>
    <mergeCell ref="B20:D20"/>
    <mergeCell ref="E20:F20"/>
    <mergeCell ref="G20:I20"/>
    <mergeCell ref="J20:L20"/>
    <mergeCell ref="A21:A25"/>
    <mergeCell ref="B21:D21"/>
    <mergeCell ref="E21:F21"/>
    <mergeCell ref="G21:I21"/>
    <mergeCell ref="J21:L21"/>
    <mergeCell ref="B22:D22"/>
    <mergeCell ref="B24:D24"/>
    <mergeCell ref="E24:F24"/>
    <mergeCell ref="G24:I24"/>
    <mergeCell ref="J24:L24"/>
    <mergeCell ref="B25:D25"/>
    <mergeCell ref="E25:F25"/>
    <mergeCell ref="G25:I25"/>
    <mergeCell ref="J25:L25"/>
    <mergeCell ref="E22:F22"/>
    <mergeCell ref="G22:I22"/>
    <mergeCell ref="J22:L22"/>
    <mergeCell ref="B23:D23"/>
    <mergeCell ref="E23:F23"/>
    <mergeCell ref="G23:I23"/>
    <mergeCell ref="J23:L23"/>
    <mergeCell ref="A28:B28"/>
    <mergeCell ref="C28:E28"/>
    <mergeCell ref="F28:G28"/>
    <mergeCell ref="I28:K28"/>
    <mergeCell ref="A29:B29"/>
    <mergeCell ref="C29:E29"/>
    <mergeCell ref="F29:G29"/>
    <mergeCell ref="A26:D26"/>
    <mergeCell ref="E26:F26"/>
    <mergeCell ref="G26:I26"/>
    <mergeCell ref="J26:L26"/>
    <mergeCell ref="A27:B27"/>
    <mergeCell ref="C27:E27"/>
    <mergeCell ref="G27:I27"/>
    <mergeCell ref="J27:L27"/>
    <mergeCell ref="I29:K29"/>
    <mergeCell ref="A32:L32"/>
    <mergeCell ref="A33:B33"/>
    <mergeCell ref="J33:L33"/>
    <mergeCell ref="A34:B34"/>
    <mergeCell ref="C34:D34"/>
    <mergeCell ref="J34:L34"/>
    <mergeCell ref="A30:B30"/>
    <mergeCell ref="C30:E30"/>
    <mergeCell ref="F30:G30"/>
    <mergeCell ref="H30:J30"/>
    <mergeCell ref="K30:L30"/>
    <mergeCell ref="C31:E31"/>
    <mergeCell ref="F31:G31"/>
    <mergeCell ref="H31:J31"/>
    <mergeCell ref="K31:L31"/>
    <mergeCell ref="C33:D33"/>
    <mergeCell ref="A37:B37"/>
    <mergeCell ref="C37:D37"/>
    <mergeCell ref="J37:L37"/>
    <mergeCell ref="A38:B38"/>
    <mergeCell ref="C38:I38"/>
    <mergeCell ref="J38:L38"/>
    <mergeCell ref="A35:B35"/>
    <mergeCell ref="C35:D35"/>
    <mergeCell ref="J35:L35"/>
    <mergeCell ref="A36:B36"/>
    <mergeCell ref="C36:D36"/>
    <mergeCell ref="J36:L36"/>
    <mergeCell ref="A42:B42"/>
    <mergeCell ref="C42:I42"/>
    <mergeCell ref="J42:L42"/>
    <mergeCell ref="A43:B43"/>
    <mergeCell ref="C43:I43"/>
    <mergeCell ref="J43:L43"/>
    <mergeCell ref="A39:B39"/>
    <mergeCell ref="C39:I39"/>
    <mergeCell ref="J39:L39"/>
    <mergeCell ref="C40:I40"/>
    <mergeCell ref="J40:L40"/>
    <mergeCell ref="A41:B41"/>
    <mergeCell ref="C41:I41"/>
    <mergeCell ref="J41:L41"/>
    <mergeCell ref="A46:B46"/>
    <mergeCell ref="C46:I46"/>
    <mergeCell ref="J46:L46"/>
    <mergeCell ref="A44:B44"/>
    <mergeCell ref="C44:I44"/>
    <mergeCell ref="J44:L44"/>
    <mergeCell ref="A45:B45"/>
    <mergeCell ref="C45:I45"/>
    <mergeCell ref="J45:L45"/>
  </mergeCells>
  <phoneticPr fontId="2" type="noConversion"/>
  <conditionalFormatting sqref="F31:G31">
    <cfRule type="cellIs" dxfId="164" priority="48" operator="greaterThan">
      <formula>52</formula>
    </cfRule>
  </conditionalFormatting>
  <conditionalFormatting sqref="C31:E31">
    <cfRule type="cellIs" dxfId="163" priority="47" operator="greaterThan">
      <formula>261</formula>
    </cfRule>
  </conditionalFormatting>
  <conditionalFormatting sqref="H29">
    <cfRule type="cellIs" dxfId="162" priority="23" operator="equal">
      <formula>5</formula>
    </cfRule>
    <cfRule type="cellIs" dxfId="161" priority="27" operator="lessThan">
      <formula>5</formula>
    </cfRule>
    <cfRule type="cellIs" dxfId="160" priority="46" operator="greaterThan">
      <formula>40</formula>
    </cfRule>
  </conditionalFormatting>
  <conditionalFormatting sqref="L29">
    <cfRule type="cellIs" dxfId="159" priority="29" operator="lessThan">
      <formula>209</formula>
    </cfRule>
    <cfRule type="cellIs" dxfId="158" priority="30" operator="equal">
      <formula>209</formula>
    </cfRule>
    <cfRule type="cellIs" dxfId="157" priority="31" operator="greaterThan">
      <formula>209</formula>
    </cfRule>
    <cfRule type="cellIs" dxfId="156" priority="37" operator="greaterThan">
      <formula>209</formula>
    </cfRule>
    <cfRule type="cellIs" dxfId="155" priority="45" operator="greaterThan">
      <formula>209</formula>
    </cfRule>
  </conditionalFormatting>
  <conditionalFormatting sqref="H28:I28">
    <cfRule type="cellIs" dxfId="154" priority="44" operator="greaterThan">
      <formula>40</formula>
    </cfRule>
  </conditionalFormatting>
  <conditionalFormatting sqref="L28">
    <cfRule type="cellIs" dxfId="153" priority="43" operator="greaterThan">
      <formula>209</formula>
    </cfRule>
  </conditionalFormatting>
  <conditionalFormatting sqref="H28">
    <cfRule type="cellIs" dxfId="152" priority="24" operator="equal">
      <formula>8</formula>
    </cfRule>
    <cfRule type="cellIs" dxfId="151" priority="39" operator="greaterThan">
      <formula>8</formula>
    </cfRule>
  </conditionalFormatting>
  <conditionalFormatting sqref="H29">
    <cfRule type="cellIs" dxfId="150" priority="38" operator="greaterThan">
      <formula>40</formula>
    </cfRule>
  </conditionalFormatting>
  <conditionalFormatting sqref="N16">
    <cfRule type="cellIs" dxfId="149" priority="35" operator="greaterThan">
      <formula>64</formula>
    </cfRule>
  </conditionalFormatting>
  <conditionalFormatting sqref="N13">
    <cfRule type="cellIs" dxfId="148" priority="34" operator="greaterThan">
      <formula>59</formula>
    </cfRule>
  </conditionalFormatting>
  <conditionalFormatting sqref="C29:E29">
    <cfRule type="cellIs" dxfId="147" priority="32" operator="equal">
      <formula>9160</formula>
    </cfRule>
    <cfRule type="cellIs" dxfId="146" priority="33" operator="lessThan">
      <formula>9160</formula>
    </cfRule>
  </conditionalFormatting>
  <conditionalFormatting sqref="I29">
    <cfRule type="cellIs" dxfId="145" priority="21" operator="greaterThan">
      <formula>40</formula>
    </cfRule>
  </conditionalFormatting>
  <conditionalFormatting sqref="I29:K29">
    <cfRule type="cellIs" dxfId="144" priority="17" operator="equal">
      <formula>40</formula>
    </cfRule>
    <cfRule type="cellIs" dxfId="143" priority="18" operator="lessThan">
      <formula>15</formula>
    </cfRule>
    <cfRule type="cellIs" dxfId="142" priority="19" operator="greaterThan">
      <formula>40</formula>
    </cfRule>
    <cfRule type="cellIs" dxfId="141" priority="20" operator="lessThan">
      <formula>15</formula>
    </cfRule>
  </conditionalFormatting>
  <conditionalFormatting sqref="M31">
    <cfRule type="cellIs" dxfId="140" priority="6" operator="lessThan">
      <formula>209</formula>
    </cfRule>
    <cfRule type="cellIs" dxfId="139" priority="7" operator="equal">
      <formula>209</formula>
    </cfRule>
    <cfRule type="cellIs" dxfId="138" priority="8" operator="greaterThan">
      <formula>209</formula>
    </cfRule>
    <cfRule type="cellIs" dxfId="137" priority="9" operator="greaterThan">
      <formula>209</formula>
    </cfRule>
    <cfRule type="cellIs" dxfId="136" priority="10" operator="greaterThan">
      <formula>209</formula>
    </cfRule>
  </conditionalFormatting>
  <conditionalFormatting sqref="T17">
    <cfRule type="cellIs" dxfId="135" priority="5" operator="lessThan">
      <formula>9160</formula>
    </cfRule>
  </conditionalFormatting>
  <conditionalFormatting sqref="B8:D8">
    <cfRule type="cellIs" dxfId="134" priority="4" operator="lessThan">
      <formula>$B$7</formula>
    </cfRule>
  </conditionalFormatting>
  <conditionalFormatting sqref="C27:E27">
    <cfRule type="cellIs" dxfId="133" priority="3" operator="lessThan">
      <formula>0</formula>
    </cfRule>
  </conditionalFormatting>
  <conditionalFormatting sqref="C34:D37">
    <cfRule type="cellIs" dxfId="132" priority="2" operator="lessThan">
      <formula>0</formula>
    </cfRule>
  </conditionalFormatting>
  <conditionalFormatting sqref="M32">
    <cfRule type="cellIs" dxfId="131" priority="1" operator="lessThan">
      <formula>9160</formula>
    </cfRule>
  </conditionalFormatting>
  <dataValidations count="9"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6:B37" xr:uid="{1EA90912-A657-4069-B043-207C909FA3F6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4:B34" xr:uid="{C4F2C458-81E3-4780-BFE8-890AF3947CCF}"/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5:B35" xr:uid="{FD2FBC86-F586-44B4-9C5D-7D2999AAF0CA}"/>
    <dataValidation allowBlank="1" showInputMessage="1" showErrorMessage="1" promptTitle="1주" prompt="7. &quot;1주&quot;란 휴일을 포함한 7일을 말한다." sqref="H29" xr:uid="{37A019BA-493B-4030-8BE7-0657554C4550}"/>
    <dataValidation allowBlank="1" showInputMessage="1" showErrorMessage="1" promptTitle="주40시간기준" prompt="52시간 초과금지_x000a_근로기준법 제53조(연장 근로의 제한)" sqref="F31:G31" xr:uid="{ABB66D00-CED2-4CD6-B5AD-AEF2DDF1C412}"/>
    <dataValidation allowBlank="1" showInputMessage="1" showErrorMessage="1" promptTitle="주40시간 기준" prompt="주12시간 연장근로 초과 금지_x000a_225.952381시간 초과 금지?_x000a_261시간 초과 금지 ?" sqref="C31:E31" xr:uid="{88350B46-54C9-44E6-A0A5-635D4191E6F6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L29" xr:uid="{8A93642E-A684-4033-BEE8-32A3942DE31F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328C8509-7740-499D-AD09-4535064243D8}"/>
    <dataValidation allowBlank="1" showInputMessage="1" showErrorMessage="1" promptTitle="귀속월" prompt="귀속월의 실제 근무일수 기재" sqref="A31:B31" xr:uid="{D8155156-4439-4780-94C5-8A49A967D571}"/>
  </dataValidations>
  <hyperlinks>
    <hyperlink ref="A29:B29" r:id="rId1" display="통상임금-시급" xr:uid="{82387B5F-39F1-4022-BA8A-B084F7F69459}"/>
    <hyperlink ref="A32:L32" r:id="rId2" display="계산 방법" xr:uid="{5FF7722D-AD1B-4965-BFB0-438160B1574C}"/>
    <hyperlink ref="M12" r:id="rId3" xr:uid="{70ECE030-762D-4743-AC5B-874A8EC4B498}"/>
    <hyperlink ref="O12" r:id="rId4" xr:uid="{80D05D5D-6E5D-46D7-8097-E9D6515645E7}"/>
    <hyperlink ref="G16:H16" r:id="rId5" display="고용보험료" xr:uid="{A5A6FE6E-4BCD-42DF-A6CC-A968DC360A60}"/>
    <hyperlink ref="M27" r:id="rId6" xr:uid="{9A26D471-0251-4E1C-9429-1C88CF51D07E}"/>
    <hyperlink ref="M24" r:id="rId7" xr:uid="{1EAD35D7-EA95-4217-8549-1A0AEC837246}"/>
    <hyperlink ref="B21:D21" r:id="rId8" display="연차휴가수당" xr:uid="{A2C30C3F-32CE-46A7-866A-08C755F7F33E}"/>
    <hyperlink ref="O16" r:id="rId9" display="https://blog.naver.com/hope-pys/222547604214" xr:uid="{6F3EAD6D-60E3-4A5A-AF5E-9A5100905901}"/>
    <hyperlink ref="A28:B28" r:id="rId10" display="통상시급" xr:uid="{CFE5D665-1B79-47EE-87E2-00FB3619F6F3}"/>
    <hyperlink ref="N3" r:id="rId11" xr:uid="{6F0ADA4D-3B7C-4327-987D-4404E345B040}"/>
    <hyperlink ref="P16" r:id="rId12" xr:uid="{BA842FBF-515C-42E9-BB87-B23B9B05DB4C}"/>
    <hyperlink ref="O6" r:id="rId13" xr:uid="{F089CEF1-2AE2-4D57-9AC1-4E3A9E328C10}"/>
    <hyperlink ref="Q18" location="최저임금!A1" display="최저임금은" xr:uid="{DDE0FD6E-A1E6-4745-962D-CF7E5329C6CF}"/>
    <hyperlink ref="O18" r:id="rId14" xr:uid="{653D2955-FCC1-4438-883C-5553E5EDD742}"/>
    <hyperlink ref="R44" r:id="rId15" display="1년 계약직 연차 11일 (대법원2021다227100)" xr:uid="{530672E3-799B-4BD2-83AF-A6EB7C69F4B8}"/>
    <hyperlink ref="O32" r:id="rId16" xr:uid="{3E684EB2-F025-421E-9529-A0C837E27474}"/>
    <hyperlink ref="N16" r:id="rId17" display="https://cafe.daum.net/transtax/FWkz/224" xr:uid="{ECF567F7-C1A1-43B0-85DE-A954151E020A}"/>
    <hyperlink ref="P10" r:id="rId18" xr:uid="{C691E193-E7FE-4D4A-8039-BD9D21317F8C}"/>
    <hyperlink ref="G12:I12" r:id="rId19" display="공제 항목" xr:uid="{A97C2B0D-A005-4409-84A3-AC30A2E897E6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96" orientation="portrait" verticalDpi="0" r:id="rId20"/>
  <drawing r:id="rId21"/>
  <legacyDrawing r:id="rId2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0577" r:id="rId23" name="Group Box 1">
              <controlPr defaultSize="0" autoFill="0" autoPict="0">
                <anchor moveWithCells="1">
                  <from>
                    <xdr:col>13</xdr:col>
                    <xdr:colOff>466725</xdr:colOff>
                    <xdr:row>24</xdr:row>
                    <xdr:rowOff>95250</xdr:rowOff>
                  </from>
                  <to>
                    <xdr:col>16</xdr:col>
                    <xdr:colOff>495300</xdr:colOff>
                    <xdr:row>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78" r:id="rId24" name="Option Button 2">
              <controlPr defaultSize="0" autoFill="0" autoLine="0" autoPict="0">
                <anchor moveWithCells="1">
                  <from>
                    <xdr:col>13</xdr:col>
                    <xdr:colOff>590550</xdr:colOff>
                    <xdr:row>25</xdr:row>
                    <xdr:rowOff>152400</xdr:rowOff>
                  </from>
                  <to>
                    <xdr:col>14</xdr:col>
                    <xdr:colOff>1171575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79" r:id="rId25" name="Group Box 3">
              <controlPr defaultSize="0" autoFill="0" autoPict="0">
                <anchor moveWithCells="1">
                  <from>
                    <xdr:col>17</xdr:col>
                    <xdr:colOff>142875</xdr:colOff>
                    <xdr:row>24</xdr:row>
                    <xdr:rowOff>114300</xdr:rowOff>
                  </from>
                  <to>
                    <xdr:col>21</xdr:col>
                    <xdr:colOff>76200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0" r:id="rId26" name="Option Button 4">
              <controlPr defaultSize="0" autoFill="0" autoLine="0" autoPict="0">
                <anchor moveWithCells="1">
                  <from>
                    <xdr:col>17</xdr:col>
                    <xdr:colOff>314325</xdr:colOff>
                    <xdr:row>25</xdr:row>
                    <xdr:rowOff>152400</xdr:rowOff>
                  </from>
                  <to>
                    <xdr:col>19</xdr:col>
                    <xdr:colOff>247650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1" r:id="rId27" name="Option Button 5">
              <controlPr defaultSize="0" autoFill="0" autoLine="0" autoPict="0">
                <anchor moveWithCells="1">
                  <from>
                    <xdr:col>19</xdr:col>
                    <xdr:colOff>409575</xdr:colOff>
                    <xdr:row>25</xdr:row>
                    <xdr:rowOff>180975</xdr:rowOff>
                  </from>
                  <to>
                    <xdr:col>20</xdr:col>
                    <xdr:colOff>876300</xdr:colOff>
                    <xdr:row>26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2" r:id="rId28" name="Option Button 6">
              <controlPr defaultSize="0" autoFill="0" autoLine="0" autoPict="0">
                <anchor moveWithCells="1">
                  <from>
                    <xdr:col>14</xdr:col>
                    <xdr:colOff>1400175</xdr:colOff>
                    <xdr:row>25</xdr:row>
                    <xdr:rowOff>171450</xdr:rowOff>
                  </from>
                  <to>
                    <xdr:col>15</xdr:col>
                    <xdr:colOff>981075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3" r:id="rId29" name="Group Box 7">
              <controlPr defaultSize="0" autoFill="0" autoPict="0">
                <anchor moveWithCells="1">
                  <from>
                    <xdr:col>17</xdr:col>
                    <xdr:colOff>180975</xdr:colOff>
                    <xdr:row>29</xdr:row>
                    <xdr:rowOff>95250</xdr:rowOff>
                  </from>
                  <to>
                    <xdr:col>21</xdr:col>
                    <xdr:colOff>85725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4" r:id="rId30" name="Option Button 8">
              <controlPr defaultSize="0" autoFill="0" autoLine="0" autoPict="0">
                <anchor moveWithCells="1">
                  <from>
                    <xdr:col>17</xdr:col>
                    <xdr:colOff>419100</xdr:colOff>
                    <xdr:row>30</xdr:row>
                    <xdr:rowOff>200025</xdr:rowOff>
                  </from>
                  <to>
                    <xdr:col>18</xdr:col>
                    <xdr:colOff>581025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5" r:id="rId31" name="Option Button 9">
              <controlPr defaultSize="0" autoFill="0" autoLine="0" autoPict="0">
                <anchor moveWithCells="1">
                  <from>
                    <xdr:col>19</xdr:col>
                    <xdr:colOff>400050</xdr:colOff>
                    <xdr:row>30</xdr:row>
                    <xdr:rowOff>180975</xdr:rowOff>
                  </from>
                  <to>
                    <xdr:col>20</xdr:col>
                    <xdr:colOff>352425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6" r:id="rId32" name="Group Box 10">
              <controlPr defaultSize="0" autoFill="0" autoPict="0">
                <anchor moveWithCells="1">
                  <from>
                    <xdr:col>17</xdr:col>
                    <xdr:colOff>180975</xdr:colOff>
                    <xdr:row>34</xdr:row>
                    <xdr:rowOff>95250</xdr:rowOff>
                  </from>
                  <to>
                    <xdr:col>21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7" r:id="rId33" name="Option Button 11">
              <controlPr defaultSize="0" autoFill="0" autoLine="0" autoPict="0">
                <anchor moveWithCells="1">
                  <from>
                    <xdr:col>17</xdr:col>
                    <xdr:colOff>409575</xdr:colOff>
                    <xdr:row>36</xdr:row>
                    <xdr:rowOff>38100</xdr:rowOff>
                  </from>
                  <to>
                    <xdr:col>18</xdr:col>
                    <xdr:colOff>438150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8" r:id="rId34" name="Option Button 12">
              <controlPr defaultSize="0" autoFill="0" autoLine="0" autoPict="0">
                <anchor moveWithCells="1">
                  <from>
                    <xdr:col>19</xdr:col>
                    <xdr:colOff>447675</xdr:colOff>
                    <xdr:row>36</xdr:row>
                    <xdr:rowOff>19050</xdr:rowOff>
                  </from>
                  <to>
                    <xdr:col>20</xdr:col>
                    <xdr:colOff>485775</xdr:colOff>
                    <xdr:row>37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629C9-8BDE-4750-AB29-4E27AED48718}">
  <sheetPr codeName="Sheet10">
    <tabColor rgb="FF7030A0"/>
    <pageSetUpPr fitToPage="1"/>
  </sheetPr>
  <dimension ref="A1:AG83"/>
  <sheetViews>
    <sheetView showGridLines="0" workbookViewId="0">
      <selection activeCell="S17" sqref="S17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2.125" customWidth="1"/>
    <col min="9" max="9" width="6.5" customWidth="1"/>
    <col min="10" max="10" width="1.625" customWidth="1"/>
    <col min="11" max="11" width="4" customWidth="1"/>
    <col min="12" max="12" width="12.125" customWidth="1"/>
    <col min="13" max="13" width="11.25" bestFit="1" customWidth="1"/>
    <col min="14" max="14" width="13.5" customWidth="1"/>
    <col min="15" max="15" width="18.625" customWidth="1"/>
    <col min="16" max="16" width="13.25" customWidth="1"/>
    <col min="20" max="20" width="9.75" bestFit="1" customWidth="1"/>
    <col min="21" max="21" width="12.75" customWidth="1"/>
  </cols>
  <sheetData>
    <row r="1" spans="1:33">
      <c r="A1" s="3" t="s">
        <v>0</v>
      </c>
      <c r="N1" s="510">
        <f>IF(B7&gt;EOMONTH($D$3,-1)+1,B7,EOMONTH(D3,-1)+1)</f>
        <v>44501</v>
      </c>
      <c r="O1" s="511">
        <f>IF(AND(B8&lt;&gt;"",B8&lt;EOMONTH(D3,0)),B8,EOMONTH(D3,0))</f>
        <v>44530</v>
      </c>
      <c r="P1" t="s">
        <v>1656</v>
      </c>
      <c r="Q1" s="289"/>
      <c r="V1" s="289"/>
      <c r="AG1" t="s">
        <v>1506</v>
      </c>
    </row>
    <row r="2" spans="1:33" ht="8.25" customHeight="1"/>
    <row r="3" spans="1:33" ht="20.25">
      <c r="D3" s="888">
        <v>44530</v>
      </c>
      <c r="E3" s="888"/>
      <c r="F3" s="888"/>
      <c r="G3" s="5" t="s">
        <v>1</v>
      </c>
      <c r="J3" s="2"/>
      <c r="K3" s="2"/>
      <c r="L3" s="26" t="s">
        <v>1256</v>
      </c>
      <c r="N3" s="15" t="s">
        <v>1388</v>
      </c>
      <c r="O3" s="15"/>
      <c r="P3" t="s">
        <v>1491</v>
      </c>
      <c r="Q3" s="36"/>
      <c r="Y3" s="66" t="s">
        <v>1498</v>
      </c>
      <c r="Z3" s="66" t="s">
        <v>1499</v>
      </c>
      <c r="AA3" s="66" t="s">
        <v>1500</v>
      </c>
      <c r="AB3" s="66" t="s">
        <v>1501</v>
      </c>
      <c r="AC3" s="66" t="s">
        <v>1503</v>
      </c>
      <c r="AD3" s="66" t="s">
        <v>1504</v>
      </c>
      <c r="AE3" s="66" t="s">
        <v>1505</v>
      </c>
      <c r="AF3" s="66" t="s">
        <v>1504</v>
      </c>
      <c r="AG3" s="66" t="s">
        <v>1505</v>
      </c>
    </row>
    <row r="4" spans="1:33" ht="8.25" customHeight="1">
      <c r="Q4" s="36"/>
      <c r="Y4" s="66"/>
      <c r="Z4" s="66"/>
      <c r="AA4" s="66"/>
      <c r="AB4" s="66"/>
      <c r="AC4" s="66"/>
      <c r="AD4" s="66"/>
      <c r="AE4" s="66"/>
      <c r="AF4" s="66"/>
      <c r="AG4" s="66"/>
    </row>
    <row r="5" spans="1:33">
      <c r="A5" t="s">
        <v>12</v>
      </c>
      <c r="B5" s="889" t="s">
        <v>385</v>
      </c>
      <c r="C5" s="889"/>
      <c r="D5" s="889"/>
      <c r="E5" s="889"/>
      <c r="F5" s="889"/>
      <c r="G5" s="714" t="s">
        <v>11</v>
      </c>
      <c r="H5" s="714"/>
      <c r="I5" s="402"/>
      <c r="J5" s="890">
        <v>44525</v>
      </c>
      <c r="K5" s="890"/>
      <c r="L5" s="890"/>
      <c r="O5" s="430">
        <f>DATEDIF(B7,O1,"y")</f>
        <v>0</v>
      </c>
      <c r="P5" t="s">
        <v>1492</v>
      </c>
      <c r="T5" t="s">
        <v>1493</v>
      </c>
      <c r="Y5" s="425">
        <v>11</v>
      </c>
      <c r="Z5" s="425">
        <v>15</v>
      </c>
      <c r="AA5" s="425">
        <f>Z5</f>
        <v>15</v>
      </c>
      <c r="AB5" s="425">
        <v>16</v>
      </c>
      <c r="AC5" s="425">
        <f>AB5</f>
        <v>16</v>
      </c>
      <c r="AD5" s="425">
        <v>17</v>
      </c>
      <c r="AE5" s="425">
        <f>AD5</f>
        <v>17</v>
      </c>
      <c r="AF5" s="425">
        <v>18</v>
      </c>
      <c r="AG5" s="425">
        <f>AF5</f>
        <v>18</v>
      </c>
    </row>
    <row r="6" spans="1:33">
      <c r="A6" s="403" t="s">
        <v>2</v>
      </c>
      <c r="B6" s="881" t="s">
        <v>1375</v>
      </c>
      <c r="C6" s="884"/>
      <c r="D6" s="885"/>
      <c r="E6" s="891" t="s">
        <v>652</v>
      </c>
      <c r="F6" s="880"/>
      <c r="G6" s="892">
        <v>26961</v>
      </c>
      <c r="H6" s="893"/>
      <c r="I6" s="894"/>
      <c r="J6" s="895"/>
      <c r="K6" s="895"/>
      <c r="L6" s="896"/>
      <c r="N6" s="420" t="s">
        <v>1459</v>
      </c>
      <c r="O6" s="431" t="s">
        <v>1510</v>
      </c>
      <c r="P6" t="s">
        <v>1494</v>
      </c>
      <c r="Y6" s="66"/>
      <c r="Z6" s="66"/>
      <c r="AA6" s="66"/>
      <c r="AB6" s="66"/>
      <c r="AC6" s="66"/>
      <c r="AD6" s="66"/>
      <c r="AE6" s="66"/>
      <c r="AF6" s="66"/>
      <c r="AG6" s="66"/>
    </row>
    <row r="7" spans="1:33">
      <c r="A7" s="403" t="s">
        <v>33</v>
      </c>
      <c r="B7" s="878">
        <v>44197</v>
      </c>
      <c r="C7" s="878"/>
      <c r="D7" s="878"/>
      <c r="E7" s="879" t="s">
        <v>34</v>
      </c>
      <c r="F7" s="880"/>
      <c r="G7" s="881"/>
      <c r="H7" s="882"/>
      <c r="I7" s="883"/>
      <c r="J7" s="884"/>
      <c r="K7" s="884"/>
      <c r="L7" s="885"/>
      <c r="N7" s="407" t="str">
        <f>IF($D$3="","",DATEDIF($B$7,$O$1+1,"Y") &amp; "년 " &amp; DATEDIF($B$7,$O$1+1,"YM") &amp; "개월 "&amp; IF(OR(VALUE(TEXT($B$7,"dd"))-1=VALUE(TEXT($O$1,"dd")),TEXT($B$7,"dd")="01"),"",DATEDIF($B$7,$O$1,"MD")+1 &amp; "일"))</f>
        <v xml:space="preserve">0년 11개월 </v>
      </c>
      <c r="O7" s="429">
        <f>IF(O5=0,1,VLOOKUP(O5,연차,2))</f>
        <v>1</v>
      </c>
      <c r="P7" t="s">
        <v>1495</v>
      </c>
      <c r="Y7" s="418" t="s">
        <v>1502</v>
      </c>
      <c r="Z7" s="426">
        <f>SUM(Y5:Z5)</f>
        <v>26</v>
      </c>
      <c r="AA7" s="426">
        <f t="shared" ref="AA7:AG7" si="0">SUM(Z7,AA5)</f>
        <v>41</v>
      </c>
      <c r="AB7" s="426">
        <f t="shared" si="0"/>
        <v>57</v>
      </c>
      <c r="AC7" s="426">
        <f t="shared" si="0"/>
        <v>73</v>
      </c>
      <c r="AD7" s="426">
        <f t="shared" si="0"/>
        <v>90</v>
      </c>
      <c r="AE7" s="426">
        <f t="shared" si="0"/>
        <v>107</v>
      </c>
      <c r="AF7" s="426">
        <f t="shared" si="0"/>
        <v>125</v>
      </c>
      <c r="AG7" s="426">
        <f t="shared" si="0"/>
        <v>143</v>
      </c>
    </row>
    <row r="8" spans="1:33" ht="16.5" customHeight="1">
      <c r="A8" s="482" t="s">
        <v>1655</v>
      </c>
      <c r="B8" s="878"/>
      <c r="C8" s="878"/>
      <c r="D8" s="878"/>
      <c r="E8" s="897" t="s">
        <v>1653</v>
      </c>
      <c r="F8" s="898"/>
      <c r="G8" s="886"/>
      <c r="H8" s="887"/>
      <c r="I8" s="883"/>
      <c r="J8" s="884"/>
      <c r="K8" s="884"/>
      <c r="L8" s="885"/>
      <c r="N8" s="500" t="str">
        <f>IF(B8-B7&gt;=355,"퇴직금대상 check","")</f>
        <v/>
      </c>
      <c r="O8" s="464" t="str">
        <f>IF(O5=0,"입사후 근무월 개수","")</f>
        <v>입사후 근무월 개수</v>
      </c>
      <c r="P8" t="s">
        <v>1496</v>
      </c>
    </row>
    <row r="9" spans="1:33" ht="16.5" customHeight="1" thickBot="1">
      <c r="A9" s="337" t="s">
        <v>383</v>
      </c>
      <c r="B9" s="865"/>
      <c r="C9" s="866"/>
      <c r="D9" s="866"/>
      <c r="E9" s="867"/>
      <c r="F9" s="868" t="s">
        <v>651</v>
      </c>
      <c r="G9" s="869"/>
      <c r="H9" s="870"/>
      <c r="I9" s="871"/>
      <c r="J9" s="871"/>
      <c r="K9" s="871"/>
      <c r="L9" s="872"/>
      <c r="N9" s="501" t="str">
        <f>IF(B8-B7&gt;=355,"미사용연차수당 check","")</f>
        <v/>
      </c>
      <c r="P9" t="s">
        <v>1497</v>
      </c>
    </row>
    <row r="10" spans="1:33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P10" s="15" t="s">
        <v>1804</v>
      </c>
    </row>
    <row r="11" spans="1:33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6"/>
      <c r="K11" s="876"/>
      <c r="L11" s="877"/>
      <c r="M11" t="s">
        <v>1167</v>
      </c>
      <c r="O11" s="10" t="s">
        <v>1805</v>
      </c>
    </row>
    <row r="12" spans="1:33" s="404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6"/>
      <c r="I12" s="857"/>
      <c r="J12" s="858" t="s">
        <v>10</v>
      </c>
      <c r="K12" s="859"/>
      <c r="L12" s="860"/>
      <c r="M12" s="296" t="s">
        <v>1165</v>
      </c>
      <c r="O12" s="296" t="s">
        <v>1166</v>
      </c>
    </row>
    <row r="13" spans="1:33">
      <c r="A13" s="861" t="s">
        <v>5</v>
      </c>
      <c r="B13" s="837" t="s">
        <v>1263</v>
      </c>
      <c r="C13" s="838"/>
      <c r="D13" s="839"/>
      <c r="E13" s="826">
        <v>3200000</v>
      </c>
      <c r="F13" s="827"/>
      <c r="G13" s="828" t="s">
        <v>26</v>
      </c>
      <c r="H13" s="829"/>
      <c r="I13" s="830"/>
      <c r="J13" s="787">
        <f>IF(N13&gt;=60,0,TRUNC(P19*O13,-1))</f>
        <v>179710</v>
      </c>
      <c r="K13" s="788"/>
      <c r="L13" s="789"/>
      <c r="M13" s="65">
        <f>J13/($E$26-IF($E$18&gt;100000,$E$18-100000,0)-IF($E$19&gt;100000,$E$19-100000,0)-IF($E$20&gt;100000,$E$20-100000,0))</f>
        <v>4.7321930532533002E-2</v>
      </c>
      <c r="N13" s="351">
        <f>DATEDIF($G$6,$D$3,"y")</f>
        <v>48</v>
      </c>
      <c r="O13" s="299">
        <f>S13/2</f>
        <v>4.4999999999999998E-2</v>
      </c>
      <c r="P13" t="s">
        <v>459</v>
      </c>
      <c r="S13" s="300">
        <v>0.09</v>
      </c>
      <c r="T13" t="s">
        <v>1170</v>
      </c>
      <c r="U13" s="404"/>
    </row>
    <row r="14" spans="1:33">
      <c r="A14" s="717"/>
      <c r="B14" s="837" t="s">
        <v>1264</v>
      </c>
      <c r="C14" s="838"/>
      <c r="D14" s="839"/>
      <c r="E14" s="826">
        <f>J38</f>
        <v>150000</v>
      </c>
      <c r="F14" s="827"/>
      <c r="G14" s="828" t="s">
        <v>28</v>
      </c>
      <c r="H14" s="829"/>
      <c r="I14" s="830"/>
      <c r="J14" s="787">
        <f>TRUNC(P19*O14,-1)</f>
        <v>136980</v>
      </c>
      <c r="K14" s="788"/>
      <c r="L14" s="789"/>
      <c r="M14" s="65">
        <f>J14/($E$26-IF($E$18&gt;100000,$E$18-100000,0)-IF($E$19&gt;100000,$E$19-100000,0)-IF($E$20&gt;100000,$E$20-100000,0))</f>
        <v>3.6070102077493581E-2</v>
      </c>
      <c r="N14" s="65"/>
      <c r="O14" s="698">
        <f>S14/2</f>
        <v>3.4300000000000004E-2</v>
      </c>
      <c r="P14" t="s">
        <v>459</v>
      </c>
      <c r="S14" s="301">
        <f>IF(AND(D3&gt;=44197,D3&lt;=44561),6.86%,6.99%)</f>
        <v>6.8600000000000008E-2</v>
      </c>
      <c r="U14" s="404"/>
    </row>
    <row r="15" spans="1:33">
      <c r="A15" s="717"/>
      <c r="B15" s="837" t="s">
        <v>1265</v>
      </c>
      <c r="C15" s="838"/>
      <c r="D15" s="839"/>
      <c r="E15" s="826">
        <v>0</v>
      </c>
      <c r="F15" s="827"/>
      <c r="G15" s="828" t="s">
        <v>36</v>
      </c>
      <c r="H15" s="829"/>
      <c r="I15" s="830"/>
      <c r="J15" s="787">
        <f>TRUNC(J14*O15,-1)</f>
        <v>15780</v>
      </c>
      <c r="K15" s="788"/>
      <c r="L15" s="789"/>
      <c r="M15" s="65">
        <f>J15/($E$26-IF($E$18&gt;100000,$E$18-100000,0)-IF($E$19&gt;100000,$E$19-100000,0)-IF($E$20&gt;100000,$E$20-100000,0))</f>
        <v>4.1552504802368859E-3</v>
      </c>
      <c r="N15" s="65">
        <f>J15/J14</f>
        <v>0.11519929916776171</v>
      </c>
      <c r="O15" s="299">
        <f>S15</f>
        <v>0.1152</v>
      </c>
      <c r="P15" t="s">
        <v>459</v>
      </c>
      <c r="R15" s="266">
        <f>SUM(M14:M15)</f>
        <v>4.0225352557730465E-2</v>
      </c>
      <c r="S15" s="301">
        <f>IF(AND(D3&gt;=44197,D3&lt;=44561),11.52%,12.27%)</f>
        <v>0.1152</v>
      </c>
      <c r="U15" s="404"/>
    </row>
    <row r="16" spans="1:33" ht="17.25" thickBot="1">
      <c r="A16" s="717"/>
      <c r="B16" s="837" t="s">
        <v>1266</v>
      </c>
      <c r="C16" s="838"/>
      <c r="D16" s="839"/>
      <c r="E16" s="826">
        <v>0</v>
      </c>
      <c r="F16" s="827"/>
      <c r="G16" s="849" t="s">
        <v>37</v>
      </c>
      <c r="H16" s="850"/>
      <c r="I16" s="851"/>
      <c r="J16" s="787">
        <f>IF(N16&gt;=65,0,CHOOSE(R24,TRUNC(P19*O16,-1),0))</f>
        <v>31950</v>
      </c>
      <c r="K16" s="788"/>
      <c r="L16" s="789"/>
      <c r="M16" s="65">
        <f>J16/($E$26-IF($E$18&gt;100000,$E$18-100000,0)-IF($E$19&gt;100000,$E$19-100000,0)-IF($E$20&gt;100000,$E$20-100000,0))</f>
        <v>8.4131972651184106E-3</v>
      </c>
      <c r="N16" s="617">
        <f>DATEDIF($G$6,B7,"y")</f>
        <v>47</v>
      </c>
      <c r="O16" s="366">
        <v>8.0000000000000002E-3</v>
      </c>
      <c r="P16" s="15" t="s">
        <v>1390</v>
      </c>
      <c r="S16" s="301">
        <v>1.8499999999999999E-2</v>
      </c>
      <c r="T16" t="s">
        <v>1723</v>
      </c>
    </row>
    <row r="17" spans="1:23" ht="17.25" thickBot="1">
      <c r="A17" s="717"/>
      <c r="B17" s="837" t="s">
        <v>1267</v>
      </c>
      <c r="C17" s="838"/>
      <c r="D17" s="839"/>
      <c r="E17" s="826">
        <v>100000</v>
      </c>
      <c r="F17" s="827"/>
      <c r="G17" s="828" t="s">
        <v>38</v>
      </c>
      <c r="H17" s="829"/>
      <c r="I17" s="830"/>
      <c r="J17" s="787"/>
      <c r="K17" s="788"/>
      <c r="L17" s="789"/>
      <c r="M17" s="271">
        <f>SUM(M13:M16)</f>
        <v>9.5960480355381891E-2</v>
      </c>
      <c r="N17" s="271"/>
      <c r="O17" s="292">
        <f>SUM(O13:O14,O16)+(O14*O15)</f>
        <v>9.1251360000000017E-2</v>
      </c>
      <c r="S17" s="704" t="s">
        <v>1876</v>
      </c>
      <c r="T17" s="706">
        <f>TRUNC((C28-W20)/L29,0)</f>
        <v>16245</v>
      </c>
      <c r="U17" s="705" t="s">
        <v>1787</v>
      </c>
      <c r="V17" s="620" t="s">
        <v>1786</v>
      </c>
      <c r="W17" s="620" t="s">
        <v>665</v>
      </c>
    </row>
    <row r="18" spans="1:23" ht="17.25" thickBot="1">
      <c r="A18" s="717"/>
      <c r="B18" s="823" t="s">
        <v>1620</v>
      </c>
      <c r="C18" s="824"/>
      <c r="D18" s="825"/>
      <c r="E18" s="826">
        <f>J34</f>
        <v>396168</v>
      </c>
      <c r="F18" s="827"/>
      <c r="G18" s="862" t="s">
        <v>43</v>
      </c>
      <c r="H18" s="863"/>
      <c r="I18" s="864"/>
      <c r="J18" s="787"/>
      <c r="K18" s="788"/>
      <c r="L18" s="789"/>
      <c r="N18" s="498">
        <v>0</v>
      </c>
      <c r="O18" s="462" t="s">
        <v>1274</v>
      </c>
      <c r="P18" s="499">
        <f>N18/12</f>
        <v>0</v>
      </c>
      <c r="Q18" s="15" t="s">
        <v>1566</v>
      </c>
      <c r="T18" s="551" t="s">
        <v>1798</v>
      </c>
      <c r="U18" s="619">
        <f>VLOOKUP(YEAR(D3),최저임금!O44:Q49,3)</f>
        <v>54674</v>
      </c>
      <c r="V18" s="619">
        <f>VLOOKUP(YEAR(D3),최저임금!O44:Q49,2)</f>
        <v>273372</v>
      </c>
    </row>
    <row r="19" spans="1:23">
      <c r="A19" s="717"/>
      <c r="B19" s="823" t="s">
        <v>1283</v>
      </c>
      <c r="C19" s="824"/>
      <c r="D19" s="825"/>
      <c r="E19" s="826">
        <f>J35</f>
        <v>16507</v>
      </c>
      <c r="F19" s="827"/>
      <c r="G19" s="862" t="s">
        <v>44</v>
      </c>
      <c r="H19" s="863"/>
      <c r="I19" s="864"/>
      <c r="J19" s="787"/>
      <c r="K19" s="788"/>
      <c r="L19" s="789"/>
      <c r="O19" s="268" t="s">
        <v>1146</v>
      </c>
      <c r="P19" s="463">
        <f>P21-P20</f>
        <v>3993773</v>
      </c>
      <c r="T19" s="702" t="s">
        <v>1796</v>
      </c>
      <c r="U19" s="618">
        <f>MAX((E16+E17)-U18,0)</f>
        <v>45326</v>
      </c>
      <c r="V19" s="66">
        <f>MAX(IF(V18&lt;=(E22+E23),V18,0),0)</f>
        <v>0</v>
      </c>
      <c r="W19" s="622">
        <f>SUM(U19:V19)</f>
        <v>45326</v>
      </c>
    </row>
    <row r="20" spans="1:23">
      <c r="A20" s="717"/>
      <c r="B20" s="823" t="s">
        <v>1621</v>
      </c>
      <c r="C20" s="824"/>
      <c r="D20" s="825"/>
      <c r="E20" s="826">
        <f>J36+J37</f>
        <v>99042</v>
      </c>
      <c r="F20" s="827"/>
      <c r="G20" s="828" t="s">
        <v>41</v>
      </c>
      <c r="H20" s="829"/>
      <c r="I20" s="830"/>
      <c r="J20" s="787"/>
      <c r="K20" s="788"/>
      <c r="L20" s="789"/>
      <c r="M20" s="680">
        <f>H28*N29</f>
        <v>34.761904761904766</v>
      </c>
      <c r="O20" s="268" t="s">
        <v>1147</v>
      </c>
      <c r="P20" s="283">
        <f>MIN(IF(AND(E15="",E15=0),0,E15),100000)+MIN(IF(AND(E16="",E16=0),0,E16),200000)+MIN(IF(AND(E17="",E17=0),0,E17),100000)</f>
        <v>100000</v>
      </c>
      <c r="T20" s="702" t="s">
        <v>1797</v>
      </c>
      <c r="U20" s="618">
        <f>(E16+E17)-U19</f>
        <v>54674</v>
      </c>
      <c r="V20" s="621">
        <f>E22+E23-V19</f>
        <v>0</v>
      </c>
      <c r="W20" s="622">
        <f>SUM(U20:V20)</f>
        <v>54674</v>
      </c>
    </row>
    <row r="21" spans="1:23" ht="16.5" customHeight="1">
      <c r="A21" s="831" t="s">
        <v>6</v>
      </c>
      <c r="B21" s="834" t="s">
        <v>1362</v>
      </c>
      <c r="C21" s="835"/>
      <c r="D21" s="836"/>
      <c r="E21" s="826">
        <f>TRUNC(IF(AND(W32=2,W37=1,OR(U40="",U40=0)),(U41-C27)*C29*H28,(U40-C27)*C29*H28),0)</f>
        <v>132056</v>
      </c>
      <c r="F21" s="827"/>
      <c r="G21" s="828" t="s">
        <v>39</v>
      </c>
      <c r="H21" s="829"/>
      <c r="I21" s="830"/>
      <c r="J21" s="787">
        <v>0</v>
      </c>
      <c r="K21" s="788"/>
      <c r="L21" s="789"/>
      <c r="M21" s="681">
        <f>I29*N29</f>
        <v>173.80952380952382</v>
      </c>
      <c r="O21" s="268" t="s">
        <v>1148</v>
      </c>
      <c r="P21" s="283">
        <f>E26</f>
        <v>4093773</v>
      </c>
      <c r="T21" s="702" t="s">
        <v>1799</v>
      </c>
      <c r="U21" s="68">
        <f>SUM(U19:U20)</f>
        <v>100000</v>
      </c>
      <c r="V21" s="68">
        <f>SUM(V19:V20)</f>
        <v>0</v>
      </c>
      <c r="W21" s="622">
        <f>SUM(U21:V21)</f>
        <v>100000</v>
      </c>
    </row>
    <row r="22" spans="1:23">
      <c r="A22" s="832"/>
      <c r="B22" s="837" t="s">
        <v>1371</v>
      </c>
      <c r="C22" s="838"/>
      <c r="D22" s="839"/>
      <c r="E22" s="826"/>
      <c r="F22" s="827"/>
      <c r="G22" s="828" t="s">
        <v>40</v>
      </c>
      <c r="H22" s="829"/>
      <c r="I22" s="830"/>
      <c r="J22" s="787"/>
      <c r="K22" s="788"/>
      <c r="L22" s="789"/>
      <c r="M22" s="682">
        <f>SUM(M20:M21)</f>
        <v>208.57142857142858</v>
      </c>
      <c r="U22" s="22"/>
    </row>
    <row r="23" spans="1:23">
      <c r="A23" s="832"/>
      <c r="B23" s="837" t="s">
        <v>1460</v>
      </c>
      <c r="C23" s="838"/>
      <c r="D23" s="839"/>
      <c r="E23" s="826"/>
      <c r="F23" s="827"/>
      <c r="G23" s="828"/>
      <c r="H23" s="829"/>
      <c r="I23" s="830"/>
      <c r="J23" s="787"/>
      <c r="K23" s="788"/>
      <c r="L23" s="789"/>
      <c r="O23" s="432" t="s">
        <v>1168</v>
      </c>
      <c r="P23" s="285">
        <f>P19</f>
        <v>3993773</v>
      </c>
    </row>
    <row r="24" spans="1:23">
      <c r="A24" s="832"/>
      <c r="B24" s="837"/>
      <c r="C24" s="838"/>
      <c r="D24" s="839"/>
      <c r="E24" s="826"/>
      <c r="F24" s="827"/>
      <c r="G24" s="840" t="s">
        <v>1275</v>
      </c>
      <c r="H24" s="841"/>
      <c r="I24" s="842"/>
      <c r="J24" s="843">
        <f>IF(P19&lt;=10000000,VLOOKUP(P19/1000,간이세액표2021,A40+B40+2),VLOOKUP(P19/1000,간이세액표2021,A40+B40+2)+VLOOKUP(P19,근로세율,3)+(P19-VLOOKUP(P19,근로세율,4))*VLOOKUP(P19,근로세율,5)*VLOOKUP(P19,근로세율,6))</f>
        <v>208290</v>
      </c>
      <c r="K24" s="844"/>
      <c r="L24" s="845"/>
      <c r="M24" s="15" t="s">
        <v>1276</v>
      </c>
      <c r="O24" s="298">
        <v>2</v>
      </c>
      <c r="R24" s="310">
        <v>1</v>
      </c>
      <c r="U24" s="22"/>
    </row>
    <row r="25" spans="1:23">
      <c r="A25" s="833"/>
      <c r="B25" s="837" t="s">
        <v>1268</v>
      </c>
      <c r="C25" s="838"/>
      <c r="D25" s="839"/>
      <c r="E25" s="826">
        <v>0</v>
      </c>
      <c r="F25" s="827"/>
      <c r="G25" s="840" t="s">
        <v>35</v>
      </c>
      <c r="H25" s="841"/>
      <c r="I25" s="842"/>
      <c r="J25" s="846">
        <f>TRUNC(J24*10%,-1)</f>
        <v>20820</v>
      </c>
      <c r="K25" s="847"/>
      <c r="L25" s="848"/>
    </row>
    <row r="26" spans="1:23" ht="17.25" thickBot="1">
      <c r="A26" s="802" t="s">
        <v>7</v>
      </c>
      <c r="B26" s="803"/>
      <c r="C26" s="803"/>
      <c r="D26" s="804"/>
      <c r="E26" s="805">
        <f>SUM(E13:F25)</f>
        <v>4093773</v>
      </c>
      <c r="F26" s="806"/>
      <c r="G26" s="807" t="s">
        <v>15</v>
      </c>
      <c r="H26" s="808"/>
      <c r="I26" s="809"/>
      <c r="J26" s="787">
        <f>SUM(J13:L25)</f>
        <v>593530</v>
      </c>
      <c r="K26" s="788"/>
      <c r="L26" s="789"/>
      <c r="M26" s="627">
        <f>I29*N29</f>
        <v>173.80952380952382</v>
      </c>
    </row>
    <row r="27" spans="1:23" ht="17.25" thickBot="1">
      <c r="A27" s="810" t="s">
        <v>1389</v>
      </c>
      <c r="B27" s="811"/>
      <c r="C27" s="812">
        <f>I28-A31</f>
        <v>0</v>
      </c>
      <c r="D27" s="813"/>
      <c r="E27" s="814"/>
      <c r="F27" s="396">
        <v>0</v>
      </c>
      <c r="G27" s="815" t="s">
        <v>16</v>
      </c>
      <c r="H27" s="816"/>
      <c r="I27" s="817"/>
      <c r="J27" s="818">
        <f>E26-J26</f>
        <v>3500243</v>
      </c>
      <c r="K27" s="819"/>
      <c r="L27" s="820"/>
      <c r="M27" s="15" t="s">
        <v>1262</v>
      </c>
    </row>
    <row r="28" spans="1:23" ht="16.5" customHeight="1" outlineLevel="1">
      <c r="A28" s="790" t="s">
        <v>1453</v>
      </c>
      <c r="B28" s="791"/>
      <c r="C28" s="792">
        <f>(SUM(E13:F17)/Q29)+P18</f>
        <v>3450000</v>
      </c>
      <c r="D28" s="792"/>
      <c r="E28" s="792"/>
      <c r="F28" s="793" t="s">
        <v>1458</v>
      </c>
      <c r="G28" s="794"/>
      <c r="H28" s="408">
        <v>8</v>
      </c>
      <c r="I28" s="795">
        <f>VLOOKUP(H29,O44:P47,2)</f>
        <v>22</v>
      </c>
      <c r="J28" s="796"/>
      <c r="K28" s="797"/>
      <c r="L28" s="409">
        <f>MIN(H28,8)*I28</f>
        <v>176</v>
      </c>
      <c r="M28" t="s">
        <v>1327</v>
      </c>
    </row>
    <row r="29" spans="1:23" ht="16.5" customHeight="1" outlineLevel="1">
      <c r="A29" s="798" t="s">
        <v>67</v>
      </c>
      <c r="B29" s="798"/>
      <c r="C29" s="799">
        <f>TRUNC(C28/L29,0)</f>
        <v>16507</v>
      </c>
      <c r="D29" s="799"/>
      <c r="E29" s="799"/>
      <c r="F29" s="800" t="s">
        <v>49</v>
      </c>
      <c r="G29" s="801"/>
      <c r="H29" s="537">
        <v>5</v>
      </c>
      <c r="I29" s="821">
        <f>MIN(MIN(H28,8)*H29,40)</f>
        <v>40</v>
      </c>
      <c r="J29" s="821"/>
      <c r="K29" s="822"/>
      <c r="L29" s="624">
        <f>IF(I29&lt;15,I29*N29,IF(H29&lt;5,ROUNDUP((I29+(I29/5))*N29,0)*Q29,ROUNDUP((I29+(MIN(H28,8)*(MIN(I29,40)/MIN(I29,40))))/7*365/12,0)))</f>
        <v>209</v>
      </c>
      <c r="M29" t="s">
        <v>1328</v>
      </c>
      <c r="N29" s="535">
        <f>365/12/7</f>
        <v>4.3452380952380958</v>
      </c>
      <c r="O29" s="472" t="s">
        <v>1622</v>
      </c>
      <c r="P29" s="471">
        <f>O1-N1+1</f>
        <v>30</v>
      </c>
      <c r="Q29" s="512">
        <f>P29/(EOMONTH($D$3,0)-EOMONTH($D$3,-1))</f>
        <v>1</v>
      </c>
      <c r="R29" s="174"/>
    </row>
    <row r="30" spans="1:23">
      <c r="A30" s="771" t="s">
        <v>1457</v>
      </c>
      <c r="B30" s="772"/>
      <c r="C30" s="773" t="s">
        <v>686</v>
      </c>
      <c r="D30" s="774"/>
      <c r="E30" s="775"/>
      <c r="F30" s="776" t="s">
        <v>684</v>
      </c>
      <c r="G30" s="776"/>
      <c r="H30" s="776" t="s">
        <v>17</v>
      </c>
      <c r="I30" s="776"/>
      <c r="J30" s="776"/>
      <c r="K30" s="777" t="s">
        <v>685</v>
      </c>
      <c r="L30" s="778"/>
      <c r="M30" t="s">
        <v>1329</v>
      </c>
      <c r="N30" s="420" t="s">
        <v>1628</v>
      </c>
      <c r="O30" s="473" t="s">
        <v>1623</v>
      </c>
      <c r="P30" s="310">
        <f>IF(OR($N$1&gt;EOMONTH($D$3,-1)+1,$O$1&lt;EOMONTH($D$3,0)),CEILING(($P$29-MOD(8-WEEKDAY($N$1),7))/7,1),CEILING((DAY(EOMONTH($D$3,0))-MOD(8-WEEKDAY($D$3),7))/7,1))</f>
        <v>4</v>
      </c>
      <c r="Q30" s="474" t="s">
        <v>1627</v>
      </c>
    </row>
    <row r="31" spans="1:23" ht="17.25" thickBot="1">
      <c r="A31" s="411">
        <f>I28</f>
        <v>22</v>
      </c>
      <c r="B31" s="410">
        <f>A31*H28</f>
        <v>176</v>
      </c>
      <c r="C31" s="779">
        <f>B31+F31+K31</f>
        <v>196</v>
      </c>
      <c r="D31" s="780"/>
      <c r="E31" s="781"/>
      <c r="F31" s="782">
        <v>16</v>
      </c>
      <c r="G31" s="782"/>
      <c r="H31" s="782">
        <v>2</v>
      </c>
      <c r="I31" s="782"/>
      <c r="J31" s="782"/>
      <c r="K31" s="783">
        <v>4</v>
      </c>
      <c r="L31" s="784"/>
      <c r="M31" s="625">
        <f>IF(H29&gt;=5,(I29+H28)*N29,(I29+(H28*H29)/5)*N29)</f>
        <v>208.57142857142861</v>
      </c>
      <c r="N31" s="476">
        <f>SUM(P30,Q31)</f>
        <v>8</v>
      </c>
      <c r="O31" s="473" t="s">
        <v>1624</v>
      </c>
      <c r="P31" s="477">
        <f>IF(OR($N$1&gt;EOMONTH($D$3,-1)+1,$O$1&lt;EOMONTH($D$3,0)),NETWORKDAYS($N$1,$O$1),NETWORKDAYS(EOMONTH($D$3,-1)+1,EOMONTH($D$3,0)))</f>
        <v>22</v>
      </c>
      <c r="Q31" s="475">
        <f>P29-P31-P30</f>
        <v>4</v>
      </c>
    </row>
    <row r="32" spans="1:23" ht="17.25" thickBot="1">
      <c r="A32" s="764" t="s">
        <v>18</v>
      </c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01">
        <f>C28/M31</f>
        <v>16541.095890410954</v>
      </c>
      <c r="N32" s="578">
        <f>I29/5</f>
        <v>8</v>
      </c>
      <c r="O32" s="616" t="s">
        <v>1625</v>
      </c>
      <c r="P32" s="490">
        <f>VLOOKUP(EOMONTH(D3,-1)+1,주40시간,6)</f>
        <v>0</v>
      </c>
      <c r="W32" s="298">
        <v>2</v>
      </c>
    </row>
    <row r="33" spans="1:23">
      <c r="A33" s="766" t="s">
        <v>20</v>
      </c>
      <c r="B33" s="766"/>
      <c r="C33" s="899" t="s">
        <v>21</v>
      </c>
      <c r="D33" s="900"/>
      <c r="E33" s="900"/>
      <c r="F33" s="900"/>
      <c r="G33" s="900"/>
      <c r="H33" s="900"/>
      <c r="I33" s="901"/>
      <c r="J33" s="766" t="s">
        <v>22</v>
      </c>
      <c r="K33" s="766"/>
      <c r="L33" s="766"/>
      <c r="N33" s="578">
        <f>SUM(I29,N32)</f>
        <v>48</v>
      </c>
      <c r="O33" s="473" t="s">
        <v>1626</v>
      </c>
      <c r="P33" s="480">
        <f>P31-P32</f>
        <v>22</v>
      </c>
      <c r="Q33" t="s">
        <v>1802</v>
      </c>
    </row>
    <row r="34" spans="1:23">
      <c r="A34" s="767" t="s">
        <v>23</v>
      </c>
      <c r="B34" s="767"/>
      <c r="C34" s="768">
        <f>F31</f>
        <v>16</v>
      </c>
      <c r="D34" s="769"/>
      <c r="E34" s="6" t="s">
        <v>48</v>
      </c>
      <c r="F34" s="23">
        <f>C29</f>
        <v>16507</v>
      </c>
      <c r="G34" s="6" t="s">
        <v>48</v>
      </c>
      <c r="H34" s="412">
        <f>CHOOSE($W$32,1,1.5)</f>
        <v>1.5</v>
      </c>
      <c r="I34" s="7"/>
      <c r="J34" s="770">
        <f>C34*F34*H34</f>
        <v>396168</v>
      </c>
      <c r="K34" s="770"/>
      <c r="L34" s="770"/>
      <c r="M34" s="347">
        <f>E18-J34</f>
        <v>0</v>
      </c>
      <c r="N34" s="577">
        <f>N33*N29</f>
        <v>208.57142857142861</v>
      </c>
      <c r="O34" s="473" t="s">
        <v>1629</v>
      </c>
      <c r="P34" s="481">
        <f>P33+Q31</f>
        <v>26</v>
      </c>
      <c r="Q34" t="s">
        <v>1801</v>
      </c>
    </row>
    <row r="35" spans="1:23">
      <c r="A35" s="724" t="s">
        <v>1019</v>
      </c>
      <c r="B35" s="724"/>
      <c r="C35" s="758">
        <f>CHOOSE(W32,0,H31)</f>
        <v>2</v>
      </c>
      <c r="D35" s="759"/>
      <c r="E35" s="11" t="s">
        <v>48</v>
      </c>
      <c r="F35" s="24">
        <f>C29</f>
        <v>16507</v>
      </c>
      <c r="G35" s="11" t="s">
        <v>48</v>
      </c>
      <c r="H35" s="413">
        <f>CHOOSE($W$32,0,0.5)</f>
        <v>0.5</v>
      </c>
      <c r="I35" s="12"/>
      <c r="J35" s="728">
        <f>C35*F35*H35</f>
        <v>16507</v>
      </c>
      <c r="K35" s="728"/>
      <c r="L35" s="728"/>
      <c r="M35" s="347">
        <f>E19-J35</f>
        <v>0</v>
      </c>
      <c r="O35" s="473" t="s">
        <v>1746</v>
      </c>
      <c r="P35" s="569">
        <v>4</v>
      </c>
    </row>
    <row r="36" spans="1:23">
      <c r="A36" s="760" t="s">
        <v>65</v>
      </c>
      <c r="B36" s="760"/>
      <c r="C36" s="761">
        <f>K31-C37</f>
        <v>4</v>
      </c>
      <c r="D36" s="762"/>
      <c r="E36" s="13" t="s">
        <v>48</v>
      </c>
      <c r="F36" s="25">
        <f>C29</f>
        <v>16507</v>
      </c>
      <c r="G36" s="13" t="s">
        <v>48</v>
      </c>
      <c r="H36" s="414">
        <f>CHOOSE($W$32,1,1.5)</f>
        <v>1.5</v>
      </c>
      <c r="I36" s="415"/>
      <c r="J36" s="763">
        <f>C36*F36*H36</f>
        <v>99042</v>
      </c>
      <c r="K36" s="763"/>
      <c r="L36" s="763"/>
      <c r="M36" s="347">
        <f>E20-J36-J37</f>
        <v>0</v>
      </c>
      <c r="O36" s="473" t="s">
        <v>1747</v>
      </c>
      <c r="P36" s="570">
        <f>P33-P35</f>
        <v>18</v>
      </c>
      <c r="Q36" t="s">
        <v>1803</v>
      </c>
    </row>
    <row r="37" spans="1:23" outlineLevel="1">
      <c r="A37" s="747" t="s">
        <v>66</v>
      </c>
      <c r="B37" s="747"/>
      <c r="C37" s="748">
        <v>0</v>
      </c>
      <c r="D37" s="749"/>
      <c r="E37" s="11" t="s">
        <v>48</v>
      </c>
      <c r="F37" s="24">
        <f>C29</f>
        <v>16507</v>
      </c>
      <c r="G37" s="11" t="s">
        <v>48</v>
      </c>
      <c r="H37" s="416">
        <f>CHOOSE($W$32,1,2)</f>
        <v>2</v>
      </c>
      <c r="I37" s="335"/>
      <c r="J37" s="728">
        <f>C37*F37*H37</f>
        <v>0</v>
      </c>
      <c r="K37" s="728"/>
      <c r="L37" s="728"/>
      <c r="N37" s="403" t="s">
        <v>1269</v>
      </c>
      <c r="O37" s="342">
        <v>1</v>
      </c>
      <c r="P37" s="403" t="s">
        <v>1270</v>
      </c>
      <c r="Q37" s="343">
        <v>1</v>
      </c>
      <c r="V37" s="16"/>
      <c r="W37" s="298">
        <v>1</v>
      </c>
    </row>
    <row r="38" spans="1:23" outlineLevel="1">
      <c r="A38" s="750" t="s">
        <v>1252</v>
      </c>
      <c r="B38" s="751"/>
      <c r="C38" s="752" t="str">
        <f>IF(OR(O37=0,O37=""),"",TEXT(N38,"#,##0")&amp;"원×"&amp;O37&amp;"명(배우자)")&amp;IF(OR(Q37=0,Q37=""),"","+"&amp;TEXT(P38,"#,##0")&amp;"원×"&amp;Q37&amp;"명(자녀"&amp;Q37&amp;"명)")</f>
        <v>100,000원×1명(배우자)+50,000원×1명(자녀1명)</v>
      </c>
      <c r="D38" s="753"/>
      <c r="E38" s="753"/>
      <c r="F38" s="753"/>
      <c r="G38" s="753"/>
      <c r="H38" s="753"/>
      <c r="I38" s="754"/>
      <c r="J38" s="755">
        <f>SUM(O38,Q38)</f>
        <v>150000</v>
      </c>
      <c r="K38" s="756"/>
      <c r="L38" s="757"/>
      <c r="M38" s="347">
        <f>E14-J38</f>
        <v>0</v>
      </c>
      <c r="N38" s="344">
        <v>100000</v>
      </c>
      <c r="O38" s="345">
        <f>N38*O37</f>
        <v>100000</v>
      </c>
      <c r="P38" s="344">
        <v>50000</v>
      </c>
      <c r="Q38" s="345">
        <f>P38*Q37</f>
        <v>50000</v>
      </c>
      <c r="V38" s="16"/>
    </row>
    <row r="39" spans="1:23">
      <c r="A39" s="729" t="s">
        <v>25</v>
      </c>
      <c r="B39" s="729"/>
      <c r="C39" s="730" t="s">
        <v>62</v>
      </c>
      <c r="D39" s="731"/>
      <c r="E39" s="731"/>
      <c r="F39" s="731"/>
      <c r="G39" s="731"/>
      <c r="H39" s="731"/>
      <c r="I39" s="732"/>
      <c r="J39" s="733">
        <f>J24</f>
        <v>208290</v>
      </c>
      <c r="K39" s="734"/>
      <c r="L39" s="735"/>
      <c r="M39" s="417">
        <f>J24-J39</f>
        <v>0</v>
      </c>
      <c r="V39" s="16"/>
    </row>
    <row r="40" spans="1:23">
      <c r="A40" s="434">
        <v>1</v>
      </c>
      <c r="B40" s="295">
        <v>0</v>
      </c>
      <c r="C40" s="736" t="str">
        <f>"근로소득세 \"&amp;TEXT(J39,"#,##0")&amp;"원 分의 지방소득세(10%)"</f>
        <v>근로소득세 \208,290원 分의 지방소득세(10%)</v>
      </c>
      <c r="D40" s="737"/>
      <c r="E40" s="737"/>
      <c r="F40" s="737"/>
      <c r="G40" s="737"/>
      <c r="H40" s="737"/>
      <c r="I40" s="738"/>
      <c r="J40" s="739">
        <f>J25</f>
        <v>20820</v>
      </c>
      <c r="K40" s="740"/>
      <c r="L40" s="741"/>
      <c r="M40" s="417">
        <f t="shared" ref="M40" si="1">J25-J40</f>
        <v>0</v>
      </c>
      <c r="N40" s="19"/>
      <c r="O40" s="19" t="s">
        <v>1630</v>
      </c>
      <c r="P40" s="479"/>
      <c r="S40" t="s">
        <v>1572</v>
      </c>
      <c r="U40" s="455">
        <v>0</v>
      </c>
      <c r="V40" s="16"/>
    </row>
    <row r="41" spans="1:23">
      <c r="A41" s="742" t="s">
        <v>26</v>
      </c>
      <c r="B41" s="742"/>
      <c r="C41" s="743" t="str">
        <f>CHOOSE(O24,"취득(기)신고 보수월액 "&amp;TEXT(P23,"\#,##0원")&amp;"×"&amp;O13*100&amp;"%=국민연금공단 결정보험료(1/2)","상기 급여의 과세급여 "&amp;TEXT(P19,"\#,##0원")&amp;" × "&amp;O13*100&amp;"%")</f>
        <v>상기 급여의 과세급여 ₩3,993,773원 × 4.5%</v>
      </c>
      <c r="D41" s="744"/>
      <c r="E41" s="744"/>
      <c r="F41" s="744"/>
      <c r="G41" s="744"/>
      <c r="H41" s="744"/>
      <c r="I41" s="745"/>
      <c r="J41" s="746">
        <f>J13</f>
        <v>179710</v>
      </c>
      <c r="K41" s="746"/>
      <c r="L41" s="746"/>
      <c r="M41" s="417">
        <f>J13-J41</f>
        <v>0</v>
      </c>
      <c r="N41" s="479" t="s">
        <v>1631</v>
      </c>
      <c r="O41" s="479" t="s">
        <v>1632</v>
      </c>
      <c r="P41" s="479" t="s">
        <v>1635</v>
      </c>
      <c r="S41" t="s">
        <v>1573</v>
      </c>
      <c r="U41" s="443">
        <f>IF(O7=1,1,O7/12)</f>
        <v>1</v>
      </c>
      <c r="V41" s="16"/>
    </row>
    <row r="42" spans="1:23">
      <c r="A42" s="724" t="s">
        <v>28</v>
      </c>
      <c r="B42" s="724"/>
      <c r="C42" s="725" t="str">
        <f>CHOOSE(O24,"취득(기)신고 보수월액 "&amp;TEXT(P23,"\#,##0원")&amp;"×"&amp;O14*100&amp;"%=건강보험공단 고지금액","상기 급여의 과세급여 "&amp;TEXT(P19,"\#,##0원")&amp;"×"&amp;O14*100&amp;"%")</f>
        <v>상기 급여의 과세급여 ₩3,993,773원×3.43%</v>
      </c>
      <c r="D42" s="726"/>
      <c r="E42" s="726"/>
      <c r="F42" s="726"/>
      <c r="G42" s="726"/>
      <c r="H42" s="726"/>
      <c r="I42" s="727"/>
      <c r="J42" s="728">
        <f>SUM(J14,J18)</f>
        <v>136980</v>
      </c>
      <c r="K42" s="728"/>
      <c r="L42" s="728"/>
      <c r="M42" s="417">
        <f>J14-J42</f>
        <v>0</v>
      </c>
      <c r="N42" s="479"/>
      <c r="O42" s="479" t="s">
        <v>1633</v>
      </c>
      <c r="P42" s="479" t="s">
        <v>1636</v>
      </c>
      <c r="V42" s="16"/>
    </row>
    <row r="43" spans="1:23">
      <c r="A43" s="724" t="s">
        <v>29</v>
      </c>
      <c r="B43" s="724"/>
      <c r="C43" s="725" t="str">
        <f>CHOOSE(O24,"상기 건강보험료 "&amp;TEXT(J43,"\#,##0원")&amp;"×"&amp;O15*100&amp;"%=건강보험공단 고지금액","상기 건강보험료 "&amp;TEXT(J43,"\#,##0원")&amp;"×"&amp;O15*100&amp;"%")</f>
        <v>상기 건강보험료 ₩15,780원×11.52%</v>
      </c>
      <c r="D43" s="726"/>
      <c r="E43" s="726"/>
      <c r="F43" s="726"/>
      <c r="G43" s="726"/>
      <c r="H43" s="726"/>
      <c r="I43" s="727"/>
      <c r="J43" s="728">
        <f>SUM(J15,J19)</f>
        <v>15780</v>
      </c>
      <c r="K43" s="728"/>
      <c r="L43" s="728"/>
      <c r="M43" s="417">
        <f>J15-J43</f>
        <v>0</v>
      </c>
      <c r="N43" s="479"/>
      <c r="O43" s="479" t="s">
        <v>1634</v>
      </c>
      <c r="P43" s="479" t="s">
        <v>1637</v>
      </c>
      <c r="R43" s="15" t="s">
        <v>1722</v>
      </c>
    </row>
    <row r="44" spans="1:23">
      <c r="A44" s="724" t="s">
        <v>27</v>
      </c>
      <c r="B44" s="724"/>
      <c r="C44" s="725" t="str">
        <f>CHOOSE(R24,"상기 급여(임금) 과세총액기준 "&amp;TEXT(P19,"\#,##0원")&amp;" × "&amp;O16*100&amp;"%","고용보험 가입 미대상")</f>
        <v>상기 급여(임금) 과세총액기준 ₩3,993,773원 × 0.8%</v>
      </c>
      <c r="D44" s="726"/>
      <c r="E44" s="726"/>
      <c r="F44" s="726"/>
      <c r="G44" s="726"/>
      <c r="H44" s="726"/>
      <c r="I44" s="727"/>
      <c r="J44" s="728">
        <f>J16</f>
        <v>31950</v>
      </c>
      <c r="K44" s="728"/>
      <c r="L44" s="728"/>
      <c r="M44" s="417">
        <f>J16-J44</f>
        <v>0</v>
      </c>
      <c r="O44" s="579">
        <v>0</v>
      </c>
      <c r="P44" s="579">
        <v>0</v>
      </c>
      <c r="V44" s="16"/>
    </row>
    <row r="45" spans="1:23">
      <c r="A45" s="724"/>
      <c r="B45" s="724"/>
      <c r="C45" s="725"/>
      <c r="D45" s="726"/>
      <c r="E45" s="726"/>
      <c r="F45" s="726"/>
      <c r="G45" s="726"/>
      <c r="H45" s="726"/>
      <c r="I45" s="727"/>
      <c r="J45" s="728"/>
      <c r="K45" s="728"/>
      <c r="L45" s="728"/>
      <c r="O45" s="579">
        <v>4</v>
      </c>
      <c r="P45" s="580">
        <f>P36</f>
        <v>18</v>
      </c>
      <c r="V45" s="16"/>
    </row>
    <row r="46" spans="1:23">
      <c r="A46" s="719"/>
      <c r="B46" s="719"/>
      <c r="C46" s="720"/>
      <c r="D46" s="721"/>
      <c r="E46" s="721"/>
      <c r="F46" s="721"/>
      <c r="G46" s="721"/>
      <c r="H46" s="721"/>
      <c r="I46" s="722"/>
      <c r="J46" s="723"/>
      <c r="K46" s="723"/>
      <c r="L46" s="723"/>
      <c r="O46" s="579">
        <v>5</v>
      </c>
      <c r="P46" s="580">
        <f>P33</f>
        <v>22</v>
      </c>
      <c r="V46" s="16"/>
    </row>
    <row r="47" spans="1:23">
      <c r="A47" s="19" t="s">
        <v>31</v>
      </c>
      <c r="L47" s="22" t="s">
        <v>653</v>
      </c>
      <c r="O47" s="579">
        <v>6</v>
      </c>
      <c r="P47" s="580">
        <f>P34</f>
        <v>26</v>
      </c>
    </row>
    <row r="48" spans="1:23">
      <c r="L48" s="4" t="s">
        <v>30</v>
      </c>
    </row>
    <row r="53" spans="1:15">
      <c r="O53" s="17"/>
    </row>
    <row r="58" spans="1:15">
      <c r="A58" s="18"/>
    </row>
    <row r="59" spans="1:15">
      <c r="A59" s="18"/>
    </row>
    <row r="60" spans="1:15">
      <c r="A60" s="18"/>
    </row>
    <row r="61" spans="1:15">
      <c r="O61" s="17"/>
    </row>
    <row r="62" spans="1:15">
      <c r="A62" s="18"/>
    </row>
    <row r="63" spans="1:15">
      <c r="O63" s="18"/>
    </row>
    <row r="64" spans="1:15">
      <c r="O64" s="18"/>
    </row>
    <row r="65" spans="15:15">
      <c r="O65" s="18"/>
    </row>
    <row r="66" spans="15:15">
      <c r="O66" s="18"/>
    </row>
    <row r="67" spans="15:15">
      <c r="O67" s="18"/>
    </row>
    <row r="68" spans="15:15">
      <c r="O68" s="18"/>
    </row>
    <row r="70" spans="15:15">
      <c r="O70" s="18"/>
    </row>
    <row r="76" spans="15:15">
      <c r="O76" s="18"/>
    </row>
    <row r="77" spans="15:15">
      <c r="O77" s="18"/>
    </row>
    <row r="78" spans="15:15">
      <c r="O78" s="18"/>
    </row>
    <row r="79" spans="15:15">
      <c r="O79" s="18"/>
    </row>
    <row r="81" spans="15:15">
      <c r="O81" s="18"/>
    </row>
    <row r="83" spans="15:15">
      <c r="O83" s="18"/>
    </row>
  </sheetData>
  <mergeCells count="147">
    <mergeCell ref="D3:F3"/>
    <mergeCell ref="B5:F5"/>
    <mergeCell ref="G5:H5"/>
    <mergeCell ref="J5:L5"/>
    <mergeCell ref="B6:D6"/>
    <mergeCell ref="E6:F6"/>
    <mergeCell ref="G6:H6"/>
    <mergeCell ref="I6:L6"/>
    <mergeCell ref="B9:E9"/>
    <mergeCell ref="F9:G9"/>
    <mergeCell ref="H9:L9"/>
    <mergeCell ref="B8:D8"/>
    <mergeCell ref="E8:F8"/>
    <mergeCell ref="A10:L10"/>
    <mergeCell ref="A11:F11"/>
    <mergeCell ref="G11:L11"/>
    <mergeCell ref="B7:D7"/>
    <mergeCell ref="E7:F7"/>
    <mergeCell ref="G7:H7"/>
    <mergeCell ref="I7:L7"/>
    <mergeCell ref="G8:H8"/>
    <mergeCell ref="I8:L8"/>
    <mergeCell ref="E14:F14"/>
    <mergeCell ref="G14:I14"/>
    <mergeCell ref="J14:L14"/>
    <mergeCell ref="B15:D15"/>
    <mergeCell ref="E15:F15"/>
    <mergeCell ref="G15:I15"/>
    <mergeCell ref="J15:L15"/>
    <mergeCell ref="A12:D12"/>
    <mergeCell ref="E12:F12"/>
    <mergeCell ref="G12:I12"/>
    <mergeCell ref="J12:L12"/>
    <mergeCell ref="A13:A20"/>
    <mergeCell ref="B13:D13"/>
    <mergeCell ref="E13:F13"/>
    <mergeCell ref="G13:I13"/>
    <mergeCell ref="J13:L13"/>
    <mergeCell ref="B14:D14"/>
    <mergeCell ref="B18:D18"/>
    <mergeCell ref="E18:F18"/>
    <mergeCell ref="G18:I18"/>
    <mergeCell ref="J18:L18"/>
    <mergeCell ref="B19:D19"/>
    <mergeCell ref="E19:F19"/>
    <mergeCell ref="G19:I19"/>
    <mergeCell ref="J19:L19"/>
    <mergeCell ref="B16:D16"/>
    <mergeCell ref="E16:F16"/>
    <mergeCell ref="G16:I16"/>
    <mergeCell ref="J16:L16"/>
    <mergeCell ref="B17:D17"/>
    <mergeCell ref="E17:F17"/>
    <mergeCell ref="G17:I17"/>
    <mergeCell ref="J17:L17"/>
    <mergeCell ref="B20:D20"/>
    <mergeCell ref="E20:F20"/>
    <mergeCell ref="G20:I20"/>
    <mergeCell ref="J20:L20"/>
    <mergeCell ref="A21:A25"/>
    <mergeCell ref="B21:D21"/>
    <mergeCell ref="E21:F21"/>
    <mergeCell ref="G21:I21"/>
    <mergeCell ref="J21:L21"/>
    <mergeCell ref="B22:D22"/>
    <mergeCell ref="B24:D24"/>
    <mergeCell ref="E24:F24"/>
    <mergeCell ref="G24:I24"/>
    <mergeCell ref="J24:L24"/>
    <mergeCell ref="B25:D25"/>
    <mergeCell ref="E25:F25"/>
    <mergeCell ref="G25:I25"/>
    <mergeCell ref="J25:L25"/>
    <mergeCell ref="E22:F22"/>
    <mergeCell ref="G22:I22"/>
    <mergeCell ref="J22:L22"/>
    <mergeCell ref="B23:D23"/>
    <mergeCell ref="E23:F23"/>
    <mergeCell ref="G23:I23"/>
    <mergeCell ref="J23:L23"/>
    <mergeCell ref="A28:B28"/>
    <mergeCell ref="C28:E28"/>
    <mergeCell ref="F28:G28"/>
    <mergeCell ref="I28:K28"/>
    <mergeCell ref="A29:B29"/>
    <mergeCell ref="C29:E29"/>
    <mergeCell ref="F29:G29"/>
    <mergeCell ref="A26:D26"/>
    <mergeCell ref="E26:F26"/>
    <mergeCell ref="G26:I26"/>
    <mergeCell ref="J26:L26"/>
    <mergeCell ref="A27:B27"/>
    <mergeCell ref="C27:E27"/>
    <mergeCell ref="G27:I27"/>
    <mergeCell ref="J27:L27"/>
    <mergeCell ref="I29:K29"/>
    <mergeCell ref="A32:L32"/>
    <mergeCell ref="A33:B33"/>
    <mergeCell ref="C33:I33"/>
    <mergeCell ref="J33:L33"/>
    <mergeCell ref="A34:B34"/>
    <mergeCell ref="C34:D34"/>
    <mergeCell ref="J34:L34"/>
    <mergeCell ref="A30:B30"/>
    <mergeCell ref="C30:E30"/>
    <mergeCell ref="F30:G30"/>
    <mergeCell ref="H30:J30"/>
    <mergeCell ref="K30:L30"/>
    <mergeCell ref="C31:E31"/>
    <mergeCell ref="F31:G31"/>
    <mergeCell ref="H31:J31"/>
    <mergeCell ref="K31:L31"/>
    <mergeCell ref="A37:B37"/>
    <mergeCell ref="C37:D37"/>
    <mergeCell ref="J37:L37"/>
    <mergeCell ref="A38:B38"/>
    <mergeCell ref="C38:I38"/>
    <mergeCell ref="J38:L38"/>
    <mergeCell ref="A35:B35"/>
    <mergeCell ref="C35:D35"/>
    <mergeCell ref="J35:L35"/>
    <mergeCell ref="A36:B36"/>
    <mergeCell ref="C36:D36"/>
    <mergeCell ref="J36:L36"/>
    <mergeCell ref="A42:B42"/>
    <mergeCell ref="C42:I42"/>
    <mergeCell ref="J42:L42"/>
    <mergeCell ref="A43:B43"/>
    <mergeCell ref="C43:I43"/>
    <mergeCell ref="J43:L43"/>
    <mergeCell ref="A39:B39"/>
    <mergeCell ref="C39:I39"/>
    <mergeCell ref="J39:L39"/>
    <mergeCell ref="C40:I40"/>
    <mergeCell ref="J40:L40"/>
    <mergeCell ref="A41:B41"/>
    <mergeCell ref="C41:I41"/>
    <mergeCell ref="J41:L41"/>
    <mergeCell ref="A46:B46"/>
    <mergeCell ref="C46:I46"/>
    <mergeCell ref="J46:L46"/>
    <mergeCell ref="A44:B44"/>
    <mergeCell ref="C44:I44"/>
    <mergeCell ref="J44:L44"/>
    <mergeCell ref="A45:B45"/>
    <mergeCell ref="C45:I45"/>
    <mergeCell ref="J45:L45"/>
  </mergeCells>
  <phoneticPr fontId="2" type="noConversion"/>
  <conditionalFormatting sqref="F31:G31">
    <cfRule type="cellIs" dxfId="130" priority="74" operator="greaterThan">
      <formula>52</formula>
    </cfRule>
  </conditionalFormatting>
  <conditionalFormatting sqref="C31:E31">
    <cfRule type="cellIs" dxfId="129" priority="73" operator="greaterThan">
      <formula>261</formula>
    </cfRule>
  </conditionalFormatting>
  <conditionalFormatting sqref="H28">
    <cfRule type="cellIs" dxfId="128" priority="34" operator="equal">
      <formula>8</formula>
    </cfRule>
    <cfRule type="cellIs" dxfId="127" priority="70" operator="greaterThan">
      <formula>40</formula>
    </cfRule>
  </conditionalFormatting>
  <conditionalFormatting sqref="H28">
    <cfRule type="cellIs" dxfId="126" priority="65" operator="greaterThan">
      <formula>8</formula>
    </cfRule>
  </conditionalFormatting>
  <conditionalFormatting sqref="N13">
    <cfRule type="cellIs" dxfId="125" priority="62" operator="greaterThan">
      <formula>59</formula>
    </cfRule>
  </conditionalFormatting>
  <conditionalFormatting sqref="N16">
    <cfRule type="cellIs" dxfId="124" priority="61" operator="greaterThan">
      <formula>64</formula>
    </cfRule>
  </conditionalFormatting>
  <conditionalFormatting sqref="H29">
    <cfRule type="cellIs" dxfId="123" priority="33" operator="equal">
      <formula>5</formula>
    </cfRule>
    <cfRule type="cellIs" dxfId="122" priority="43" operator="lessThan">
      <formula>5</formula>
    </cfRule>
    <cfRule type="cellIs" dxfId="121" priority="60" operator="greaterThan">
      <formula>40</formula>
    </cfRule>
  </conditionalFormatting>
  <conditionalFormatting sqref="H29">
    <cfRule type="cellIs" dxfId="120" priority="58" operator="greaterThan">
      <formula>40</formula>
    </cfRule>
  </conditionalFormatting>
  <conditionalFormatting sqref="I28">
    <cfRule type="cellIs" dxfId="119" priority="35" operator="greaterThan">
      <formula>40</formula>
    </cfRule>
  </conditionalFormatting>
  <conditionalFormatting sqref="C29:E29">
    <cfRule type="cellIs" dxfId="118" priority="31" operator="equal">
      <formula>9160</formula>
    </cfRule>
    <cfRule type="cellIs" dxfId="117" priority="32" operator="lessThan">
      <formula>9160</formula>
    </cfRule>
  </conditionalFormatting>
  <conditionalFormatting sqref="I29">
    <cfRule type="cellIs" dxfId="116" priority="29" operator="greaterThan">
      <formula>40</formula>
    </cfRule>
  </conditionalFormatting>
  <conditionalFormatting sqref="I29:K29">
    <cfRule type="cellIs" dxfId="115" priority="25" operator="equal">
      <formula>40</formula>
    </cfRule>
    <cfRule type="cellIs" dxfId="114" priority="26" operator="lessThan">
      <formula>15</formula>
    </cfRule>
    <cfRule type="cellIs" dxfId="113" priority="27" operator="greaterThan">
      <formula>40</formula>
    </cfRule>
    <cfRule type="cellIs" dxfId="112" priority="28" operator="lessThan">
      <formula>15</formula>
    </cfRule>
  </conditionalFormatting>
  <conditionalFormatting sqref="L28">
    <cfRule type="cellIs" dxfId="111" priority="24" operator="greaterThan">
      <formula>209</formula>
    </cfRule>
  </conditionalFormatting>
  <conditionalFormatting sqref="M31">
    <cfRule type="cellIs" dxfId="110" priority="18" operator="lessThan">
      <formula>209</formula>
    </cfRule>
    <cfRule type="cellIs" dxfId="109" priority="19" operator="equal">
      <formula>209</formula>
    </cfRule>
    <cfRule type="cellIs" dxfId="108" priority="20" operator="greaterThan">
      <formula>209</formula>
    </cfRule>
    <cfRule type="cellIs" dxfId="107" priority="21" operator="greaterThan">
      <formula>209</formula>
    </cfRule>
    <cfRule type="cellIs" dxfId="106" priority="22" operator="greaterThan">
      <formula>209</formula>
    </cfRule>
  </conditionalFormatting>
  <conditionalFormatting sqref="L29">
    <cfRule type="cellIs" dxfId="105" priority="13" operator="lessThan">
      <formula>209</formula>
    </cfRule>
    <cfRule type="cellIs" dxfId="104" priority="14" operator="equal">
      <formula>209</formula>
    </cfRule>
    <cfRule type="cellIs" dxfId="103" priority="15" operator="greaterThan">
      <formula>209</formula>
    </cfRule>
    <cfRule type="cellIs" dxfId="102" priority="16" operator="greaterThan">
      <formula>209</formula>
    </cfRule>
    <cfRule type="cellIs" dxfId="101" priority="17" operator="greaterThan">
      <formula>209</formula>
    </cfRule>
  </conditionalFormatting>
  <conditionalFormatting sqref="B8:D8">
    <cfRule type="cellIs" dxfId="100" priority="6" operator="lessThan">
      <formula>$B$7</formula>
    </cfRule>
  </conditionalFormatting>
  <conditionalFormatting sqref="C27:E27">
    <cfRule type="cellIs" dxfId="99" priority="5" operator="lessThan">
      <formula>0</formula>
    </cfRule>
  </conditionalFormatting>
  <conditionalFormatting sqref="C34:D37">
    <cfRule type="cellIs" dxfId="98" priority="4" operator="lessThan">
      <formula>0</formula>
    </cfRule>
  </conditionalFormatting>
  <conditionalFormatting sqref="M32">
    <cfRule type="cellIs" dxfId="97" priority="3" operator="lessThan">
      <formula>9160</formula>
    </cfRule>
  </conditionalFormatting>
  <conditionalFormatting sqref="T17">
    <cfRule type="cellIs" dxfId="96" priority="1" operator="lessThan">
      <formula>9160</formula>
    </cfRule>
  </conditionalFormatting>
  <dataValidations count="9">
    <dataValidation allowBlank="1" showInputMessage="1" showErrorMessage="1" promptTitle="귀속월" prompt="귀속월의 실제 근무일수 기재" sqref="A31:B31" xr:uid="{D651F113-5910-44E5-B651-526BE3E4C7C7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3D83FE49-E543-427B-88E1-FFD690DC4EEE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L29" xr:uid="{FEAA0EC5-718E-4A9D-9419-5AEEA81E3425}"/>
    <dataValidation allowBlank="1" showInputMessage="1" showErrorMessage="1" promptTitle="주40시간 기준" prompt="주12시간 연장근로 초과 금지_x000a_225.952381시간 초과 금지?_x000a_261시간 초과 금지 ?" sqref="C31:E31" xr:uid="{D0BA338C-BB63-4AAF-90CA-D601B0E44AA0}"/>
    <dataValidation allowBlank="1" showInputMessage="1" showErrorMessage="1" promptTitle="주40시간기준" prompt="52시간 초과금지_x000a_근로기준법 제53조(연장 근로의 제한)" sqref="F31:G31" xr:uid="{F705D3A6-EA21-4B1F-B7EB-2375625636A3}"/>
    <dataValidation allowBlank="1" showInputMessage="1" showErrorMessage="1" promptTitle="1주" prompt="7. &quot;1주&quot;란 휴일을 포함한 7일을 말한다." sqref="H29" xr:uid="{37B1BD23-F724-446A-BE45-E4866568CF57}"/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5:B35" xr:uid="{BCC47757-5D81-4565-82DF-8E3C2867225F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4:B34" xr:uid="{69C521E7-0379-4C30-8D82-BBF4209D60E4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6:B37" xr:uid="{DD64FF37-7218-442B-9F9C-197AD09A315B}"/>
  </dataValidations>
  <hyperlinks>
    <hyperlink ref="M12" r:id="rId1" xr:uid="{8DD13896-D802-4285-894B-A4D554F2B74F}"/>
    <hyperlink ref="O12" r:id="rId2" xr:uid="{89BFBEAC-99BC-47B5-AEF7-1E00E0DAE1D7}"/>
    <hyperlink ref="G16:H16" r:id="rId3" display="고용보험료" xr:uid="{98A5E372-06F1-40AB-9627-23C1747FFA08}"/>
    <hyperlink ref="M27" r:id="rId4" xr:uid="{E88D558A-1338-49D7-838A-8DC9F7E5EAFA}"/>
    <hyperlink ref="M24" r:id="rId5" xr:uid="{9CC20FD9-C47C-4075-BD81-3EF2A1624E1C}"/>
    <hyperlink ref="O16" r:id="rId6" display="https://blog.naver.com/hope-pys/222547604214" xr:uid="{8C5D976B-7B2E-4654-8601-F056B32EFFDD}"/>
    <hyperlink ref="A28:B28" r:id="rId7" display="통상시급" xr:uid="{02E8EBDC-90D0-4B46-8BEB-FCA6EFBFAAAA}"/>
    <hyperlink ref="N3" r:id="rId8" xr:uid="{E4A8E6AD-0334-4A6F-BFE5-30A36E7CB4A6}"/>
    <hyperlink ref="P16" r:id="rId9" xr:uid="{E6F2FDFF-6A22-4FAB-B9EB-D5E8CC7D3F66}"/>
    <hyperlink ref="O6" r:id="rId10" xr:uid="{9FF4CAAB-427B-424D-9977-E1817283CDE2}"/>
    <hyperlink ref="Q18" location="최저임금!A1" display="최저임금은" xr:uid="{E3A3C997-13A8-4ADE-8444-7DB0F7C26ADE}"/>
    <hyperlink ref="O18" r:id="rId11" xr:uid="{0583B285-09BD-4E8A-AF2F-9F916BB21021}"/>
    <hyperlink ref="B21:D21" r:id="rId12" display="연차휴가수당" xr:uid="{C3D0E5E7-73B6-4D73-97D7-D8C24597ABE2}"/>
    <hyperlink ref="A32:L32" r:id="rId13" display="계산 방법" xr:uid="{04BB5A8F-2E0B-4A94-8158-FDE5542C9926}"/>
    <hyperlink ref="R43" r:id="rId14" display="1년 계약직 연차 11일 (대법원2021다227100)" xr:uid="{14C4F9D6-C743-4A0B-911A-5122CD50DD53}"/>
    <hyperlink ref="O32" r:id="rId15" xr:uid="{E949A334-4550-422E-AD7B-B1F00455A3A1}"/>
    <hyperlink ref="N16" r:id="rId16" display="https://cafe.daum.net/transtax/FWkz/224" xr:uid="{BC63014C-1F82-41A6-AEC2-FF3E2740F470}"/>
    <hyperlink ref="P10" r:id="rId17" xr:uid="{7DCB3E08-2C44-4892-AEB9-125D9ECDC771}"/>
    <hyperlink ref="G12:I12" r:id="rId18" display="공제 항목" xr:uid="{51534A16-8E31-4299-8D35-EC3979B29950}"/>
    <hyperlink ref="A29:B29" r:id="rId19" display="통상임금-시급" xr:uid="{8ECFBC08-895B-4BF7-B43A-056514CE3DEF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96" orientation="portrait" verticalDpi="0" r:id="rId20"/>
  <drawing r:id="rId21"/>
  <legacyDrawing r:id="rId2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1425" r:id="rId23" name="Group Box 1">
              <controlPr defaultSize="0" autoFill="0" autoPict="0">
                <anchor moveWithCells="1">
                  <from>
                    <xdr:col>13</xdr:col>
                    <xdr:colOff>466725</xdr:colOff>
                    <xdr:row>24</xdr:row>
                    <xdr:rowOff>95250</xdr:rowOff>
                  </from>
                  <to>
                    <xdr:col>16</xdr:col>
                    <xdr:colOff>495300</xdr:colOff>
                    <xdr:row>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26" r:id="rId24" name="Option Button 2">
              <controlPr defaultSize="0" autoFill="0" autoLine="0" autoPict="0">
                <anchor moveWithCells="1">
                  <from>
                    <xdr:col>13</xdr:col>
                    <xdr:colOff>590550</xdr:colOff>
                    <xdr:row>25</xdr:row>
                    <xdr:rowOff>152400</xdr:rowOff>
                  </from>
                  <to>
                    <xdr:col>14</xdr:col>
                    <xdr:colOff>1171575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28" r:id="rId25" name="Group Box 4">
              <controlPr defaultSize="0" autoFill="0" autoPict="0">
                <anchor moveWithCells="1">
                  <from>
                    <xdr:col>17</xdr:col>
                    <xdr:colOff>142875</xdr:colOff>
                    <xdr:row>24</xdr:row>
                    <xdr:rowOff>114300</xdr:rowOff>
                  </from>
                  <to>
                    <xdr:col>21</xdr:col>
                    <xdr:colOff>161925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29" r:id="rId26" name="Option Button 5">
              <controlPr defaultSize="0" autoFill="0" autoLine="0" autoPict="0">
                <anchor moveWithCells="1">
                  <from>
                    <xdr:col>17</xdr:col>
                    <xdr:colOff>314325</xdr:colOff>
                    <xdr:row>25</xdr:row>
                    <xdr:rowOff>152400</xdr:rowOff>
                  </from>
                  <to>
                    <xdr:col>19</xdr:col>
                    <xdr:colOff>247650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30" r:id="rId27" name="Option Button 6">
              <controlPr defaultSize="0" autoFill="0" autoLine="0" autoPict="0">
                <anchor moveWithCells="1">
                  <from>
                    <xdr:col>19</xdr:col>
                    <xdr:colOff>409575</xdr:colOff>
                    <xdr:row>25</xdr:row>
                    <xdr:rowOff>180975</xdr:rowOff>
                  </from>
                  <to>
                    <xdr:col>20</xdr:col>
                    <xdr:colOff>962025</xdr:colOff>
                    <xdr:row>26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66" r:id="rId28" name="Option Button 42">
              <controlPr defaultSize="0" autoFill="0" autoLine="0" autoPict="0">
                <anchor moveWithCells="1">
                  <from>
                    <xdr:col>14</xdr:col>
                    <xdr:colOff>1400175</xdr:colOff>
                    <xdr:row>25</xdr:row>
                    <xdr:rowOff>171450</xdr:rowOff>
                  </from>
                  <to>
                    <xdr:col>15</xdr:col>
                    <xdr:colOff>981075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3" r:id="rId29" name="Group Box 49">
              <controlPr defaultSize="0" autoFill="0" autoPict="0">
                <anchor moveWithCells="1">
                  <from>
                    <xdr:col>17</xdr:col>
                    <xdr:colOff>180975</xdr:colOff>
                    <xdr:row>29</xdr:row>
                    <xdr:rowOff>95250</xdr:rowOff>
                  </from>
                  <to>
                    <xdr:col>21</xdr:col>
                    <xdr:colOff>171450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4" r:id="rId30" name="Option Button 50">
              <controlPr defaultSize="0" autoFill="0" autoLine="0" autoPict="0">
                <anchor moveWithCells="1">
                  <from>
                    <xdr:col>17</xdr:col>
                    <xdr:colOff>419100</xdr:colOff>
                    <xdr:row>30</xdr:row>
                    <xdr:rowOff>200025</xdr:rowOff>
                  </from>
                  <to>
                    <xdr:col>18</xdr:col>
                    <xdr:colOff>581025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5" r:id="rId31" name="Option Button 51">
              <controlPr defaultSize="0" autoFill="0" autoLine="0" autoPict="0">
                <anchor moveWithCells="1">
                  <from>
                    <xdr:col>19</xdr:col>
                    <xdr:colOff>400050</xdr:colOff>
                    <xdr:row>30</xdr:row>
                    <xdr:rowOff>180975</xdr:rowOff>
                  </from>
                  <to>
                    <xdr:col>20</xdr:col>
                    <xdr:colOff>438150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6" r:id="rId32" name="Group Box 52">
              <controlPr defaultSize="0" autoFill="0" autoPict="0">
                <anchor moveWithCells="1">
                  <from>
                    <xdr:col>17</xdr:col>
                    <xdr:colOff>180975</xdr:colOff>
                    <xdr:row>34</xdr:row>
                    <xdr:rowOff>95250</xdr:rowOff>
                  </from>
                  <to>
                    <xdr:col>21</xdr:col>
                    <xdr:colOff>190500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7" r:id="rId33" name="Option Button 53">
              <controlPr defaultSize="0" autoFill="0" autoLine="0" autoPict="0">
                <anchor moveWithCells="1">
                  <from>
                    <xdr:col>17</xdr:col>
                    <xdr:colOff>409575</xdr:colOff>
                    <xdr:row>36</xdr:row>
                    <xdr:rowOff>38100</xdr:rowOff>
                  </from>
                  <to>
                    <xdr:col>18</xdr:col>
                    <xdr:colOff>438150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8" r:id="rId34" name="Option Button 54">
              <controlPr defaultSize="0" autoFill="0" autoLine="0" autoPict="0">
                <anchor moveWithCells="1">
                  <from>
                    <xdr:col>19</xdr:col>
                    <xdr:colOff>447675</xdr:colOff>
                    <xdr:row>36</xdr:row>
                    <xdr:rowOff>19050</xdr:rowOff>
                  </from>
                  <to>
                    <xdr:col>20</xdr:col>
                    <xdr:colOff>571500</xdr:colOff>
                    <xdr:row>37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02306-25DF-4051-B4E8-A6C88E6B3824}">
  <sheetPr codeName="Sheet11">
    <tabColor theme="9" tint="-0.499984740745262"/>
    <pageSetUpPr fitToPage="1"/>
  </sheetPr>
  <dimension ref="A1:W132"/>
  <sheetViews>
    <sheetView showGridLines="0" topLeftCell="A7" workbookViewId="0">
      <selection activeCell="S17" sqref="S17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2.125" customWidth="1"/>
    <col min="9" max="9" width="6.5" customWidth="1"/>
    <col min="10" max="10" width="1.625" customWidth="1"/>
    <col min="11" max="11" width="4" customWidth="1"/>
    <col min="12" max="12" width="12.125" customWidth="1"/>
    <col min="13" max="13" width="9.25" customWidth="1"/>
    <col min="14" max="14" width="12.125" customWidth="1"/>
    <col min="15" max="15" width="16.75" customWidth="1"/>
    <col min="16" max="16" width="15" customWidth="1"/>
    <col min="21" max="21" width="12.75" customWidth="1"/>
    <col min="22" max="22" width="9.375" bestFit="1" customWidth="1"/>
  </cols>
  <sheetData>
    <row r="1" spans="1:23">
      <c r="A1" s="3" t="s">
        <v>0</v>
      </c>
      <c r="N1" s="510">
        <f>IF(B7&gt;EOMONTH($D$3,-1)+1,B7,EOMONTH($D$3,-1)+1)</f>
        <v>44501</v>
      </c>
      <c r="O1" s="511">
        <f>IF(AND($B$8&lt;&gt;"",$B$8&lt;EOMONTH($D$3,0)),$B$8,EOMONTH($D$3,0))</f>
        <v>44530</v>
      </c>
      <c r="S1" s="289"/>
    </row>
    <row r="2" spans="1:23" ht="8.25" customHeight="1"/>
    <row r="3" spans="1:23" ht="20.25">
      <c r="D3" s="888">
        <v>44501</v>
      </c>
      <c r="E3" s="888"/>
      <c r="F3" s="888"/>
      <c r="G3" s="5" t="s">
        <v>1</v>
      </c>
      <c r="J3" s="2"/>
      <c r="K3" s="2"/>
      <c r="L3" s="26" t="s">
        <v>1256</v>
      </c>
      <c r="N3" s="15" t="s">
        <v>1568</v>
      </c>
      <c r="O3" s="15"/>
      <c r="W3" s="36"/>
    </row>
    <row r="4" spans="1:23" ht="8.25" customHeight="1">
      <c r="W4" s="36"/>
    </row>
    <row r="5" spans="1:23">
      <c r="A5" t="s">
        <v>12</v>
      </c>
      <c r="B5" s="889" t="s">
        <v>47</v>
      </c>
      <c r="C5" s="889"/>
      <c r="D5" s="889"/>
      <c r="E5" s="889"/>
      <c r="F5" s="889"/>
      <c r="G5" s="714" t="s">
        <v>11</v>
      </c>
      <c r="H5" s="714"/>
      <c r="I5" s="402"/>
      <c r="J5" s="890">
        <v>44530</v>
      </c>
      <c r="K5" s="890"/>
      <c r="L5" s="890"/>
      <c r="O5" s="430">
        <f>DATEDIF($B$7,$O$1,"y")</f>
        <v>0</v>
      </c>
    </row>
    <row r="6" spans="1:23">
      <c r="A6" s="403" t="s">
        <v>2</v>
      </c>
      <c r="B6" s="881" t="s">
        <v>19</v>
      </c>
      <c r="C6" s="884"/>
      <c r="D6" s="885"/>
      <c r="E6" s="891" t="s">
        <v>652</v>
      </c>
      <c r="F6" s="880"/>
      <c r="G6" s="892">
        <v>26961</v>
      </c>
      <c r="H6" s="893"/>
      <c r="I6" s="933">
        <v>1</v>
      </c>
      <c r="J6" s="934"/>
      <c r="K6" s="934"/>
      <c r="L6" s="935"/>
      <c r="N6" s="420" t="s">
        <v>1459</v>
      </c>
      <c r="O6" s="431" t="s">
        <v>1510</v>
      </c>
    </row>
    <row r="7" spans="1:23">
      <c r="A7" s="403" t="s">
        <v>33</v>
      </c>
      <c r="B7" s="878">
        <v>44501</v>
      </c>
      <c r="C7" s="878"/>
      <c r="D7" s="878"/>
      <c r="E7" s="879" t="s">
        <v>34</v>
      </c>
      <c r="F7" s="880"/>
      <c r="G7" s="881" t="s">
        <v>46</v>
      </c>
      <c r="H7" s="882"/>
      <c r="I7" s="883" t="s">
        <v>45</v>
      </c>
      <c r="J7" s="884"/>
      <c r="K7" s="884"/>
      <c r="L7" s="885"/>
      <c r="N7" s="502" t="str">
        <f>IF($D$3="","",DATEDIF($B$7,$O$1+1,"Y") &amp; "년 " &amp; DATEDIF($B$7,$O$1+1,"YM") &amp; "개월 "&amp; IF(OR(VALUE(TEXT($B$7,"dd"))-1=VALUE(TEXT($O$1,"dd")),TEXT($B$7,"dd")="01"),"",DATEDIF($B$7,$O$1,"MD")+1 &amp; "일"))</f>
        <v xml:space="preserve">0년 1개월 </v>
      </c>
      <c r="O7" s="429" t="str">
        <f>IF(O5=0,"입사후 근무월 개수",VLOOKUP(O5,연차,2))</f>
        <v>입사후 근무월 개수</v>
      </c>
    </row>
    <row r="8" spans="1:23" ht="16.5" customHeight="1">
      <c r="A8" s="482" t="s">
        <v>1655</v>
      </c>
      <c r="B8" s="878"/>
      <c r="C8" s="878"/>
      <c r="D8" s="878"/>
      <c r="E8" s="897" t="s">
        <v>1653</v>
      </c>
      <c r="F8" s="898"/>
      <c r="G8" s="886" t="s">
        <v>1654</v>
      </c>
      <c r="H8" s="887"/>
      <c r="I8" s="883" t="s">
        <v>1253</v>
      </c>
      <c r="J8" s="884"/>
      <c r="K8" s="884"/>
      <c r="L8" s="885"/>
      <c r="N8" s="500" t="str">
        <f>IF(B8-B7&gt;=355,"퇴직금대상 check","")</f>
        <v/>
      </c>
      <c r="O8" s="174"/>
    </row>
    <row r="9" spans="1:23" ht="16.5" customHeight="1" thickBot="1">
      <c r="A9" s="337" t="s">
        <v>383</v>
      </c>
      <c r="B9" s="865" t="s">
        <v>1254</v>
      </c>
      <c r="C9" s="866"/>
      <c r="D9" s="866"/>
      <c r="E9" s="867"/>
      <c r="F9" s="868" t="s">
        <v>651</v>
      </c>
      <c r="G9" s="869"/>
      <c r="H9" s="870" t="s">
        <v>456</v>
      </c>
      <c r="I9" s="871"/>
      <c r="J9" s="871"/>
      <c r="K9" s="871"/>
      <c r="L9" s="872"/>
      <c r="N9" s="501" t="str">
        <f>IF(B8-B7&gt;=355,"미사용연차수당 check","")</f>
        <v/>
      </c>
      <c r="O9" s="16"/>
      <c r="P9" s="15" t="s">
        <v>1804</v>
      </c>
    </row>
    <row r="10" spans="1:23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</row>
    <row r="11" spans="1:23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6"/>
      <c r="K11" s="876"/>
      <c r="L11" s="877"/>
      <c r="M11" t="s">
        <v>1167</v>
      </c>
      <c r="P11" s="10" t="s">
        <v>1805</v>
      </c>
      <c r="T11" s="289"/>
    </row>
    <row r="12" spans="1:23" s="404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6"/>
      <c r="I12" s="857"/>
      <c r="J12" s="858" t="s">
        <v>10</v>
      </c>
      <c r="K12" s="859"/>
      <c r="L12" s="860"/>
      <c r="M12" s="296" t="s">
        <v>1165</v>
      </c>
      <c r="P12" s="296" t="s">
        <v>1166</v>
      </c>
    </row>
    <row r="13" spans="1:23" ht="16.5" customHeight="1">
      <c r="A13" s="861" t="s">
        <v>1271</v>
      </c>
      <c r="B13" s="837" t="s">
        <v>1263</v>
      </c>
      <c r="C13" s="838"/>
      <c r="D13" s="839"/>
      <c r="E13" s="826">
        <f>1803153</f>
        <v>1803153</v>
      </c>
      <c r="F13" s="827"/>
      <c r="G13" s="828" t="s">
        <v>26</v>
      </c>
      <c r="H13" s="829"/>
      <c r="I13" s="830"/>
      <c r="J13" s="787">
        <f>IF(N13&gt;=60,0,TRUNC(P19*O13,-1))</f>
        <v>118800</v>
      </c>
      <c r="K13" s="788"/>
      <c r="L13" s="789"/>
      <c r="M13" s="65">
        <f>J13/($E$26-IF($E$18&gt;100000,$E$18-100000,0)-IF($E$19&gt;100000,$E$19-100000,0)-IF($E$20&gt;100000,$E$20-100000,0))</f>
        <v>6.242167734613293E-2</v>
      </c>
      <c r="N13" s="351">
        <f>DATEDIF($G$6,$D$3,"y")</f>
        <v>48</v>
      </c>
      <c r="O13" s="299">
        <v>4.4999999999999998E-2</v>
      </c>
      <c r="P13" t="s">
        <v>459</v>
      </c>
      <c r="R13" t="s">
        <v>1170</v>
      </c>
    </row>
    <row r="14" spans="1:23">
      <c r="A14" s="717"/>
      <c r="B14" s="837" t="s">
        <v>1264</v>
      </c>
      <c r="C14" s="838"/>
      <c r="D14" s="839"/>
      <c r="E14" s="826">
        <v>0</v>
      </c>
      <c r="F14" s="827"/>
      <c r="G14" s="828" t="s">
        <v>28</v>
      </c>
      <c r="H14" s="829"/>
      <c r="I14" s="830"/>
      <c r="J14" s="787">
        <f>TRUNC(P19*O14,-1)</f>
        <v>90550</v>
      </c>
      <c r="K14" s="788"/>
      <c r="L14" s="789"/>
      <c r="M14" s="65">
        <f>J14/($E$26-IF($E$18&gt;100000,$E$18-100000,0)-IF($E$19&gt;100000,$E$19-100000,0)-IF($E$20&gt;100000,$E$20-100000,0))</f>
        <v>4.7578138751618995E-2</v>
      </c>
      <c r="N14" s="65"/>
      <c r="O14" s="698">
        <f>IF(AND(D3&gt;=44197,D3&lt;=44561),6.86%/2,6.99%/2)</f>
        <v>3.4300000000000004E-2</v>
      </c>
      <c r="P14" t="s">
        <v>459</v>
      </c>
    </row>
    <row r="15" spans="1:23">
      <c r="A15" s="717"/>
      <c r="B15" s="837" t="s">
        <v>1265</v>
      </c>
      <c r="C15" s="838"/>
      <c r="D15" s="839"/>
      <c r="E15" s="826">
        <v>0</v>
      </c>
      <c r="F15" s="827"/>
      <c r="G15" s="828" t="s">
        <v>36</v>
      </c>
      <c r="H15" s="829"/>
      <c r="I15" s="830"/>
      <c r="J15" s="787">
        <f>TRUNC(J14*O15,-1)</f>
        <v>10430</v>
      </c>
      <c r="K15" s="788"/>
      <c r="L15" s="789"/>
      <c r="M15" s="65">
        <f>J15/($E$26-IF($E$18&gt;100000,$E$18-100000,0)-IF($E$19&gt;100000,$E$19-100000,0)-IF($E$20&gt;100000,$E$20-100000,0))</f>
        <v>5.480286992593994E-3</v>
      </c>
      <c r="N15" s="65">
        <f>J15/J14</f>
        <v>0.11518498067366097</v>
      </c>
      <c r="O15" s="299">
        <f>IF(AND(D3&gt;=44197,D3&lt;=44561),11.52%,12.27%)</f>
        <v>0.1152</v>
      </c>
      <c r="P15" t="s">
        <v>459</v>
      </c>
      <c r="R15" s="266">
        <f>SUM(M14:M15)</f>
        <v>5.3058425744212989E-2</v>
      </c>
    </row>
    <row r="16" spans="1:23" ht="17.25" thickBot="1">
      <c r="A16" s="717"/>
      <c r="B16" s="837" t="s">
        <v>1266</v>
      </c>
      <c r="C16" s="838"/>
      <c r="D16" s="839"/>
      <c r="E16" s="826">
        <v>0</v>
      </c>
      <c r="F16" s="827"/>
      <c r="G16" s="849" t="s">
        <v>37</v>
      </c>
      <c r="H16" s="850"/>
      <c r="I16" s="851"/>
      <c r="J16" s="787">
        <f>CHOOSE(R24,IF(N16&gt;=65,0,TRUNC(P19*O16,-1)),0)</f>
        <v>21120</v>
      </c>
      <c r="K16" s="788"/>
      <c r="L16" s="789"/>
      <c r="M16" s="65">
        <f>J16/($E$26-IF($E$18&gt;100000,$E$18-100000,0)-IF($E$19&gt;100000,$E$19-100000,0)-IF($E$20&gt;100000,$E$20-100000,0))</f>
        <v>1.1097187083756965E-2</v>
      </c>
      <c r="N16" s="617">
        <f>DATEDIF($G$6,B7,"y")</f>
        <v>48</v>
      </c>
      <c r="O16" s="366">
        <v>8.0000000000000002E-3</v>
      </c>
      <c r="P16" s="15" t="s">
        <v>1390</v>
      </c>
      <c r="S16" t="s">
        <v>1723</v>
      </c>
    </row>
    <row r="17" spans="1:23" ht="17.25" thickBot="1">
      <c r="A17" s="717"/>
      <c r="B17" s="837" t="s">
        <v>1267</v>
      </c>
      <c r="C17" s="838"/>
      <c r="D17" s="839"/>
      <c r="E17" s="826">
        <f>J36</f>
        <v>0</v>
      </c>
      <c r="F17" s="827"/>
      <c r="G17" s="828" t="s">
        <v>38</v>
      </c>
      <c r="H17" s="829"/>
      <c r="I17" s="830"/>
      <c r="J17" s="787"/>
      <c r="K17" s="788"/>
      <c r="L17" s="789"/>
      <c r="M17" s="271">
        <f>SUM(M13:M16)</f>
        <v>0.12657729017410288</v>
      </c>
      <c r="O17" s="292">
        <f>SUM(O13:O14,O16)+(O14*O15)</f>
        <v>9.1251360000000017E-2</v>
      </c>
      <c r="P17" s="10"/>
      <c r="S17" s="704" t="s">
        <v>1876</v>
      </c>
      <c r="T17" s="628">
        <f>TRUNC(($C$28-$U$19-$V$19)/$L$29,0)</f>
        <v>8627</v>
      </c>
      <c r="U17" s="615" t="s">
        <v>1787</v>
      </c>
      <c r="V17" s="620" t="s">
        <v>1786</v>
      </c>
      <c r="W17" s="620" t="s">
        <v>1800</v>
      </c>
    </row>
    <row r="18" spans="1:23" ht="17.25" thickBot="1">
      <c r="A18" s="717"/>
      <c r="B18" s="823" t="s">
        <v>1281</v>
      </c>
      <c r="C18" s="824"/>
      <c r="D18" s="825"/>
      <c r="E18" s="826">
        <f>J34</f>
        <v>836819</v>
      </c>
      <c r="F18" s="827"/>
      <c r="G18" s="862" t="s">
        <v>43</v>
      </c>
      <c r="H18" s="863"/>
      <c r="I18" s="864"/>
      <c r="J18" s="787"/>
      <c r="K18" s="788"/>
      <c r="L18" s="789"/>
      <c r="N18" s="498">
        <v>0</v>
      </c>
      <c r="O18" s="456" t="s">
        <v>1274</v>
      </c>
      <c r="P18" s="499">
        <f>N18/12</f>
        <v>0</v>
      </c>
      <c r="Q18" s="15" t="s">
        <v>1566</v>
      </c>
      <c r="T18" s="551" t="s">
        <v>1798</v>
      </c>
      <c r="U18" s="619">
        <f>VLOOKUP(YEAR(D3),최저임금!$O$44:$Q$49,3)</f>
        <v>54674</v>
      </c>
      <c r="V18" s="619">
        <f>VLOOKUP(YEAR(D3),최저임금!$O$44:$Q$49,2)</f>
        <v>273372</v>
      </c>
    </row>
    <row r="19" spans="1:23">
      <c r="A19" s="717"/>
      <c r="B19" s="823" t="s">
        <v>1283</v>
      </c>
      <c r="C19" s="824"/>
      <c r="D19" s="825"/>
      <c r="E19" s="826">
        <v>0</v>
      </c>
      <c r="F19" s="827"/>
      <c r="G19" s="862" t="s">
        <v>44</v>
      </c>
      <c r="H19" s="863"/>
      <c r="I19" s="864"/>
      <c r="J19" s="787"/>
      <c r="K19" s="788"/>
      <c r="L19" s="789"/>
      <c r="O19" s="268" t="s">
        <v>1146</v>
      </c>
      <c r="P19" s="283">
        <f>P21-P20</f>
        <v>2640004</v>
      </c>
      <c r="T19" s="702" t="s">
        <v>1796</v>
      </c>
      <c r="U19" s="618">
        <f>MAX((E16+E17)-U18,0)</f>
        <v>0</v>
      </c>
      <c r="V19" s="66">
        <f>MAX(IF(V18&lt;=(E22+E23),V18,0),0)</f>
        <v>0</v>
      </c>
      <c r="W19" s="622">
        <f>SUM(U19:V19)</f>
        <v>0</v>
      </c>
    </row>
    <row r="20" spans="1:23">
      <c r="A20" s="717"/>
      <c r="B20" s="823" t="s">
        <v>1282</v>
      </c>
      <c r="C20" s="824"/>
      <c r="D20" s="825"/>
      <c r="E20" s="826">
        <v>0</v>
      </c>
      <c r="F20" s="827"/>
      <c r="G20" s="828" t="s">
        <v>41</v>
      </c>
      <c r="H20" s="829"/>
      <c r="I20" s="830"/>
      <c r="J20" s="787"/>
      <c r="K20" s="788"/>
      <c r="L20" s="789"/>
      <c r="M20" s="680">
        <f>H28*N29</f>
        <v>45.625000000000007</v>
      </c>
      <c r="O20" s="268" t="s">
        <v>1147</v>
      </c>
      <c r="P20" s="283">
        <f>MIN(IF(AND(E15="",E15=0),0,E15),100000)+MIN(IF(AND(E16="",E16=0),0,E16),200000)+MIN(IF(AND(E17="",E17=0),0,E17),100000)</f>
        <v>0</v>
      </c>
      <c r="T20" s="702" t="s">
        <v>1797</v>
      </c>
      <c r="U20" s="618">
        <f>(E16+E17)-U19</f>
        <v>0</v>
      </c>
      <c r="V20" s="621">
        <f>E22+E23-V19</f>
        <v>0</v>
      </c>
      <c r="W20" s="622">
        <f>SUM(U20:V20)</f>
        <v>0</v>
      </c>
    </row>
    <row r="21" spans="1:23" ht="16.5" customHeight="1">
      <c r="A21" s="831" t="s">
        <v>1272</v>
      </c>
      <c r="B21" s="837" t="s">
        <v>1460</v>
      </c>
      <c r="C21" s="838"/>
      <c r="D21" s="839"/>
      <c r="E21" s="826"/>
      <c r="F21" s="827"/>
      <c r="G21" s="828" t="s">
        <v>39</v>
      </c>
      <c r="H21" s="829"/>
      <c r="I21" s="830"/>
      <c r="J21" s="787">
        <v>0</v>
      </c>
      <c r="K21" s="788"/>
      <c r="L21" s="789"/>
      <c r="M21" s="681">
        <f>I29*N29</f>
        <v>173.80952380952382</v>
      </c>
      <c r="O21" s="268" t="s">
        <v>1148</v>
      </c>
      <c r="P21" s="283">
        <f>E26</f>
        <v>2640004</v>
      </c>
      <c r="T21" s="702" t="s">
        <v>1799</v>
      </c>
      <c r="U21" s="68">
        <f>SUM(U19:U20)</f>
        <v>0</v>
      </c>
      <c r="V21" s="68">
        <f>SUM(V19:V20)</f>
        <v>0</v>
      </c>
      <c r="W21" s="622">
        <f>SUM(U21:V21)</f>
        <v>0</v>
      </c>
    </row>
    <row r="22" spans="1:23">
      <c r="A22" s="832"/>
      <c r="B22" s="837"/>
      <c r="C22" s="838"/>
      <c r="D22" s="839"/>
      <c r="E22" s="826"/>
      <c r="F22" s="827"/>
      <c r="G22" s="828" t="s">
        <v>40</v>
      </c>
      <c r="H22" s="829"/>
      <c r="I22" s="830"/>
      <c r="J22" s="787"/>
      <c r="K22" s="788"/>
      <c r="L22" s="789"/>
      <c r="M22" s="682">
        <f>SUM(M20:M21)</f>
        <v>219.43452380952382</v>
      </c>
      <c r="U22" s="22"/>
    </row>
    <row r="23" spans="1:23">
      <c r="A23" s="832"/>
      <c r="B23" s="837"/>
      <c r="C23" s="838"/>
      <c r="D23" s="839"/>
      <c r="E23" s="826"/>
      <c r="F23" s="827"/>
      <c r="G23" s="828"/>
      <c r="H23" s="829"/>
      <c r="I23" s="830"/>
      <c r="J23" s="787"/>
      <c r="K23" s="788"/>
      <c r="L23" s="789"/>
      <c r="O23" s="297" t="s">
        <v>1168</v>
      </c>
      <c r="P23" s="285">
        <f>P19</f>
        <v>2640004</v>
      </c>
    </row>
    <row r="24" spans="1:23">
      <c r="A24" s="832"/>
      <c r="B24" s="837"/>
      <c r="C24" s="838"/>
      <c r="D24" s="839"/>
      <c r="E24" s="826"/>
      <c r="F24" s="827"/>
      <c r="G24" s="840" t="s">
        <v>1275</v>
      </c>
      <c r="H24" s="841"/>
      <c r="I24" s="842"/>
      <c r="J24" s="843">
        <f>IF(P19&lt;=10000000,VLOOKUP(P19/1000,간이세액표2021,A38+B38+2),VLOOKUP(P19/1000,간이세액표2021,A38+B38+2)+VLOOKUP(P19,근로세율,3)+(P19-VLOOKUP(P19,근로세율,4))*VLOOKUP(P19,근로세율,5)*VLOOKUP(P19,근로세율,6))</f>
        <v>53610</v>
      </c>
      <c r="K24" s="844"/>
      <c r="L24" s="845"/>
      <c r="M24" s="15" t="s">
        <v>1276</v>
      </c>
      <c r="O24" s="298">
        <v>2</v>
      </c>
      <c r="R24" s="310">
        <v>1</v>
      </c>
      <c r="U24" s="22"/>
    </row>
    <row r="25" spans="1:23">
      <c r="A25" s="833"/>
      <c r="B25" s="837" t="s">
        <v>1268</v>
      </c>
      <c r="C25" s="838"/>
      <c r="D25" s="839"/>
      <c r="E25" s="929">
        <v>32</v>
      </c>
      <c r="F25" s="930"/>
      <c r="G25" s="840" t="s">
        <v>35</v>
      </c>
      <c r="H25" s="841"/>
      <c r="I25" s="842"/>
      <c r="J25" s="846">
        <f>TRUNC(J24*10%,-1)</f>
        <v>5360</v>
      </c>
      <c r="K25" s="847"/>
      <c r="L25" s="848"/>
    </row>
    <row r="26" spans="1:23" ht="17.25" thickBot="1">
      <c r="A26" s="802" t="s">
        <v>1273</v>
      </c>
      <c r="B26" s="803"/>
      <c r="C26" s="803"/>
      <c r="D26" s="804"/>
      <c r="E26" s="931">
        <f>SUM(E13:F25)</f>
        <v>2640004</v>
      </c>
      <c r="F26" s="932"/>
      <c r="G26" s="807" t="s">
        <v>15</v>
      </c>
      <c r="H26" s="808"/>
      <c r="I26" s="809"/>
      <c r="J26" s="787">
        <f>SUM(J13:L25)</f>
        <v>299870</v>
      </c>
      <c r="K26" s="788"/>
      <c r="L26" s="789"/>
      <c r="M26" s="627">
        <f>I29*N29</f>
        <v>173.80952380952382</v>
      </c>
    </row>
    <row r="27" spans="1:23" ht="17.25" thickBot="1">
      <c r="A27" s="926"/>
      <c r="B27" s="927"/>
      <c r="C27" s="928"/>
      <c r="D27" s="928"/>
      <c r="E27" s="928"/>
      <c r="F27" s="393"/>
      <c r="G27" s="815" t="s">
        <v>16</v>
      </c>
      <c r="H27" s="816"/>
      <c r="I27" s="817"/>
      <c r="J27" s="818">
        <f>E26-J26</f>
        <v>2340134</v>
      </c>
      <c r="K27" s="819"/>
      <c r="L27" s="820"/>
      <c r="M27" s="15" t="s">
        <v>1262</v>
      </c>
    </row>
    <row r="28" spans="1:23" ht="16.5" customHeight="1" outlineLevel="1">
      <c r="A28" s="790" t="s">
        <v>1453</v>
      </c>
      <c r="B28" s="791"/>
      <c r="C28" s="792">
        <f>(SUM(E13:F17)/R38)+P18</f>
        <v>1803153</v>
      </c>
      <c r="D28" s="792"/>
      <c r="E28" s="792"/>
      <c r="F28" s="793" t="s">
        <v>1458</v>
      </c>
      <c r="G28" s="794"/>
      <c r="H28" s="524">
        <v>10.5</v>
      </c>
      <c r="I28" s="795">
        <f>Q42</f>
        <v>22</v>
      </c>
      <c r="J28" s="796"/>
      <c r="K28" s="797"/>
      <c r="L28" s="409">
        <f>MIN(H28,8)*I28</f>
        <v>176</v>
      </c>
      <c r="M28" t="s">
        <v>1327</v>
      </c>
    </row>
    <row r="29" spans="1:23" ht="16.5" customHeight="1" outlineLevel="1">
      <c r="A29" s="798" t="s">
        <v>67</v>
      </c>
      <c r="B29" s="798"/>
      <c r="C29" s="922">
        <f>TRUNC(C28/L29,0)</f>
        <v>8627</v>
      </c>
      <c r="D29" s="923"/>
      <c r="E29" s="924"/>
      <c r="F29" s="925" t="s">
        <v>1715</v>
      </c>
      <c r="G29" s="925"/>
      <c r="H29" s="537">
        <v>6</v>
      </c>
      <c r="I29" s="821">
        <f>MIN(MIN(H28,8)*H29,40)</f>
        <v>40</v>
      </c>
      <c r="J29" s="821"/>
      <c r="K29" s="822"/>
      <c r="L29" s="624">
        <f>IF(I29&lt;15,I29*N29,IF(H29&lt;5,ROUNDUP((I29+(I29/5))*N29,0)*Q29,ROUNDUP((I29+(MIN(H28,8)*(MIN(I29,40)/MIN(I29,40))))/7*365/12,0)))</f>
        <v>209</v>
      </c>
      <c r="M29" t="s">
        <v>1328</v>
      </c>
      <c r="N29" s="535">
        <f>365/12/7</f>
        <v>4.3452380952380958</v>
      </c>
      <c r="O29">
        <f>365/12/7</f>
        <v>4.3452380952380958</v>
      </c>
      <c r="P29">
        <f>365/12/7</f>
        <v>4.3452380952380958</v>
      </c>
    </row>
    <row r="30" spans="1:23">
      <c r="A30" s="771" t="s">
        <v>1457</v>
      </c>
      <c r="B30" s="772"/>
      <c r="C30" s="773" t="s">
        <v>686</v>
      </c>
      <c r="D30" s="774"/>
      <c r="E30" s="775"/>
      <c r="F30" s="776" t="s">
        <v>684</v>
      </c>
      <c r="G30" s="776"/>
      <c r="H30" s="776" t="s">
        <v>17</v>
      </c>
      <c r="I30" s="776"/>
      <c r="J30" s="776"/>
      <c r="K30" s="777" t="s">
        <v>685</v>
      </c>
      <c r="L30" s="778"/>
      <c r="M30" t="s">
        <v>1329</v>
      </c>
      <c r="O30">
        <f>(8*5)+8</f>
        <v>48</v>
      </c>
      <c r="P30">
        <f>8*5</f>
        <v>40</v>
      </c>
      <c r="Q30" s="36"/>
    </row>
    <row r="31" spans="1:23" ht="17.25" customHeight="1" thickBot="1">
      <c r="A31" s="411">
        <f>Q43</f>
        <v>26</v>
      </c>
      <c r="B31" s="410">
        <f>H28*A31</f>
        <v>273</v>
      </c>
      <c r="C31" s="779">
        <f>B31</f>
        <v>273</v>
      </c>
      <c r="D31" s="780"/>
      <c r="E31" s="781"/>
      <c r="F31" s="782">
        <f>C31-L28</f>
        <v>97</v>
      </c>
      <c r="G31" s="782"/>
      <c r="H31" s="921"/>
      <c r="I31" s="921"/>
      <c r="J31" s="921"/>
      <c r="K31" s="783">
        <v>0</v>
      </c>
      <c r="L31" s="784"/>
      <c r="M31" s="626">
        <f>IF(H29&gt;=5,(I29+H28)*N29,(I29+(H28*H29)/5)*N29)</f>
        <v>219.43452380952382</v>
      </c>
      <c r="O31" s="527">
        <f>ROUND(O29*O30,0)</f>
        <v>209</v>
      </c>
      <c r="P31" s="527">
        <f>ROUND(P29*P30,0)</f>
        <v>174</v>
      </c>
    </row>
    <row r="32" spans="1:23" ht="17.25" thickBot="1">
      <c r="A32" s="919" t="s">
        <v>18</v>
      </c>
      <c r="B32" s="920"/>
      <c r="C32" s="920"/>
      <c r="D32" s="920"/>
      <c r="E32" s="920"/>
      <c r="F32" s="920"/>
      <c r="G32" s="920"/>
      <c r="H32" s="920"/>
      <c r="I32" s="920"/>
      <c r="J32" s="920"/>
      <c r="K32" s="920"/>
      <c r="L32" s="920"/>
      <c r="P32" s="525" t="s">
        <v>1724</v>
      </c>
    </row>
    <row r="33" spans="1:19">
      <c r="A33" s="766" t="s">
        <v>20</v>
      </c>
      <c r="B33" s="766"/>
      <c r="C33" s="899" t="s">
        <v>21</v>
      </c>
      <c r="D33" s="900"/>
      <c r="E33" s="900"/>
      <c r="F33" s="900"/>
      <c r="G33" s="900"/>
      <c r="H33" s="900"/>
      <c r="I33" s="901"/>
      <c r="J33" s="766" t="s">
        <v>22</v>
      </c>
      <c r="K33" s="766"/>
      <c r="L33" s="766"/>
    </row>
    <row r="34" spans="1:19">
      <c r="A34" s="910" t="s">
        <v>23</v>
      </c>
      <c r="B34" s="910"/>
      <c r="C34" s="768">
        <f>F31</f>
        <v>97</v>
      </c>
      <c r="D34" s="769"/>
      <c r="E34" s="6" t="s">
        <v>48</v>
      </c>
      <c r="F34" s="23">
        <f>C29</f>
        <v>8627</v>
      </c>
      <c r="G34" s="6" t="s">
        <v>48</v>
      </c>
      <c r="H34" s="412">
        <v>1</v>
      </c>
      <c r="I34" s="7"/>
      <c r="J34" s="770">
        <f>C34*F34*H34</f>
        <v>836819</v>
      </c>
      <c r="K34" s="770"/>
      <c r="L34" s="770"/>
      <c r="M34" s="683">
        <f>E18-J34</f>
        <v>0</v>
      </c>
    </row>
    <row r="35" spans="1:19">
      <c r="A35" s="918" t="s">
        <v>24</v>
      </c>
      <c r="B35" s="918"/>
      <c r="C35" s="761">
        <f>K31</f>
        <v>0</v>
      </c>
      <c r="D35" s="762"/>
      <c r="E35" s="13" t="s">
        <v>48</v>
      </c>
      <c r="F35" s="25">
        <f>C29</f>
        <v>8627</v>
      </c>
      <c r="G35" s="13" t="s">
        <v>48</v>
      </c>
      <c r="H35" s="414">
        <v>1</v>
      </c>
      <c r="I35" s="28"/>
      <c r="J35" s="728">
        <f>C35*F35*H35</f>
        <v>0</v>
      </c>
      <c r="K35" s="728"/>
      <c r="L35" s="728"/>
      <c r="M35" s="347">
        <f>E20-J35</f>
        <v>0</v>
      </c>
      <c r="N35" s="403" t="s">
        <v>1269</v>
      </c>
      <c r="O35" s="342">
        <v>0</v>
      </c>
      <c r="P35" s="403" t="s">
        <v>1270</v>
      </c>
      <c r="Q35" s="343">
        <v>0</v>
      </c>
    </row>
    <row r="36" spans="1:19" outlineLevel="1">
      <c r="A36" s="750" t="s">
        <v>1252</v>
      </c>
      <c r="B36" s="751"/>
      <c r="C36" s="752" t="str">
        <f>IF(OR(O35=0,O35=""),"",TEXT(N36,"#,##0")&amp;"원×"&amp;O35&amp;"명(배우자)")&amp;IF(OR(Q35=0,Q35=""),"","+"&amp;TEXT(P36,"#,##0")&amp;"원×"&amp;Q35&amp;"명(자녀"&amp;Q35&amp;"명)")</f>
        <v/>
      </c>
      <c r="D36" s="753"/>
      <c r="E36" s="753"/>
      <c r="F36" s="753"/>
      <c r="G36" s="753"/>
      <c r="H36" s="753"/>
      <c r="I36" s="405"/>
      <c r="J36" s="755">
        <f>SUM(O36,Q36)</f>
        <v>0</v>
      </c>
      <c r="K36" s="756"/>
      <c r="L36" s="757"/>
      <c r="M36" s="347">
        <f>E14-J36</f>
        <v>0</v>
      </c>
      <c r="N36" s="344">
        <v>100000</v>
      </c>
      <c r="O36" s="345">
        <f>N36*O35</f>
        <v>0</v>
      </c>
      <c r="P36" s="344">
        <v>50000</v>
      </c>
      <c r="Q36" s="345">
        <f>P36*Q35</f>
        <v>0</v>
      </c>
    </row>
    <row r="37" spans="1:19">
      <c r="A37" s="910" t="s">
        <v>25</v>
      </c>
      <c r="B37" s="910"/>
      <c r="C37" s="911" t="s">
        <v>62</v>
      </c>
      <c r="D37" s="912"/>
      <c r="E37" s="912"/>
      <c r="F37" s="912"/>
      <c r="G37" s="912"/>
      <c r="H37" s="912"/>
      <c r="I37" s="913"/>
      <c r="J37" s="733">
        <f>J24</f>
        <v>53610</v>
      </c>
      <c r="K37" s="734"/>
      <c r="L37" s="735"/>
      <c r="M37" s="417">
        <f>J24-J37</f>
        <v>0</v>
      </c>
    </row>
    <row r="38" spans="1:19">
      <c r="A38" s="434">
        <v>1</v>
      </c>
      <c r="B38" s="295">
        <v>0</v>
      </c>
      <c r="C38" s="914" t="str">
        <f>"근로소득세 \"&amp;TEXT(J37,"#,##0")&amp;"원 分의 지방소득세(10%)"</f>
        <v>근로소득세 \53,610원 分의 지방소득세(10%)</v>
      </c>
      <c r="D38" s="915"/>
      <c r="E38" s="915"/>
      <c r="F38" s="915"/>
      <c r="G38" s="915"/>
      <c r="H38" s="915"/>
      <c r="I38" s="916"/>
      <c r="J38" s="739">
        <f>J25</f>
        <v>5360</v>
      </c>
      <c r="K38" s="740"/>
      <c r="L38" s="741"/>
      <c r="M38" s="417">
        <f>J25-J38</f>
        <v>0</v>
      </c>
      <c r="P38" s="472" t="s">
        <v>1622</v>
      </c>
      <c r="Q38" s="471">
        <f>O1-N1+1</f>
        <v>30</v>
      </c>
      <c r="R38" s="512">
        <f>Q38/(EOMONTH($D$3,0)-EOMONTH($D$3,-1))</f>
        <v>1</v>
      </c>
    </row>
    <row r="39" spans="1:19">
      <c r="A39" s="917" t="s">
        <v>26</v>
      </c>
      <c r="B39" s="917"/>
      <c r="C39" s="743" t="str">
        <f>CHOOSE(O24,"취득(기)신고 보수월액 "&amp;TEXT(P23,"\#,##0원")&amp;"×"&amp;O13*100&amp;"%=국민연금공단 결정보험료(1/2)","상기 급여의 과세급여 "&amp;TEXT(P19,"\#,##0원")&amp;" × "&amp;O13*100&amp;"%")</f>
        <v>상기 급여의 과세급여 ₩2,640,004원 × 4.5%</v>
      </c>
      <c r="D39" s="744"/>
      <c r="E39" s="744"/>
      <c r="F39" s="744"/>
      <c r="G39" s="744"/>
      <c r="H39" s="744"/>
      <c r="I39" s="745"/>
      <c r="J39" s="746">
        <f>J13</f>
        <v>118800</v>
      </c>
      <c r="K39" s="746"/>
      <c r="L39" s="746"/>
      <c r="M39" s="417">
        <f>J13-J39</f>
        <v>0</v>
      </c>
      <c r="O39" s="420" t="s">
        <v>1628</v>
      </c>
      <c r="P39" s="473" t="s">
        <v>1623</v>
      </c>
      <c r="Q39" s="310">
        <f>IF(OR($N$1&gt;EOMONTH($D$3,-1)+1,$O$1&lt;EOMONTH($D$3,0)),CEILING(($Q$38-MOD(8-WEEKDAY($N$1),7))/7,1),CEILING((DAY(EOMONTH($D$3,0))-MOD(8-WEEKDAY($D$3),7))/7,1))</f>
        <v>4</v>
      </c>
      <c r="R39" s="474" t="s">
        <v>1627</v>
      </c>
    </row>
    <row r="40" spans="1:19" ht="17.25" thickBot="1">
      <c r="A40" s="906" t="s">
        <v>28</v>
      </c>
      <c r="B40" s="906"/>
      <c r="C40" s="725" t="str">
        <f>CHOOSE(O24,"취득(기)신고 보수월액 "&amp;TEXT(P23,"\#,##0원")&amp;"×"&amp;O14*100&amp;"%=건강보험공단 고지금액","상기 급여의 과세급여 "&amp;TEXT(P19,"\#,##0원")&amp;"×"&amp;O14*100&amp;"%")</f>
        <v>상기 급여의 과세급여 ₩2,640,004원×3.43%</v>
      </c>
      <c r="D40" s="726"/>
      <c r="E40" s="726"/>
      <c r="F40" s="726"/>
      <c r="G40" s="726"/>
      <c r="H40" s="726"/>
      <c r="I40" s="727"/>
      <c r="J40" s="728">
        <f>SUM(J14,J18)</f>
        <v>90550</v>
      </c>
      <c r="K40" s="728"/>
      <c r="L40" s="728"/>
      <c r="M40" s="417">
        <f>J14-J40</f>
        <v>0</v>
      </c>
      <c r="O40" s="476">
        <f>SUM(Q39,R40)</f>
        <v>8</v>
      </c>
      <c r="P40" s="473" t="s">
        <v>1624</v>
      </c>
      <c r="Q40" s="477">
        <f>IF(OR($N$1&gt;EOMONTH($D$3,-1)+1,$O$1&lt;EOMONTH($D$3,0)),NETWORKDAYS($N$1,$O$1),NETWORKDAYS(EOMONTH($D$3,-1)+1,EOMONTH($D$3,0)))</f>
        <v>22</v>
      </c>
      <c r="R40" s="475">
        <f>Q38-Q40-Q39</f>
        <v>4</v>
      </c>
    </row>
    <row r="41" spans="1:19" ht="17.25" thickBot="1">
      <c r="A41" s="906" t="s">
        <v>29</v>
      </c>
      <c r="B41" s="906"/>
      <c r="C41" s="725" t="str">
        <f>CHOOSE(O24,"상기 건강보험료 "&amp;TEXT(J41,"\#,##0원")&amp;"×"&amp;O15*100&amp;"%=건강보험공단 고지금액","상기 건강보험료 "&amp;TEXT(J41,"\#,##0원")&amp;"×"&amp;O15*100&amp;"%")</f>
        <v>상기 건강보험료 ₩10,430원×11.52%</v>
      </c>
      <c r="D41" s="726"/>
      <c r="E41" s="726"/>
      <c r="F41" s="726"/>
      <c r="G41" s="726"/>
      <c r="H41" s="726"/>
      <c r="I41" s="727"/>
      <c r="J41" s="728">
        <f>SUM(J15,J19)</f>
        <v>10430</v>
      </c>
      <c r="K41" s="728"/>
      <c r="L41" s="728"/>
      <c r="M41" s="417">
        <f>J15-J41</f>
        <v>0</v>
      </c>
      <c r="P41" s="616" t="s">
        <v>1625</v>
      </c>
      <c r="Q41" s="490">
        <f>VLOOKUP(EOMONTH(D3,-1)+1,주40시간,6)</f>
        <v>0</v>
      </c>
    </row>
    <row r="42" spans="1:19">
      <c r="A42" s="906" t="s">
        <v>27</v>
      </c>
      <c r="B42" s="906"/>
      <c r="C42" s="725" t="str">
        <f>CHOOSE(R24,"상기 급여(임금) 과세총액기준 "&amp;TEXT(P19,"\#,##0원")&amp;" × "&amp;O16*100&amp;"%","고용보험 가입 미대상")</f>
        <v>상기 급여(임금) 과세총액기준 ₩2,640,004원 × 0.8%</v>
      </c>
      <c r="D42" s="726"/>
      <c r="E42" s="726"/>
      <c r="F42" s="726"/>
      <c r="G42" s="726"/>
      <c r="H42" s="726"/>
      <c r="I42" s="727"/>
      <c r="J42" s="728">
        <f>J16</f>
        <v>21120</v>
      </c>
      <c r="K42" s="728"/>
      <c r="L42" s="728"/>
      <c r="M42" s="417">
        <f>J16-J42</f>
        <v>0</v>
      </c>
      <c r="P42" s="473" t="s">
        <v>1626</v>
      </c>
      <c r="Q42" s="481">
        <f>Q40-Q41</f>
        <v>22</v>
      </c>
      <c r="R42" t="s">
        <v>1803</v>
      </c>
    </row>
    <row r="43" spans="1:19">
      <c r="A43" s="906"/>
      <c r="B43" s="906"/>
      <c r="C43" s="907"/>
      <c r="D43" s="908"/>
      <c r="E43" s="908"/>
      <c r="F43" s="908"/>
      <c r="G43" s="908"/>
      <c r="H43" s="908"/>
      <c r="I43" s="909"/>
      <c r="J43" s="728"/>
      <c r="K43" s="728"/>
      <c r="L43" s="728"/>
      <c r="P43" s="473" t="s">
        <v>1629</v>
      </c>
      <c r="Q43" s="481">
        <f>Q42+R40</f>
        <v>26</v>
      </c>
      <c r="R43" t="s">
        <v>1801</v>
      </c>
    </row>
    <row r="44" spans="1:19">
      <c r="A44" s="902"/>
      <c r="B44" s="902"/>
      <c r="C44" s="903"/>
      <c r="D44" s="904"/>
      <c r="E44" s="904"/>
      <c r="F44" s="904"/>
      <c r="G44" s="904"/>
      <c r="H44" s="904"/>
      <c r="I44" s="905"/>
      <c r="J44" s="723"/>
      <c r="K44" s="723"/>
      <c r="L44" s="723"/>
    </row>
    <row r="45" spans="1:19">
      <c r="A45" s="19" t="s">
        <v>31</v>
      </c>
      <c r="L45" s="22" t="s">
        <v>653</v>
      </c>
      <c r="S45" t="s">
        <v>1717</v>
      </c>
    </row>
    <row r="46" spans="1:19">
      <c r="L46" s="4" t="s">
        <v>30</v>
      </c>
      <c r="R46" t="s">
        <v>1718</v>
      </c>
      <c r="S46" s="522">
        <v>0.41666666666666669</v>
      </c>
    </row>
    <row r="47" spans="1:19">
      <c r="R47" s="21" t="s">
        <v>1719</v>
      </c>
      <c r="S47" s="523">
        <v>0.91666666666666663</v>
      </c>
    </row>
    <row r="48" spans="1:19">
      <c r="D48" s="349" t="s">
        <v>1285</v>
      </c>
      <c r="L48" s="348" t="s">
        <v>1284</v>
      </c>
      <c r="O48" t="s">
        <v>1309</v>
      </c>
      <c r="P48" t="s">
        <v>1307</v>
      </c>
      <c r="S48" s="522">
        <f>S47-S46</f>
        <v>0.49999999999999994</v>
      </c>
    </row>
    <row r="49" spans="1:19">
      <c r="D49" t="s">
        <v>1286</v>
      </c>
      <c r="L49" t="s">
        <v>1277</v>
      </c>
      <c r="O49" t="s">
        <v>1310</v>
      </c>
      <c r="P49" t="s">
        <v>1308</v>
      </c>
      <c r="R49" t="s">
        <v>1720</v>
      </c>
      <c r="S49" t="s">
        <v>1721</v>
      </c>
    </row>
    <row r="50" spans="1:19">
      <c r="D50" t="s">
        <v>1287</v>
      </c>
      <c r="L50" t="s">
        <v>1291</v>
      </c>
    </row>
    <row r="51" spans="1:19">
      <c r="D51" t="s">
        <v>1288</v>
      </c>
      <c r="L51" t="s">
        <v>1293</v>
      </c>
      <c r="S51">
        <v>12</v>
      </c>
    </row>
    <row r="52" spans="1:19">
      <c r="D52" t="s">
        <v>1289</v>
      </c>
      <c r="L52" t="s">
        <v>1278</v>
      </c>
      <c r="S52">
        <v>1.5</v>
      </c>
    </row>
    <row r="53" spans="1:19">
      <c r="D53" t="s">
        <v>1290</v>
      </c>
      <c r="L53" t="s">
        <v>1279</v>
      </c>
      <c r="S53">
        <f>S51-S52</f>
        <v>10.5</v>
      </c>
    </row>
    <row r="54" spans="1:19">
      <c r="L54" t="s">
        <v>1280</v>
      </c>
    </row>
    <row r="55" spans="1:19">
      <c r="L55" t="s">
        <v>1292</v>
      </c>
    </row>
    <row r="60" spans="1:19">
      <c r="A60" t="s">
        <v>1294</v>
      </c>
    </row>
    <row r="61" spans="1:19">
      <c r="A61" t="s">
        <v>1295</v>
      </c>
    </row>
    <row r="62" spans="1:19">
      <c r="A62" t="s">
        <v>1296</v>
      </c>
    </row>
    <row r="64" spans="1:19">
      <c r="A64" t="s">
        <v>1297</v>
      </c>
    </row>
    <row r="65" spans="1:1">
      <c r="A65" t="s">
        <v>1298</v>
      </c>
    </row>
    <row r="66" spans="1:1">
      <c r="A66" s="18"/>
    </row>
    <row r="67" spans="1:1">
      <c r="A67" s="18" t="s">
        <v>1299</v>
      </c>
    </row>
    <row r="68" spans="1:1">
      <c r="A68" s="18" t="s">
        <v>1300</v>
      </c>
    </row>
    <row r="70" spans="1:1">
      <c r="A70" s="18" t="s">
        <v>1301</v>
      </c>
    </row>
    <row r="71" spans="1:1">
      <c r="A71" s="18" t="s">
        <v>1302</v>
      </c>
    </row>
    <row r="73" spans="1:1">
      <c r="A73" s="18" t="s">
        <v>1303</v>
      </c>
    </row>
    <row r="74" spans="1:1">
      <c r="A74" s="18" t="s">
        <v>1304</v>
      </c>
    </row>
    <row r="76" spans="1:1">
      <c r="A76" s="16" t="s">
        <v>1305</v>
      </c>
    </row>
    <row r="77" spans="1:1">
      <c r="A77" s="16"/>
    </row>
    <row r="78" spans="1:1">
      <c r="A78" t="s">
        <v>1311</v>
      </c>
    </row>
    <row r="80" spans="1:1">
      <c r="A80" s="16" t="s">
        <v>1306</v>
      </c>
    </row>
    <row r="81" spans="1:1">
      <c r="A81" s="16"/>
    </row>
    <row r="82" spans="1:1">
      <c r="A82" t="s">
        <v>1312</v>
      </c>
    </row>
    <row r="83" spans="1:1">
      <c r="A83" t="s">
        <v>1313</v>
      </c>
    </row>
    <row r="84" spans="1:1">
      <c r="A84" t="s">
        <v>1314</v>
      </c>
    </row>
    <row r="86" spans="1:1">
      <c r="A86" t="s">
        <v>1315</v>
      </c>
    </row>
    <row r="87" spans="1:1">
      <c r="A87" t="s">
        <v>1316</v>
      </c>
    </row>
    <row r="89" spans="1:1">
      <c r="A89" s="18" t="s">
        <v>1317</v>
      </c>
    </row>
    <row r="90" spans="1:1">
      <c r="A90" s="18" t="s">
        <v>1318</v>
      </c>
    </row>
    <row r="91" spans="1:1">
      <c r="A91" s="18"/>
    </row>
    <row r="92" spans="1:1">
      <c r="A92" t="s">
        <v>1319</v>
      </c>
    </row>
    <row r="93" spans="1:1">
      <c r="A93" s="18" t="s">
        <v>1320</v>
      </c>
    </row>
    <row r="95" spans="1:1">
      <c r="A95" s="17"/>
    </row>
    <row r="102" spans="1:1">
      <c r="A102" s="17"/>
    </row>
    <row r="110" spans="1:1">
      <c r="A110" s="17"/>
    </row>
    <row r="112" spans="1:1">
      <c r="A112" s="18"/>
    </row>
    <row r="113" spans="1:1">
      <c r="A113" s="18"/>
    </row>
    <row r="114" spans="1:1">
      <c r="A114" s="18"/>
    </row>
    <row r="115" spans="1:1">
      <c r="A115" s="18"/>
    </row>
    <row r="116" spans="1:1">
      <c r="A116" s="18"/>
    </row>
    <row r="117" spans="1:1">
      <c r="A117" s="18"/>
    </row>
    <row r="119" spans="1:1">
      <c r="A119" s="18"/>
    </row>
    <row r="125" spans="1:1">
      <c r="A125" s="18"/>
    </row>
    <row r="126" spans="1:1">
      <c r="A126" s="18"/>
    </row>
    <row r="127" spans="1:1">
      <c r="A127" s="18"/>
    </row>
    <row r="128" spans="1:1">
      <c r="A128" s="18"/>
    </row>
    <row r="130" spans="1:1">
      <c r="A130" s="18"/>
    </row>
    <row r="132" spans="1:1">
      <c r="A132" s="18"/>
    </row>
  </sheetData>
  <mergeCells count="141">
    <mergeCell ref="J14:L14"/>
    <mergeCell ref="A10:L10"/>
    <mergeCell ref="A11:F11"/>
    <mergeCell ref="G11:L11"/>
    <mergeCell ref="B7:D7"/>
    <mergeCell ref="E7:F7"/>
    <mergeCell ref="G7:H7"/>
    <mergeCell ref="I7:L7"/>
    <mergeCell ref="G8:H8"/>
    <mergeCell ref="I8:L8"/>
    <mergeCell ref="D3:F3"/>
    <mergeCell ref="B5:F5"/>
    <mergeCell ref="G5:H5"/>
    <mergeCell ref="J5:L5"/>
    <mergeCell ref="B6:D6"/>
    <mergeCell ref="E6:F6"/>
    <mergeCell ref="G6:H6"/>
    <mergeCell ref="I6:L6"/>
    <mergeCell ref="B9:E9"/>
    <mergeCell ref="F9:G9"/>
    <mergeCell ref="H9:L9"/>
    <mergeCell ref="B8:D8"/>
    <mergeCell ref="E8:F8"/>
    <mergeCell ref="B15:D15"/>
    <mergeCell ref="E15:F15"/>
    <mergeCell ref="G15:I15"/>
    <mergeCell ref="J15:L15"/>
    <mergeCell ref="A12:D12"/>
    <mergeCell ref="E12:F12"/>
    <mergeCell ref="G12:I12"/>
    <mergeCell ref="J12:L12"/>
    <mergeCell ref="A13:A20"/>
    <mergeCell ref="B13:D13"/>
    <mergeCell ref="E13:F13"/>
    <mergeCell ref="G13:I13"/>
    <mergeCell ref="J13:L13"/>
    <mergeCell ref="B14:D14"/>
    <mergeCell ref="B18:D18"/>
    <mergeCell ref="E18:F18"/>
    <mergeCell ref="G18:I18"/>
    <mergeCell ref="J18:L18"/>
    <mergeCell ref="B19:D19"/>
    <mergeCell ref="E19:F19"/>
    <mergeCell ref="G19:I19"/>
    <mergeCell ref="J19:L19"/>
    <mergeCell ref="E14:F14"/>
    <mergeCell ref="G14:I14"/>
    <mergeCell ref="B22:D22"/>
    <mergeCell ref="A26:D26"/>
    <mergeCell ref="E26:F26"/>
    <mergeCell ref="G26:I26"/>
    <mergeCell ref="J26:L26"/>
    <mergeCell ref="B16:D16"/>
    <mergeCell ref="E16:F16"/>
    <mergeCell ref="G16:I16"/>
    <mergeCell ref="J16:L16"/>
    <mergeCell ref="B17:D17"/>
    <mergeCell ref="E17:F17"/>
    <mergeCell ref="G17:I17"/>
    <mergeCell ref="J17:L17"/>
    <mergeCell ref="B20:D20"/>
    <mergeCell ref="E20:F20"/>
    <mergeCell ref="G20:I20"/>
    <mergeCell ref="J20:L20"/>
    <mergeCell ref="A27:B27"/>
    <mergeCell ref="C27:E27"/>
    <mergeCell ref="G27:I27"/>
    <mergeCell ref="J27:L27"/>
    <mergeCell ref="B24:D24"/>
    <mergeCell ref="E24:F24"/>
    <mergeCell ref="G24:I24"/>
    <mergeCell ref="J24:L24"/>
    <mergeCell ref="B25:D25"/>
    <mergeCell ref="E25:F25"/>
    <mergeCell ref="G25:I25"/>
    <mergeCell ref="J25:L25"/>
    <mergeCell ref="A21:A25"/>
    <mergeCell ref="E22:F22"/>
    <mergeCell ref="G22:I22"/>
    <mergeCell ref="J22:L22"/>
    <mergeCell ref="B23:D23"/>
    <mergeCell ref="E23:F23"/>
    <mergeCell ref="G23:I23"/>
    <mergeCell ref="J23:L23"/>
    <mergeCell ref="B21:D21"/>
    <mergeCell ref="E21:F21"/>
    <mergeCell ref="G21:I21"/>
    <mergeCell ref="J21:L21"/>
    <mergeCell ref="A30:B30"/>
    <mergeCell ref="C30:E30"/>
    <mergeCell ref="F30:G30"/>
    <mergeCell ref="H30:J30"/>
    <mergeCell ref="C31:E31"/>
    <mergeCell ref="F31:G31"/>
    <mergeCell ref="H31:J31"/>
    <mergeCell ref="A28:B28"/>
    <mergeCell ref="C28:E28"/>
    <mergeCell ref="F28:G28"/>
    <mergeCell ref="I28:K28"/>
    <mergeCell ref="A29:B29"/>
    <mergeCell ref="C29:E29"/>
    <mergeCell ref="F29:G29"/>
    <mergeCell ref="K30:L30"/>
    <mergeCell ref="I29:K29"/>
    <mergeCell ref="A35:B35"/>
    <mergeCell ref="C35:D35"/>
    <mergeCell ref="J35:L35"/>
    <mergeCell ref="A36:B36"/>
    <mergeCell ref="C36:H36"/>
    <mergeCell ref="J36:L36"/>
    <mergeCell ref="A32:L32"/>
    <mergeCell ref="A33:B33"/>
    <mergeCell ref="C33:I33"/>
    <mergeCell ref="J33:L33"/>
    <mergeCell ref="A34:B34"/>
    <mergeCell ref="C34:D34"/>
    <mergeCell ref="J34:L34"/>
    <mergeCell ref="A44:B44"/>
    <mergeCell ref="C44:I44"/>
    <mergeCell ref="J44:L44"/>
    <mergeCell ref="K31:L31"/>
    <mergeCell ref="A42:B42"/>
    <mergeCell ref="C42:I42"/>
    <mergeCell ref="J42:L42"/>
    <mergeCell ref="A43:B43"/>
    <mergeCell ref="C43:I43"/>
    <mergeCell ref="J43:L43"/>
    <mergeCell ref="A40:B40"/>
    <mergeCell ref="C40:I40"/>
    <mergeCell ref="J40:L40"/>
    <mergeCell ref="A41:B41"/>
    <mergeCell ref="C41:I41"/>
    <mergeCell ref="J41:L41"/>
    <mergeCell ref="A37:B37"/>
    <mergeCell ref="C37:I37"/>
    <mergeCell ref="J37:L37"/>
    <mergeCell ref="C38:I38"/>
    <mergeCell ref="J38:L38"/>
    <mergeCell ref="A39:B39"/>
    <mergeCell ref="C39:I39"/>
    <mergeCell ref="J39:L39"/>
  </mergeCells>
  <phoneticPr fontId="2" type="noConversion"/>
  <conditionalFormatting sqref="F31:G31">
    <cfRule type="cellIs" dxfId="95" priority="53" operator="greaterThan">
      <formula>52</formula>
    </cfRule>
  </conditionalFormatting>
  <conditionalFormatting sqref="C31:E31">
    <cfRule type="cellIs" dxfId="94" priority="52" operator="greaterThan">
      <formula>261</formula>
    </cfRule>
  </conditionalFormatting>
  <conditionalFormatting sqref="H28:I28">
    <cfRule type="cellIs" dxfId="93" priority="50" operator="greaterThan">
      <formula>40</formula>
    </cfRule>
  </conditionalFormatting>
  <conditionalFormatting sqref="E15:F15">
    <cfRule type="cellIs" dxfId="92" priority="51" stopIfTrue="1" operator="greaterThan">
      <formula>0</formula>
    </cfRule>
  </conditionalFormatting>
  <conditionalFormatting sqref="L28">
    <cfRule type="cellIs" dxfId="91" priority="49" operator="greaterThan">
      <formula>209</formula>
    </cfRule>
  </conditionalFormatting>
  <conditionalFormatting sqref="H28">
    <cfRule type="cellIs" dxfId="90" priority="46" operator="greaterThan">
      <formula>8</formula>
    </cfRule>
  </conditionalFormatting>
  <conditionalFormatting sqref="N13">
    <cfRule type="cellIs" dxfId="89" priority="44" operator="greaterThan">
      <formula>59</formula>
    </cfRule>
  </conditionalFormatting>
  <conditionalFormatting sqref="N16">
    <cfRule type="cellIs" dxfId="88" priority="43" operator="greaterThan">
      <formula>64</formula>
    </cfRule>
  </conditionalFormatting>
  <conditionalFormatting sqref="C29:E29">
    <cfRule type="cellIs" dxfId="87" priority="41" operator="equal">
      <formula>9160</formula>
    </cfRule>
    <cfRule type="cellIs" dxfId="86" priority="42" operator="lessThan">
      <formula>9160</formula>
    </cfRule>
  </conditionalFormatting>
  <conditionalFormatting sqref="H29">
    <cfRule type="cellIs" dxfId="85" priority="28" operator="equal">
      <formula>5</formula>
    </cfRule>
    <cfRule type="cellIs" dxfId="84" priority="29" operator="lessThan">
      <formula>5</formula>
    </cfRule>
    <cfRule type="cellIs" dxfId="83" priority="31" operator="greaterThan">
      <formula>40</formula>
    </cfRule>
  </conditionalFormatting>
  <conditionalFormatting sqref="H29">
    <cfRule type="cellIs" dxfId="82" priority="30" operator="greaterThan">
      <formula>40</formula>
    </cfRule>
  </conditionalFormatting>
  <conditionalFormatting sqref="I29">
    <cfRule type="cellIs" dxfId="81" priority="22" operator="greaterThan">
      <formula>40</formula>
    </cfRule>
  </conditionalFormatting>
  <conditionalFormatting sqref="I29:K29">
    <cfRule type="cellIs" dxfId="80" priority="18" operator="equal">
      <formula>40</formula>
    </cfRule>
    <cfRule type="cellIs" dxfId="79" priority="19" operator="lessThan">
      <formula>15</formula>
    </cfRule>
    <cfRule type="cellIs" dxfId="78" priority="20" operator="greaterThan">
      <formula>40</formula>
    </cfRule>
    <cfRule type="cellIs" dxfId="77" priority="21" operator="lessThan">
      <formula>15</formula>
    </cfRule>
  </conditionalFormatting>
  <conditionalFormatting sqref="M31">
    <cfRule type="cellIs" dxfId="76" priority="12" operator="lessThan">
      <formula>209</formula>
    </cfRule>
    <cfRule type="cellIs" dxfId="75" priority="13" operator="equal">
      <formula>209</formula>
    </cfRule>
    <cfRule type="cellIs" dxfId="74" priority="14" operator="greaterThan">
      <formula>209</formula>
    </cfRule>
    <cfRule type="cellIs" dxfId="73" priority="15" operator="greaterThan">
      <formula>209</formula>
    </cfRule>
    <cfRule type="cellIs" dxfId="72" priority="16" operator="greaterThan">
      <formula>209</formula>
    </cfRule>
  </conditionalFormatting>
  <conditionalFormatting sqref="L29">
    <cfRule type="cellIs" dxfId="71" priority="7" operator="lessThan">
      <formula>209</formula>
    </cfRule>
    <cfRule type="cellIs" dxfId="70" priority="8" operator="equal">
      <formula>209</formula>
    </cfRule>
    <cfRule type="cellIs" dxfId="69" priority="9" operator="greaterThan">
      <formula>209</formula>
    </cfRule>
    <cfRule type="cellIs" dxfId="68" priority="10" operator="greaterThan">
      <formula>209</formula>
    </cfRule>
    <cfRule type="cellIs" dxfId="67" priority="11" operator="greaterThan">
      <formula>209</formula>
    </cfRule>
  </conditionalFormatting>
  <conditionalFormatting sqref="T17">
    <cfRule type="cellIs" dxfId="66" priority="6" operator="lessThan">
      <formula>9160</formula>
    </cfRule>
  </conditionalFormatting>
  <conditionalFormatting sqref="B8:D8">
    <cfRule type="cellIs" dxfId="65" priority="1" operator="lessThan">
      <formula>$B$7</formula>
    </cfRule>
  </conditionalFormatting>
  <dataValidations count="8">
    <dataValidation allowBlank="1" showInputMessage="1" showErrorMessage="1" promptTitle="귀속월" prompt="귀속월의 실제 근무일수 기재" sqref="A31:B31" xr:uid="{A6D3ADBD-645B-409D-BA16-0FDB56809633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5:B35" xr:uid="{39A5E3C4-1888-4845-B993-B04C99397696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4:B34" xr:uid="{D906396B-0401-4219-AF9F-D0EE70C24CC5}"/>
    <dataValidation allowBlank="1" showInputMessage="1" showErrorMessage="1" promptTitle="1주" prompt="7. &quot;1주&quot;란 휴일을 포함한 7일을 말한다." sqref="H29" xr:uid="{2F1BF9B2-6065-43F9-8579-2087EFCB5889}"/>
    <dataValidation allowBlank="1" showInputMessage="1" showErrorMessage="1" promptTitle="주40시간기준" prompt="52시간 초과금지_x000a_근로기준법 제53조(연장 근로의 제한)" sqref="F31:G31" xr:uid="{297DAE9F-05D2-494F-B239-E2D522D73D87}"/>
    <dataValidation allowBlank="1" showInputMessage="1" showErrorMessage="1" promptTitle="주40시간 기준" prompt="주12시간 연장근로 초과 금지_x000a_225.952381시간 초과 금지?_x000a_261시간 초과 금지 ?" sqref="C31:E31" xr:uid="{2F214474-8E79-471B-BEE9-F0252E80315B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L29" xr:uid="{658FCBBC-F0D9-40CF-AD1F-85579AB16846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343CCE9E-F60E-48F8-8C0F-65F720641FAB}"/>
  </dataValidations>
  <hyperlinks>
    <hyperlink ref="A32:L32" r:id="rId1" display="계산 방법" xr:uid="{43AC00FA-6950-4D66-BBA5-BA9E22FE94BF}"/>
    <hyperlink ref="M12" r:id="rId2" xr:uid="{ABA373FC-C2CB-4877-9EB3-7DC00BB3CA0C}"/>
    <hyperlink ref="P12" r:id="rId3" xr:uid="{7503CF7A-01EE-4BDE-96F4-C84C4225C6AD}"/>
    <hyperlink ref="G16:H16" r:id="rId4" display="고용보험료" xr:uid="{42C144AF-2AD7-4AB9-843F-E73D9028A3DD}"/>
    <hyperlink ref="B9" r:id="rId5" xr:uid="{B0C7D9BF-13E9-4835-A641-136CBC314E19}"/>
    <hyperlink ref="M27" r:id="rId6" xr:uid="{A54CD824-2D12-4F06-8A63-7CF617F2F6EA}"/>
    <hyperlink ref="M24" r:id="rId7" xr:uid="{2EC08DD0-A00A-4EA2-9B7A-93D222C3C05A}"/>
    <hyperlink ref="D48" r:id="rId8" xr:uid="{BFAC1BDC-E645-4156-9485-3C1A9DA5AB88}"/>
    <hyperlink ref="O16" r:id="rId9" display="https://blog.naver.com/hope-pys/222547604214" xr:uid="{A7530163-408C-4195-966A-A564CAADEE63}"/>
    <hyperlink ref="P16" r:id="rId10" xr:uid="{0B13AC25-C6DF-49D8-BF98-24DCCE8E5128}"/>
    <hyperlink ref="A28:B28" r:id="rId11" display="통상시급" xr:uid="{1B031FA6-08FA-4A0C-8302-D2C71BF6F949}"/>
    <hyperlink ref="O6" r:id="rId12" xr:uid="{A3BF8D5A-A4ED-4E64-88BE-2B0E537BABED}"/>
    <hyperlink ref="Q18" location="최저임금!A1" display="최저임금은" xr:uid="{CFA8987A-5E28-45A5-BDAF-785258B2673B}"/>
    <hyperlink ref="N3" r:id="rId13" display="상시근로자 5인이상 연차수당 " xr:uid="{88FD19A0-8DAD-415A-876F-DA28CD7E01A4}"/>
    <hyperlink ref="O18" r:id="rId14" xr:uid="{D4ECEBA1-3C91-401F-98AD-A980E04BDFCC}"/>
    <hyperlink ref="P41" r:id="rId15" xr:uid="{6DB992C2-8468-420E-B869-81160FD63910}"/>
    <hyperlink ref="N16" r:id="rId16" display="https://cafe.daum.net/transtax/FWkz/224" xr:uid="{CECFFAA9-CDB9-42A6-AAC7-0517A7379F54}"/>
    <hyperlink ref="P9" r:id="rId17" xr:uid="{60C94168-A799-4448-B24B-7D7D23A939E5}"/>
    <hyperlink ref="G12:I12" r:id="rId18" display="공제 항목" xr:uid="{3452304E-ABA9-4FAF-B696-B470600C597C}"/>
    <hyperlink ref="A29:B29" r:id="rId19" display="통상임금-시급" xr:uid="{8151A270-5D59-448F-86E7-FC93C89571ED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portrait" verticalDpi="0" r:id="rId20"/>
  <drawing r:id="rId21"/>
  <legacyDrawing r:id="rId2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2449" r:id="rId23" name="Group Box 1">
              <controlPr defaultSize="0" autoFill="0" autoPict="0">
                <anchor moveWithCells="1">
                  <from>
                    <xdr:col>13</xdr:col>
                    <xdr:colOff>390525</xdr:colOff>
                    <xdr:row>24</xdr:row>
                    <xdr:rowOff>133350</xdr:rowOff>
                  </from>
                  <to>
                    <xdr:col>16</xdr:col>
                    <xdr:colOff>514350</xdr:colOff>
                    <xdr:row>27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0" r:id="rId24" name="Option Button 2">
              <controlPr defaultSize="0" autoFill="0" autoLine="0" autoPict="0">
                <anchor moveWithCells="1">
                  <from>
                    <xdr:col>13</xdr:col>
                    <xdr:colOff>514350</xdr:colOff>
                    <xdr:row>25</xdr:row>
                    <xdr:rowOff>190500</xdr:rowOff>
                  </from>
                  <to>
                    <xdr:col>14</xdr:col>
                    <xdr:colOff>1200150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1" r:id="rId25" name="Group Box 3">
              <controlPr defaultSize="0" autoFill="0" autoPict="0">
                <anchor moveWithCells="1">
                  <from>
                    <xdr:col>16</xdr:col>
                    <xdr:colOff>676275</xdr:colOff>
                    <xdr:row>24</xdr:row>
                    <xdr:rowOff>123825</xdr:rowOff>
                  </from>
                  <to>
                    <xdr:col>21</xdr:col>
                    <xdr:colOff>66675</xdr:colOff>
                    <xdr:row>27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2" r:id="rId26" name="Option Button 4">
              <controlPr defaultSize="0" autoFill="0" autoLine="0" autoPict="0">
                <anchor moveWithCells="1">
                  <from>
                    <xdr:col>17</xdr:col>
                    <xdr:colOff>161925</xdr:colOff>
                    <xdr:row>25</xdr:row>
                    <xdr:rowOff>161925</xdr:rowOff>
                  </from>
                  <to>
                    <xdr:col>19</xdr:col>
                    <xdr:colOff>95250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3" r:id="rId27" name="Option Button 5">
              <controlPr defaultSize="0" autoFill="0" autoLine="0" autoPict="0">
                <anchor moveWithCells="1">
                  <from>
                    <xdr:col>19</xdr:col>
                    <xdr:colOff>257175</xdr:colOff>
                    <xdr:row>25</xdr:row>
                    <xdr:rowOff>190500</xdr:rowOff>
                  </from>
                  <to>
                    <xdr:col>20</xdr:col>
                    <xdr:colOff>866775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4" r:id="rId28" name="Option Button 6">
              <controlPr defaultSize="0" autoFill="0" autoLine="0" autoPict="0">
                <anchor moveWithCells="1">
                  <from>
                    <xdr:col>15</xdr:col>
                    <xdr:colOff>9525</xdr:colOff>
                    <xdr:row>25</xdr:row>
                    <xdr:rowOff>190500</xdr:rowOff>
                  </from>
                  <to>
                    <xdr:col>16</xdr:col>
                    <xdr:colOff>104775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9A45B-DDEC-4439-B472-29D14BEC7176}">
  <sheetPr codeName="Sheet12"/>
  <dimension ref="B2:Y56"/>
  <sheetViews>
    <sheetView showGridLines="0" topLeftCell="A25" workbookViewId="0">
      <selection activeCell="P37" sqref="P37"/>
    </sheetView>
  </sheetViews>
  <sheetFormatPr defaultRowHeight="16.5"/>
  <cols>
    <col min="2" max="2" width="2.625" customWidth="1"/>
    <col min="3" max="3" width="2.5" customWidth="1"/>
  </cols>
  <sheetData>
    <row r="2" spans="2:25">
      <c r="B2" s="15" t="s">
        <v>1391</v>
      </c>
      <c r="E2" s="15"/>
      <c r="G2" t="s">
        <v>1392</v>
      </c>
    </row>
    <row r="4" spans="2:25">
      <c r="B4" t="s">
        <v>1393</v>
      </c>
    </row>
    <row r="6" spans="2:25">
      <c r="C6" s="36" t="s">
        <v>1394</v>
      </c>
    </row>
    <row r="8" spans="2:25">
      <c r="C8" s="36" t="s">
        <v>1395</v>
      </c>
    </row>
    <row r="10" spans="2:25">
      <c r="B10" t="s">
        <v>1396</v>
      </c>
    </row>
    <row r="11" spans="2:25">
      <c r="C11" t="s">
        <v>1397</v>
      </c>
    </row>
    <row r="12" spans="2:25">
      <c r="C12" t="s">
        <v>1398</v>
      </c>
    </row>
    <row r="14" spans="2:25">
      <c r="B14" s="156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397"/>
    </row>
    <row r="15" spans="2:25">
      <c r="B15" s="398"/>
      <c r="C15" s="150" t="s">
        <v>1399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399"/>
    </row>
    <row r="16" spans="2:25" ht="7.5" customHeight="1">
      <c r="B16" s="398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399"/>
    </row>
    <row r="17" spans="2:25">
      <c r="B17" s="398"/>
      <c r="C17" s="150" t="s">
        <v>1400</v>
      </c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399"/>
    </row>
    <row r="18" spans="2:25" ht="6" customHeight="1">
      <c r="B18" s="398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399"/>
    </row>
    <row r="19" spans="2:25">
      <c r="B19" s="398"/>
      <c r="C19" s="150" t="s">
        <v>1401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399"/>
    </row>
    <row r="20" spans="2:25" ht="6" customHeight="1">
      <c r="B20" s="398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399"/>
    </row>
    <row r="21" spans="2:25">
      <c r="B21" s="398"/>
      <c r="C21" s="150" t="s">
        <v>76</v>
      </c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399"/>
    </row>
    <row r="22" spans="2:25" ht="6" customHeight="1">
      <c r="B22" s="398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399"/>
    </row>
    <row r="23" spans="2:25">
      <c r="B23" s="398"/>
      <c r="C23" s="150" t="s">
        <v>81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399"/>
    </row>
    <row r="24" spans="2:25">
      <c r="B24" s="398"/>
      <c r="C24" s="150" t="s">
        <v>1359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399"/>
    </row>
    <row r="25" spans="2:25" ht="6" customHeight="1">
      <c r="B25" s="398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399"/>
    </row>
    <row r="26" spans="2:25">
      <c r="B26" s="398"/>
      <c r="C26" s="150" t="s">
        <v>1402</v>
      </c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399"/>
    </row>
    <row r="27" spans="2:25" ht="6" customHeight="1">
      <c r="B27" s="398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399"/>
    </row>
    <row r="28" spans="2:25">
      <c r="B28" s="398"/>
      <c r="C28" s="150"/>
      <c r="D28" s="150" t="s">
        <v>77</v>
      </c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399"/>
    </row>
    <row r="29" spans="2:25" ht="6" customHeight="1">
      <c r="B29" s="398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399"/>
    </row>
    <row r="30" spans="2:25">
      <c r="B30" s="398"/>
      <c r="C30" s="150"/>
      <c r="D30" s="150" t="s">
        <v>78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399"/>
    </row>
    <row r="31" spans="2:25" ht="6" customHeight="1">
      <c r="B31" s="398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399"/>
    </row>
    <row r="32" spans="2:25">
      <c r="B32" s="398"/>
      <c r="C32" s="150"/>
      <c r="D32" s="150" t="s">
        <v>1403</v>
      </c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399"/>
    </row>
    <row r="33" spans="2:25">
      <c r="B33" s="398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399"/>
    </row>
    <row r="34" spans="2:25">
      <c r="B34" s="398"/>
      <c r="C34" s="150" t="s">
        <v>1404</v>
      </c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399"/>
    </row>
    <row r="35" spans="2:25">
      <c r="B35" s="158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159"/>
    </row>
    <row r="37" spans="2:25">
      <c r="B37" t="s">
        <v>1405</v>
      </c>
    </row>
    <row r="38" spans="2:25">
      <c r="C38" t="s">
        <v>1406</v>
      </c>
    </row>
    <row r="40" spans="2:25">
      <c r="B40" t="s">
        <v>1407</v>
      </c>
    </row>
    <row r="41" spans="2:25">
      <c r="C41" t="s">
        <v>1408</v>
      </c>
    </row>
    <row r="42" spans="2:25">
      <c r="C42" t="s">
        <v>1409</v>
      </c>
    </row>
    <row r="45" spans="2:25">
      <c r="B45" s="156"/>
      <c r="C45" s="400" t="s">
        <v>1410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397"/>
    </row>
    <row r="46" spans="2:25">
      <c r="B46" s="398"/>
      <c r="C46" s="401" t="s">
        <v>1411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399"/>
    </row>
    <row r="47" spans="2:25">
      <c r="B47" s="398"/>
      <c r="C47" s="401" t="s">
        <v>1422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399"/>
    </row>
    <row r="48" spans="2:25">
      <c r="B48" s="398"/>
      <c r="C48" s="401" t="s">
        <v>1412</v>
      </c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399"/>
    </row>
    <row r="49" spans="2:23">
      <c r="B49" s="158"/>
      <c r="C49" s="21" t="s">
        <v>1413</v>
      </c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159"/>
    </row>
    <row r="50" spans="2:23">
      <c r="W50" s="31" t="s">
        <v>63</v>
      </c>
    </row>
    <row r="51" spans="2:23">
      <c r="B51" s="31" t="s">
        <v>1414</v>
      </c>
      <c r="W51" s="31" t="s">
        <v>1419</v>
      </c>
    </row>
    <row r="52" spans="2:23">
      <c r="C52" t="s">
        <v>1415</v>
      </c>
    </row>
    <row r="54" spans="2:23">
      <c r="B54" t="s">
        <v>1417</v>
      </c>
      <c r="W54" s="27" t="s">
        <v>1421</v>
      </c>
    </row>
    <row r="55" spans="2:23">
      <c r="C55" s="27" t="s">
        <v>1418</v>
      </c>
      <c r="W55" s="27" t="s">
        <v>1420</v>
      </c>
    </row>
    <row r="56" spans="2:23">
      <c r="C56" t="s">
        <v>1416</v>
      </c>
    </row>
  </sheetData>
  <phoneticPr fontId="2" type="noConversion"/>
  <hyperlinks>
    <hyperlink ref="B2" r:id="rId1" xr:uid="{A5B0ECD5-A63A-4E51-B1E2-EE54F95937F0}"/>
  </hyperlinks>
  <pageMargins left="0.7" right="0.7" top="0.75" bottom="0.75" header="0.3" footer="0.3"/>
  <pageSetup paperSize="9" orientation="portrait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DDE8A-1E8C-44BF-B99F-051406E33938}">
  <sheetPr codeName="Sheet13">
    <tabColor rgb="FFFFC000"/>
    <pageSetUpPr fitToPage="1"/>
  </sheetPr>
  <dimension ref="A1:V85"/>
  <sheetViews>
    <sheetView showGridLines="0" workbookViewId="0">
      <selection activeCell="E16" sqref="E16:F16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0" width="18.125" customWidth="1"/>
    <col min="11" max="11" width="8.125" customWidth="1"/>
    <col min="12" max="12" width="10.875" customWidth="1"/>
    <col min="13" max="13" width="15.75" customWidth="1"/>
    <col min="14" max="14" width="14.25" customWidth="1"/>
    <col min="15" max="15" width="10.875" bestFit="1" customWidth="1"/>
    <col min="16" max="16" width="13.5" bestFit="1" customWidth="1"/>
    <col min="18" max="18" width="10.875" bestFit="1" customWidth="1"/>
    <col min="19" max="19" width="12.75" customWidth="1"/>
    <col min="20" max="20" width="11.375" customWidth="1"/>
    <col min="21" max="21" width="9.375" bestFit="1" customWidth="1"/>
  </cols>
  <sheetData>
    <row r="1" spans="1:21">
      <c r="A1" s="3" t="s">
        <v>0</v>
      </c>
      <c r="L1" s="510">
        <f>IF($B$7&gt;EOMONTH($D$3,-1)+1,$B$7,EOMONTH($D$3,-1)+1)</f>
        <v>44531</v>
      </c>
      <c r="M1" s="511">
        <f>IF(AND($B$8&lt;&gt;"",$B$8&lt;EOMONTH($D$3,0)),$B$8,EOMONTH($D$3,0))</f>
        <v>44561</v>
      </c>
      <c r="O1" s="269">
        <v>1</v>
      </c>
      <c r="Q1" s="289"/>
    </row>
    <row r="2" spans="1:21" ht="8.25" customHeight="1"/>
    <row r="3" spans="1:21" ht="20.25">
      <c r="D3" s="888">
        <v>44561</v>
      </c>
      <c r="E3" s="888"/>
      <c r="F3" s="888"/>
      <c r="G3" s="5" t="s">
        <v>1159</v>
      </c>
      <c r="I3" s="2"/>
      <c r="L3" s="435">
        <v>1</v>
      </c>
      <c r="M3" s="15"/>
      <c r="R3" s="381">
        <v>2.7E-2</v>
      </c>
    </row>
    <row r="4" spans="1:21" ht="8.25" customHeight="1"/>
    <row r="5" spans="1:21">
      <c r="A5" t="s">
        <v>12</v>
      </c>
      <c r="B5" s="889" t="s">
        <v>1372</v>
      </c>
      <c r="C5" s="889"/>
      <c r="D5" s="889"/>
      <c r="E5" s="889"/>
      <c r="F5" s="889"/>
      <c r="G5" s="714" t="s">
        <v>11</v>
      </c>
      <c r="H5" s="714"/>
      <c r="I5" s="890">
        <v>44530</v>
      </c>
      <c r="J5" s="890"/>
      <c r="M5" s="430">
        <f>DATEDIF($B$7,$M$1,"y")</f>
        <v>0</v>
      </c>
      <c r="O5" s="270">
        <v>187030</v>
      </c>
      <c r="P5" s="270">
        <v>150000</v>
      </c>
      <c r="R5" s="272"/>
    </row>
    <row r="6" spans="1:21">
      <c r="A6" s="346" t="s">
        <v>2</v>
      </c>
      <c r="B6" s="881" t="s">
        <v>1373</v>
      </c>
      <c r="C6" s="884"/>
      <c r="D6" s="885"/>
      <c r="E6" s="891" t="s">
        <v>652</v>
      </c>
      <c r="F6" s="880"/>
      <c r="G6" s="892">
        <v>23630</v>
      </c>
      <c r="H6" s="893"/>
      <c r="I6" s="933">
        <v>12</v>
      </c>
      <c r="J6" s="935"/>
      <c r="L6" s="420" t="s">
        <v>1459</v>
      </c>
      <c r="M6" s="431" t="s">
        <v>1510</v>
      </c>
      <c r="R6" s="273"/>
      <c r="T6" s="382">
        <v>1</v>
      </c>
    </row>
    <row r="7" spans="1:21">
      <c r="A7" s="346" t="s">
        <v>33</v>
      </c>
      <c r="B7" s="878">
        <v>44197</v>
      </c>
      <c r="C7" s="878"/>
      <c r="D7" s="878"/>
      <c r="E7" s="879" t="s">
        <v>1259</v>
      </c>
      <c r="F7" s="880"/>
      <c r="G7" s="881" t="s">
        <v>1325</v>
      </c>
      <c r="H7" s="882"/>
      <c r="I7" s="884"/>
      <c r="J7" s="885"/>
      <c r="L7" s="502" t="str">
        <f>IF($D$3="","",DATEDIF($B$7,$M$1+1,"Y") &amp; "년 " &amp; DATEDIF($B$7,$M$1+1,"YM") &amp; "개월 "&amp; IF(OR(VALUE(TEXT($B$7,"dd"))-1=VALUE(TEXT($M$1,"dd")),TEXT($B$7,"dd")="01"),"",DATEDIF($B$7,$M$1,"MD")+1 &amp; "일"))</f>
        <v xml:space="preserve">1년 0개월 </v>
      </c>
      <c r="M7" s="429" t="str">
        <f>IF(M5=0,"입사후 근무월 개수",VLOOKUP(M5,연차,2))</f>
        <v>입사후 근무월 개수</v>
      </c>
      <c r="O7" s="15" t="s">
        <v>1804</v>
      </c>
    </row>
    <row r="8" spans="1:21" ht="16.5" customHeight="1">
      <c r="A8" s="482" t="s">
        <v>1655</v>
      </c>
      <c r="B8" s="878"/>
      <c r="C8" s="878"/>
      <c r="D8" s="878"/>
      <c r="E8" s="897" t="s">
        <v>1653</v>
      </c>
      <c r="F8" s="898"/>
      <c r="G8" s="881"/>
      <c r="H8" s="882"/>
      <c r="I8" s="884" t="s">
        <v>1324</v>
      </c>
      <c r="J8" s="885"/>
      <c r="L8" s="491" t="str">
        <f>IF(B8-B7&gt;=355,"퇴직금(연차정산)대상 check","")</f>
        <v/>
      </c>
      <c r="M8" s="15"/>
      <c r="S8" s="15"/>
    </row>
    <row r="9" spans="1:21" ht="16.5" customHeight="1" thickBot="1">
      <c r="A9" s="337" t="s">
        <v>383</v>
      </c>
      <c r="B9" s="865"/>
      <c r="C9" s="866"/>
      <c r="D9" s="866"/>
      <c r="E9" s="867"/>
      <c r="F9" s="868" t="s">
        <v>651</v>
      </c>
      <c r="G9" s="869"/>
      <c r="H9" s="870"/>
      <c r="I9" s="871"/>
      <c r="J9" s="872"/>
      <c r="L9" s="15" t="s">
        <v>1568</v>
      </c>
      <c r="M9" s="16"/>
    </row>
    <row r="10" spans="1:21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L10" s="433" t="s">
        <v>1567</v>
      </c>
      <c r="M10" s="69"/>
    </row>
    <row r="11" spans="1:21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7"/>
      <c r="M11" s="174"/>
      <c r="R11" s="177"/>
      <c r="S11" s="9"/>
    </row>
    <row r="12" spans="1:21" s="1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7"/>
      <c r="I12" s="858" t="s">
        <v>10</v>
      </c>
      <c r="J12" s="860"/>
      <c r="M12" s="10" t="s">
        <v>1805</v>
      </c>
      <c r="P12" s="274"/>
      <c r="U12"/>
    </row>
    <row r="13" spans="1:21" ht="16.5" customHeight="1">
      <c r="A13" s="936" t="s">
        <v>5</v>
      </c>
      <c r="B13" s="970" t="s">
        <v>32</v>
      </c>
      <c r="C13" s="838"/>
      <c r="D13" s="839"/>
      <c r="E13" s="942">
        <v>800000</v>
      </c>
      <c r="F13" s="943"/>
      <c r="G13" s="828" t="s">
        <v>26</v>
      </c>
      <c r="H13" s="830"/>
      <c r="I13" s="974">
        <f>IF(L13&gt;=60,0,TRUNC($N$30*M13,-1))</f>
        <v>36000</v>
      </c>
      <c r="J13" s="975"/>
      <c r="K13" s="65">
        <f>I13/$N$30</f>
        <v>4.4999999999999998E-2</v>
      </c>
      <c r="L13" s="351">
        <f>DATEDIF($G$6,$D$3,"y")</f>
        <v>57</v>
      </c>
      <c r="M13" s="299">
        <v>4.4999999999999998E-2</v>
      </c>
      <c r="N13" t="s">
        <v>459</v>
      </c>
      <c r="P13" t="s">
        <v>1170</v>
      </c>
      <c r="S13" s="472" t="s">
        <v>1622</v>
      </c>
      <c r="T13" s="471">
        <f>M1-L1+1</f>
        <v>31</v>
      </c>
      <c r="U13" s="512">
        <f>T13/(EOMONTH($D$3,0)-EOMONTH($D$3,-1))</f>
        <v>1</v>
      </c>
    </row>
    <row r="14" spans="1:21">
      <c r="A14" s="937"/>
      <c r="B14" s="971" t="s">
        <v>1321</v>
      </c>
      <c r="C14" s="972"/>
      <c r="D14" s="973"/>
      <c r="E14" s="942">
        <f>N20</f>
        <v>0</v>
      </c>
      <c r="F14" s="943"/>
      <c r="G14" s="828" t="s">
        <v>28</v>
      </c>
      <c r="H14" s="830"/>
      <c r="I14" s="974">
        <f>TRUNC($N$30*M14,-1)</f>
        <v>27440</v>
      </c>
      <c r="J14" s="975"/>
      <c r="K14" s="65">
        <f>I14/$N$30</f>
        <v>3.4299999999999997E-2</v>
      </c>
      <c r="L14" s="65"/>
      <c r="M14" s="698">
        <f>IF(AND(D3&gt;=44197,D3&lt;=44561),6.86%/2,6.99%/2)</f>
        <v>3.4300000000000004E-2</v>
      </c>
      <c r="N14" t="s">
        <v>459</v>
      </c>
      <c r="R14" s="420" t="s">
        <v>1628</v>
      </c>
      <c r="S14" s="473" t="s">
        <v>1623</v>
      </c>
      <c r="T14" s="310">
        <f>IF(OR($L$1&gt;EOMONTH($D$3,-1)+1,$M$1&lt;EOMONTH($D$3,0)),CEILING((T13-MOD(8-WEEKDAY($L$1),7))/7,1),CEILING((DAY(EOMONTH($D$3,0))-MOD(8-WEEKDAY($D$3),7))/7,1))</f>
        <v>5</v>
      </c>
      <c r="U14" s="474" t="s">
        <v>1627</v>
      </c>
    </row>
    <row r="15" spans="1:21" ht="17.25" thickBot="1">
      <c r="A15" s="937"/>
      <c r="B15" s="976" t="s">
        <v>1571</v>
      </c>
      <c r="C15" s="977"/>
      <c r="D15" s="978"/>
      <c r="E15" s="942"/>
      <c r="F15" s="943"/>
      <c r="G15" s="828" t="s">
        <v>36</v>
      </c>
      <c r="H15" s="830"/>
      <c r="I15" s="974">
        <f>TRUNC(I14*M15,-1)</f>
        <v>3160</v>
      </c>
      <c r="J15" s="975"/>
      <c r="K15" s="65">
        <f>I15/$N$30</f>
        <v>3.9500000000000004E-3</v>
      </c>
      <c r="L15" s="294">
        <f>I15/I14</f>
        <v>0.11516034985422741</v>
      </c>
      <c r="M15" s="299">
        <f>IF(AND(D3&gt;=44197,D3&lt;=44561),11.52%,12.27%)</f>
        <v>0.1152</v>
      </c>
      <c r="N15" t="s">
        <v>459</v>
      </c>
      <c r="P15" s="266">
        <f>SUM(K14:K15)</f>
        <v>3.8249999999999999E-2</v>
      </c>
      <c r="R15" s="476">
        <f>SUM(T14,U15)</f>
        <v>8</v>
      </c>
      <c r="S15" s="473" t="s">
        <v>1624</v>
      </c>
      <c r="T15" s="477">
        <f>IF(OR($L$1&gt;EOMONTH($D$3,-1)+1,$M$1&lt;EOMONTH($D$3,0)),NETWORKDAYS($L$1,$M$1),NETWORKDAYS(EOMONTH($D$3,-1)+1,EOMONTH($D$3,0)))</f>
        <v>23</v>
      </c>
      <c r="U15" s="475">
        <f>T13-T15-T14</f>
        <v>3</v>
      </c>
    </row>
    <row r="16" spans="1:21" ht="17.25" thickBot="1">
      <c r="A16" s="937"/>
      <c r="B16" s="970" t="s">
        <v>1322</v>
      </c>
      <c r="C16" s="838"/>
      <c r="D16" s="839"/>
      <c r="E16" s="942"/>
      <c r="F16" s="943"/>
      <c r="G16" s="849" t="s">
        <v>37</v>
      </c>
      <c r="H16" s="851"/>
      <c r="I16" s="974">
        <f>IF(AND(P35=1,T6=1),IF(L16&gt;=65,0,TRUNC($N$30*M16,-1)),0)</f>
        <v>6400</v>
      </c>
      <c r="J16" s="975"/>
      <c r="K16" s="65">
        <f>I16/$N$30</f>
        <v>8.0000000000000002E-3</v>
      </c>
      <c r="L16" s="617">
        <f>DATEDIF($G$6,B7,"y")</f>
        <v>56</v>
      </c>
      <c r="M16" s="366">
        <v>8.0000000000000002E-3</v>
      </c>
      <c r="N16" s="15" t="s">
        <v>1390</v>
      </c>
      <c r="P16" t="s">
        <v>1723</v>
      </c>
      <c r="S16" s="616" t="s">
        <v>1625</v>
      </c>
      <c r="T16" s="478">
        <f>VLOOKUP(EOMONTH(D3,-1)+1,주40시간,6)</f>
        <v>0</v>
      </c>
    </row>
    <row r="17" spans="1:22">
      <c r="A17" s="937"/>
      <c r="B17" s="823" t="s">
        <v>1331</v>
      </c>
      <c r="C17" s="824"/>
      <c r="D17" s="825"/>
      <c r="E17" s="942">
        <f>I35+I37</f>
        <v>0</v>
      </c>
      <c r="F17" s="943"/>
      <c r="G17" s="828" t="s">
        <v>38</v>
      </c>
      <c r="H17" s="830"/>
      <c r="I17" s="787"/>
      <c r="J17" s="789"/>
      <c r="K17" s="293">
        <f>SUM(K13:K16)</f>
        <v>9.1249999999999998E-2</v>
      </c>
      <c r="M17" s="66" t="s">
        <v>593</v>
      </c>
      <c r="N17" s="389">
        <f>C28</f>
        <v>34782</v>
      </c>
      <c r="S17" s="473" t="s">
        <v>1626</v>
      </c>
      <c r="T17" s="481">
        <f>T15-T16</f>
        <v>23</v>
      </c>
    </row>
    <row r="18" spans="1:22">
      <c r="A18" s="937"/>
      <c r="B18" s="823" t="s">
        <v>1332</v>
      </c>
      <c r="C18" s="824"/>
      <c r="D18" s="825"/>
      <c r="E18" s="942"/>
      <c r="F18" s="943"/>
      <c r="G18" s="862" t="s">
        <v>43</v>
      </c>
      <c r="H18" s="967"/>
      <c r="I18" s="787"/>
      <c r="J18" s="789"/>
      <c r="M18" s="66" t="s">
        <v>460</v>
      </c>
      <c r="N18" s="389">
        <f>C29</f>
        <v>17391</v>
      </c>
      <c r="R18" s="9"/>
      <c r="S18" s="473" t="s">
        <v>1629</v>
      </c>
      <c r="T18" s="481">
        <f>T17+U15</f>
        <v>26</v>
      </c>
    </row>
    <row r="19" spans="1:22" ht="17.25" thickBot="1">
      <c r="A19" s="937"/>
      <c r="B19" s="823" t="s">
        <v>1333</v>
      </c>
      <c r="C19" s="824"/>
      <c r="D19" s="825"/>
      <c r="E19" s="942"/>
      <c r="F19" s="943"/>
      <c r="G19" s="862" t="s">
        <v>44</v>
      </c>
      <c r="H19" s="967"/>
      <c r="I19" s="787"/>
      <c r="J19" s="789"/>
      <c r="M19" s="66" t="s">
        <v>63</v>
      </c>
      <c r="N19" s="389">
        <f>N18*8*(J28*J29/40)</f>
        <v>34782</v>
      </c>
      <c r="P19" s="391">
        <f>365/12</f>
        <v>30.416666666666668</v>
      </c>
      <c r="R19" s="9"/>
      <c r="S19" s="177"/>
      <c r="T19" s="9"/>
    </row>
    <row r="20" spans="1:22" ht="17.25" thickBot="1">
      <c r="A20" s="937"/>
      <c r="B20" s="944" t="s">
        <v>1265</v>
      </c>
      <c r="C20" s="945"/>
      <c r="D20" s="946"/>
      <c r="E20" s="942"/>
      <c r="F20" s="943"/>
      <c r="G20" s="828" t="s">
        <v>41</v>
      </c>
      <c r="H20" s="830"/>
      <c r="I20" s="787"/>
      <c r="J20" s="789"/>
      <c r="M20" s="66" t="s">
        <v>1156</v>
      </c>
      <c r="N20" s="67"/>
      <c r="O20" t="s">
        <v>461</v>
      </c>
      <c r="P20" s="284">
        <f>P19/7</f>
        <v>4.3452380952380958</v>
      </c>
      <c r="Q20" t="s">
        <v>1154</v>
      </c>
      <c r="R20" s="704" t="s">
        <v>1876</v>
      </c>
      <c r="S20" s="623">
        <f>TRUNC((SUM(E13:F16,E20:F22)-V23)/A31/U13,0)/J29</f>
        <v>17391</v>
      </c>
      <c r="T20" s="615" t="s">
        <v>1787</v>
      </c>
      <c r="U20" s="620" t="s">
        <v>1786</v>
      </c>
      <c r="V20" s="620" t="s">
        <v>1800</v>
      </c>
    </row>
    <row r="21" spans="1:22" ht="16.5" customHeight="1">
      <c r="A21" s="937"/>
      <c r="B21" s="979" t="s">
        <v>1266</v>
      </c>
      <c r="C21" s="980"/>
      <c r="D21" s="981"/>
      <c r="E21" s="982">
        <v>0</v>
      </c>
      <c r="F21" s="983"/>
      <c r="G21" s="828"/>
      <c r="H21" s="830"/>
      <c r="I21" s="787"/>
      <c r="J21" s="789"/>
      <c r="M21" s="66" t="s">
        <v>22</v>
      </c>
      <c r="N21" s="286"/>
      <c r="P21" s="177"/>
      <c r="R21" s="9"/>
      <c r="S21" s="551" t="s">
        <v>1798</v>
      </c>
      <c r="T21" s="619">
        <f>VLOOKUP(YEAR(D3),최저임금!$O$44:$Q$49,3)</f>
        <v>54674</v>
      </c>
      <c r="U21" s="619">
        <f>VLOOKUP(YEAR(D3),최저임금!$O$44:$Q$49,2)</f>
        <v>273372</v>
      </c>
    </row>
    <row r="22" spans="1:22">
      <c r="A22" s="938"/>
      <c r="B22" s="979" t="s">
        <v>1267</v>
      </c>
      <c r="C22" s="980"/>
      <c r="D22" s="981"/>
      <c r="E22" s="942">
        <v>0</v>
      </c>
      <c r="F22" s="943"/>
      <c r="G22" s="828" t="s">
        <v>40</v>
      </c>
      <c r="H22" s="830"/>
      <c r="I22" s="787"/>
      <c r="J22" s="789"/>
      <c r="L22" s="10"/>
      <c r="M22" s="66" t="s">
        <v>1157</v>
      </c>
      <c r="N22" s="285">
        <v>650000</v>
      </c>
      <c r="P22" s="9"/>
      <c r="R22" s="9"/>
      <c r="S22" s="702" t="s">
        <v>1796</v>
      </c>
      <c r="T22" s="618">
        <f>MAX((E21+E22)-T21,0)</f>
        <v>0</v>
      </c>
      <c r="U22" s="66">
        <f>MAX(IF(U21&lt;=(E24),U21,0),0)</f>
        <v>0</v>
      </c>
      <c r="V22" s="622">
        <f>SUM(T22:U22)</f>
        <v>0</v>
      </c>
    </row>
    <row r="23" spans="1:22">
      <c r="A23" s="936" t="s">
        <v>1323</v>
      </c>
      <c r="B23" s="834" t="s">
        <v>1362</v>
      </c>
      <c r="C23" s="835"/>
      <c r="D23" s="836"/>
      <c r="E23" s="942"/>
      <c r="F23" s="943"/>
      <c r="G23" s="828"/>
      <c r="H23" s="842"/>
      <c r="I23" s="787"/>
      <c r="J23" s="789"/>
      <c r="M23" s="66" t="s">
        <v>1155</v>
      </c>
      <c r="N23" s="392">
        <f>I27-N22</f>
        <v>77000</v>
      </c>
      <c r="P23" s="9"/>
      <c r="R23" s="9"/>
      <c r="S23" s="702" t="s">
        <v>1797</v>
      </c>
      <c r="T23" s="618">
        <f>(E20+E21)-T22</f>
        <v>0</v>
      </c>
      <c r="U23" s="621">
        <f>D25+D26-U22</f>
        <v>0</v>
      </c>
      <c r="V23" s="622">
        <f>SUM(T23:U23)</f>
        <v>0</v>
      </c>
    </row>
    <row r="24" spans="1:22" ht="16.5" customHeight="1">
      <c r="A24" s="937"/>
      <c r="B24" s="837" t="s">
        <v>1460</v>
      </c>
      <c r="C24" s="838"/>
      <c r="D24" s="839"/>
      <c r="E24" s="942"/>
      <c r="F24" s="943"/>
      <c r="G24" s="828" t="s">
        <v>25</v>
      </c>
      <c r="H24" s="842"/>
      <c r="I24" s="846">
        <f>CHOOSE(L3,IF(N30&lt;=10000000,VLOOKUP(N30/1000,간이세액표2021,A39+B39+2),VLOOKUP(N30/1000,간이세액표2021,A39+B39+2)+VLOOKUP(N30,근로세율,3)+(N30-VLOOKUP(N30,근로세율,4))*VLOOKUP(N30,근로세율,5)*VLOOKUP(N30,근로세율,6)),CHOOSE(O1,IF(C28&gt;O5,TRUNC((C28-O5)*A31*R3,-1),0),IF(C28&gt;P5,TRUNC((C28-P5)*A31*R3,-1),0)))</f>
        <v>0</v>
      </c>
      <c r="J24" s="848"/>
      <c r="P24" s="236"/>
      <c r="R24" s="9"/>
      <c r="S24" s="702" t="s">
        <v>1799</v>
      </c>
      <c r="T24" s="68">
        <f>SUM(T22:T23)</f>
        <v>0</v>
      </c>
      <c r="U24" s="68">
        <f>SUM(U22:U23)</f>
        <v>0</v>
      </c>
      <c r="V24" s="622">
        <f>SUM(T24:U24)</f>
        <v>0</v>
      </c>
    </row>
    <row r="25" spans="1:22">
      <c r="A25" s="938"/>
      <c r="B25" s="970" t="s">
        <v>42</v>
      </c>
      <c r="C25" s="838"/>
      <c r="D25" s="839"/>
      <c r="E25" s="942"/>
      <c r="F25" s="943"/>
      <c r="G25" s="840" t="s">
        <v>35</v>
      </c>
      <c r="H25" s="842"/>
      <c r="I25" s="846">
        <f>IF(I24=0,0,CHOOSE(L3,TRUNC(I24*10%,-1),CHOOSE(O1,IF(F28&gt;O5,TRUNC((F28-O5)*R3*10%,-1)*A31,0),IF(F28&gt;P5,TRUNC((F28-P5)*A31*R3*10%,-1),0))))</f>
        <v>0</v>
      </c>
      <c r="J25" s="848"/>
      <c r="M25" s="66" t="s">
        <v>462</v>
      </c>
      <c r="N25" s="384">
        <f>E13/A31/J29</f>
        <v>17391.304347826088</v>
      </c>
      <c r="O25" s="385">
        <f>N25*A31*J29</f>
        <v>800000</v>
      </c>
      <c r="P25" s="15" t="s">
        <v>1566</v>
      </c>
      <c r="R25" s="9"/>
      <c r="S25" s="177"/>
      <c r="T25" s="9"/>
    </row>
    <row r="26" spans="1:22" ht="17.25" thickBot="1">
      <c r="A26" s="802" t="s">
        <v>7</v>
      </c>
      <c r="B26" s="803"/>
      <c r="C26" s="803"/>
      <c r="D26" s="804"/>
      <c r="E26" s="805">
        <f>SUM(E13:F25)</f>
        <v>800000</v>
      </c>
      <c r="F26" s="806"/>
      <c r="G26" s="807" t="s">
        <v>15</v>
      </c>
      <c r="H26" s="809"/>
      <c r="I26" s="787">
        <f>SUM(I13:J25)</f>
        <v>73000</v>
      </c>
      <c r="J26" s="789"/>
      <c r="K26" s="627">
        <f>IF(F29&lt;15,J28*J29,"")</f>
        <v>10</v>
      </c>
      <c r="P26" s="10"/>
      <c r="R26" s="9"/>
      <c r="S26" s="177"/>
      <c r="T26" s="9"/>
    </row>
    <row r="27" spans="1:22" ht="17.25" thickBot="1">
      <c r="A27" s="951" t="s">
        <v>1465</v>
      </c>
      <c r="B27" s="952"/>
      <c r="C27" s="986">
        <f>T17</f>
        <v>23</v>
      </c>
      <c r="D27" s="987"/>
      <c r="E27" s="422">
        <f>J29</f>
        <v>2</v>
      </c>
      <c r="F27" s="423">
        <f>C27*E27</f>
        <v>46</v>
      </c>
      <c r="G27" s="968" t="s">
        <v>16</v>
      </c>
      <c r="H27" s="969"/>
      <c r="I27" s="818">
        <f>E26-I26</f>
        <v>727000</v>
      </c>
      <c r="J27" s="820"/>
      <c r="K27" s="15" t="s">
        <v>1262</v>
      </c>
      <c r="N27" s="10"/>
      <c r="P27" s="236"/>
      <c r="R27" s="9"/>
      <c r="S27" s="177"/>
      <c r="T27" s="9"/>
    </row>
    <row r="28" spans="1:22" ht="16.5" customHeight="1" outlineLevel="1">
      <c r="A28" s="947" t="s">
        <v>1454</v>
      </c>
      <c r="B28" s="947"/>
      <c r="C28" s="948">
        <f>TRUNC(SUM(E13:F16,E20:F22)/A31/U13,0)</f>
        <v>34782</v>
      </c>
      <c r="D28" s="948"/>
      <c r="E28" s="948"/>
      <c r="F28" s="771" t="s">
        <v>1464</v>
      </c>
      <c r="G28" s="939"/>
      <c r="H28" s="949" t="s">
        <v>1462</v>
      </c>
      <c r="I28" s="950"/>
      <c r="J28" s="338">
        <v>5</v>
      </c>
      <c r="K28" t="s">
        <v>1327</v>
      </c>
      <c r="P28" s="800" t="s">
        <v>1326</v>
      </c>
      <c r="Q28" s="984"/>
      <c r="R28" s="985" t="s">
        <v>1158</v>
      </c>
      <c r="S28" s="984"/>
      <c r="T28" s="338">
        <v>6</v>
      </c>
    </row>
    <row r="29" spans="1:22" ht="16.5" customHeight="1" outlineLevel="1">
      <c r="A29" s="798" t="s">
        <v>460</v>
      </c>
      <c r="B29" s="798"/>
      <c r="C29" s="922">
        <f>TRUNC(C28/J29,0)</f>
        <v>17391</v>
      </c>
      <c r="D29" s="923"/>
      <c r="E29" s="924"/>
      <c r="F29" s="940">
        <f>J28*J29</f>
        <v>10</v>
      </c>
      <c r="G29" s="941"/>
      <c r="H29" s="800" t="s">
        <v>1463</v>
      </c>
      <c r="I29" s="801"/>
      <c r="J29" s="532">
        <v>2</v>
      </c>
      <c r="K29" t="s">
        <v>1328</v>
      </c>
      <c r="M29" s="456" t="s">
        <v>1274</v>
      </c>
      <c r="N29" s="285">
        <v>0</v>
      </c>
      <c r="P29">
        <f>6*2</f>
        <v>12</v>
      </c>
      <c r="R29" s="963" t="s">
        <v>458</v>
      </c>
      <c r="S29" s="963"/>
      <c r="T29" s="8">
        <v>2</v>
      </c>
    </row>
    <row r="30" spans="1:22">
      <c r="A30" s="963" t="s">
        <v>783</v>
      </c>
      <c r="B30" s="963"/>
      <c r="C30" s="964" t="s">
        <v>1461</v>
      </c>
      <c r="D30" s="965"/>
      <c r="E30" s="966"/>
      <c r="F30" s="777" t="s">
        <v>684</v>
      </c>
      <c r="G30" s="778"/>
      <c r="H30" s="777" t="s">
        <v>17</v>
      </c>
      <c r="I30" s="778"/>
      <c r="J30" s="484" t="s">
        <v>685</v>
      </c>
      <c r="K30" t="s">
        <v>1329</v>
      </c>
      <c r="M30" s="268" t="s">
        <v>1146</v>
      </c>
      <c r="N30" s="283">
        <f>N32-N31</f>
        <v>800000</v>
      </c>
    </row>
    <row r="31" spans="1:22" ht="17.25" thickBot="1">
      <c r="A31" s="406">
        <f>C27</f>
        <v>23</v>
      </c>
      <c r="B31" s="421">
        <f>A31*J29</f>
        <v>46</v>
      </c>
      <c r="C31" s="779">
        <f>B31+F31+J31</f>
        <v>46</v>
      </c>
      <c r="D31" s="780"/>
      <c r="E31" s="781"/>
      <c r="F31" s="782">
        <v>0</v>
      </c>
      <c r="G31" s="782"/>
      <c r="H31" s="782">
        <v>0</v>
      </c>
      <c r="I31" s="782"/>
      <c r="J31" s="336">
        <v>0</v>
      </c>
      <c r="M31" s="268" t="s">
        <v>1147</v>
      </c>
      <c r="N31" s="283">
        <f>MIN(IF(E20="",0,E20),100000)+MIN(IF(E21="",0,E21),200000)+MIN(IF(E22="",0,E22),100000)</f>
        <v>0</v>
      </c>
    </row>
    <row r="32" spans="1:22" ht="8.25" customHeight="1" thickBot="1">
      <c r="A32" s="339"/>
      <c r="B32" s="339"/>
      <c r="C32" s="339"/>
      <c r="D32" s="339"/>
      <c r="E32" s="339"/>
      <c r="F32" s="339"/>
      <c r="G32" s="339"/>
      <c r="H32" s="339"/>
      <c r="I32" s="339"/>
      <c r="J32" s="340"/>
      <c r="M32" s="268" t="s">
        <v>1148</v>
      </c>
      <c r="N32" s="283">
        <f>E26</f>
        <v>800000</v>
      </c>
    </row>
    <row r="33" spans="1:19" ht="17.25" thickBot="1">
      <c r="A33" s="919" t="s">
        <v>18</v>
      </c>
      <c r="B33" s="920"/>
      <c r="C33" s="920"/>
      <c r="D33" s="920"/>
      <c r="E33" s="920"/>
      <c r="F33" s="920"/>
      <c r="G33" s="920"/>
      <c r="H33" s="920"/>
      <c r="I33" s="920"/>
      <c r="J33" s="920"/>
    </row>
    <row r="34" spans="1:19">
      <c r="A34" s="766" t="s">
        <v>20</v>
      </c>
      <c r="B34" s="766"/>
      <c r="C34" s="766" t="s">
        <v>21</v>
      </c>
      <c r="D34" s="766"/>
      <c r="E34" s="766"/>
      <c r="F34" s="766"/>
      <c r="G34" s="766"/>
      <c r="H34" s="766"/>
      <c r="I34" s="766" t="s">
        <v>22</v>
      </c>
      <c r="J34" s="766"/>
      <c r="M34" s="297" t="s">
        <v>1168</v>
      </c>
      <c r="N34" s="285">
        <f>N30</f>
        <v>800000</v>
      </c>
    </row>
    <row r="35" spans="1:19">
      <c r="A35" s="910" t="s">
        <v>23</v>
      </c>
      <c r="B35" s="910"/>
      <c r="C35" s="768">
        <f>F31</f>
        <v>0</v>
      </c>
      <c r="D35" s="769"/>
      <c r="E35" s="6" t="s">
        <v>48</v>
      </c>
      <c r="F35" s="23">
        <f>F31</f>
        <v>0</v>
      </c>
      <c r="G35" s="6" t="s">
        <v>48</v>
      </c>
      <c r="H35" s="7">
        <v>1.5</v>
      </c>
      <c r="I35" s="770">
        <f>C35*F35*H35</f>
        <v>0</v>
      </c>
      <c r="J35" s="770"/>
      <c r="M35" s="350">
        <v>2</v>
      </c>
      <c r="P35" s="350">
        <v>1</v>
      </c>
    </row>
    <row r="36" spans="1:19">
      <c r="A36" s="906" t="s">
        <v>1018</v>
      </c>
      <c r="B36" s="906"/>
      <c r="C36" s="758">
        <f>H31</f>
        <v>0</v>
      </c>
      <c r="D36" s="759"/>
      <c r="E36" s="11" t="s">
        <v>48</v>
      </c>
      <c r="F36" s="24">
        <f>H31</f>
        <v>0</v>
      </c>
      <c r="G36" s="11" t="s">
        <v>48</v>
      </c>
      <c r="H36" s="12">
        <v>0.5</v>
      </c>
      <c r="I36" s="728">
        <f>C36*F36*H36</f>
        <v>0</v>
      </c>
      <c r="J36" s="728"/>
      <c r="M36" s="16"/>
    </row>
    <row r="37" spans="1:19">
      <c r="A37" s="918" t="s">
        <v>24</v>
      </c>
      <c r="B37" s="918"/>
      <c r="C37" s="761">
        <f>J31</f>
        <v>0</v>
      </c>
      <c r="D37" s="762"/>
      <c r="E37" s="13" t="s">
        <v>48</v>
      </c>
      <c r="F37" s="25">
        <f>J31</f>
        <v>0</v>
      </c>
      <c r="G37" s="13" t="s">
        <v>48</v>
      </c>
      <c r="H37" s="28">
        <v>1.5</v>
      </c>
      <c r="I37" s="763">
        <f>C37*F37*H37</f>
        <v>0</v>
      </c>
      <c r="J37" s="763"/>
      <c r="M37" s="16"/>
    </row>
    <row r="38" spans="1:19">
      <c r="A38" s="910" t="s">
        <v>25</v>
      </c>
      <c r="B38" s="910"/>
      <c r="C38" s="957" t="s">
        <v>1330</v>
      </c>
      <c r="D38" s="957"/>
      <c r="E38" s="957"/>
      <c r="F38" s="957"/>
      <c r="G38" s="957"/>
      <c r="H38" s="957"/>
      <c r="I38" s="733">
        <f>I24</f>
        <v>0</v>
      </c>
      <c r="J38" s="735"/>
      <c r="M38" s="16"/>
    </row>
    <row r="39" spans="1:19">
      <c r="A39" s="434">
        <v>1</v>
      </c>
      <c r="B39" s="295">
        <v>0</v>
      </c>
      <c r="C39" s="958" t="s">
        <v>50</v>
      </c>
      <c r="D39" s="959"/>
      <c r="E39" s="959"/>
      <c r="F39" s="959"/>
      <c r="G39" s="959"/>
      <c r="H39" s="959"/>
      <c r="I39" s="739">
        <f>I25</f>
        <v>0</v>
      </c>
      <c r="J39" s="741"/>
      <c r="M39" s="16"/>
    </row>
    <row r="40" spans="1:19">
      <c r="A40" s="917" t="s">
        <v>26</v>
      </c>
      <c r="B40" s="917"/>
      <c r="C40" s="960" t="str">
        <f>CHOOSE(M35,"국민연금공단 결정보험료(1/2)","상기 과세급여")</f>
        <v>상기 과세급여</v>
      </c>
      <c r="D40" s="961"/>
      <c r="E40" s="962"/>
      <c r="F40" s="304">
        <f>CHOOSE($M$35,$N$34,$N$30)</f>
        <v>800000</v>
      </c>
      <c r="G40" s="302">
        <f>M13</f>
        <v>4.4999999999999998E-2</v>
      </c>
      <c r="H40" s="306">
        <f>TRUNC(F40*G40,-1)</f>
        <v>36000</v>
      </c>
      <c r="I40" s="746">
        <f>I13</f>
        <v>36000</v>
      </c>
      <c r="J40" s="746"/>
      <c r="M40" s="68">
        <f>H40-I40</f>
        <v>0</v>
      </c>
      <c r="N40" s="68">
        <f>I13-I40</f>
        <v>0</v>
      </c>
    </row>
    <row r="41" spans="1:19">
      <c r="A41" s="906" t="s">
        <v>28</v>
      </c>
      <c r="B41" s="906"/>
      <c r="C41" s="954" t="str">
        <f>CHOOSE(M35,"건강보험공단 고지금액","상기 과세급여")</f>
        <v>상기 과세급여</v>
      </c>
      <c r="D41" s="955"/>
      <c r="E41" s="956"/>
      <c r="F41" s="305">
        <f>CHOOSE($M$35,$N$34,$N$30)</f>
        <v>800000</v>
      </c>
      <c r="G41" s="303">
        <f>M14</f>
        <v>3.4300000000000004E-2</v>
      </c>
      <c r="H41" s="307">
        <f t="shared" ref="H41" si="0">TRUNC(F41*G41,-1)</f>
        <v>27440</v>
      </c>
      <c r="I41" s="728">
        <f>SUM(I14,I18)</f>
        <v>27440</v>
      </c>
      <c r="J41" s="728"/>
      <c r="M41" s="68">
        <f>H41-I41</f>
        <v>0</v>
      </c>
      <c r="N41" s="68">
        <f>I14-I41</f>
        <v>0</v>
      </c>
      <c r="P41">
        <f>365/12/7</f>
        <v>4.3452380952380958</v>
      </c>
      <c r="Q41">
        <f>365/12/7</f>
        <v>4.3452380952380958</v>
      </c>
      <c r="R41">
        <f>365/12/7</f>
        <v>4.3452380952380958</v>
      </c>
      <c r="S41">
        <f>365/12/7</f>
        <v>4.3452380952380958</v>
      </c>
    </row>
    <row r="42" spans="1:19">
      <c r="A42" s="906" t="s">
        <v>29</v>
      </c>
      <c r="B42" s="906"/>
      <c r="C42" s="954" t="str">
        <f>CHOOSE(M35,"건강보험공단 고지금액","상기 건강보험료의")</f>
        <v>상기 건강보험료의</v>
      </c>
      <c r="D42" s="955"/>
      <c r="E42" s="956"/>
      <c r="F42" s="305">
        <f>I41</f>
        <v>27440</v>
      </c>
      <c r="G42" s="303">
        <f>M15</f>
        <v>0.1152</v>
      </c>
      <c r="H42" s="307">
        <f>TRUNC(F42*G42,-1)</f>
        <v>3160</v>
      </c>
      <c r="I42" s="728">
        <f>SUM(I15,I19)</f>
        <v>3160</v>
      </c>
      <c r="J42" s="728"/>
      <c r="M42" s="68">
        <f>H42-I42</f>
        <v>0</v>
      </c>
      <c r="N42" s="68">
        <f>I15-I42</f>
        <v>0</v>
      </c>
      <c r="P42">
        <f>(8*5)+8</f>
        <v>48</v>
      </c>
      <c r="Q42">
        <f>8*5</f>
        <v>40</v>
      </c>
      <c r="R42">
        <f>2*5</f>
        <v>10</v>
      </c>
      <c r="S42">
        <f>2*6</f>
        <v>12</v>
      </c>
    </row>
    <row r="43" spans="1:19">
      <c r="A43" s="906" t="s">
        <v>27</v>
      </c>
      <c r="B43" s="906"/>
      <c r="C43" s="954" t="s">
        <v>1169</v>
      </c>
      <c r="D43" s="955"/>
      <c r="E43" s="956"/>
      <c r="F43" s="305">
        <f>CHOOSE($M$35,$N$34,$N$30)</f>
        <v>800000</v>
      </c>
      <c r="G43" s="303">
        <f>M16</f>
        <v>8.0000000000000002E-3</v>
      </c>
      <c r="H43" s="307">
        <f>CHOOSE(T6,TRUNC(F43*G43,-1),"고용보험 미대상")</f>
        <v>6400</v>
      </c>
      <c r="I43" s="728">
        <f>I16</f>
        <v>6400</v>
      </c>
      <c r="J43" s="728"/>
      <c r="M43" s="68">
        <f>H43-I43</f>
        <v>0</v>
      </c>
      <c r="N43" s="68">
        <f>I16-I43</f>
        <v>0</v>
      </c>
      <c r="P43" s="527">
        <f>ROUND(P41*P42,0)</f>
        <v>209</v>
      </c>
      <c r="Q43" s="527">
        <f>ROUND(Q41*Q42,0)</f>
        <v>174</v>
      </c>
      <c r="R43" s="527">
        <f>ROUND(R41*R42,0)</f>
        <v>43</v>
      </c>
      <c r="S43" s="527">
        <f>ROUND(S41*S42,0)</f>
        <v>52</v>
      </c>
    </row>
    <row r="44" spans="1:19">
      <c r="A44" s="902"/>
      <c r="B44" s="902"/>
      <c r="C44" s="953"/>
      <c r="D44" s="953"/>
      <c r="E44" s="953"/>
      <c r="F44" s="953"/>
      <c r="G44" s="953"/>
      <c r="H44" s="953"/>
      <c r="I44" s="723"/>
      <c r="J44" s="723"/>
      <c r="M44" s="16"/>
      <c r="Q44" s="526"/>
    </row>
    <row r="45" spans="1:19">
      <c r="A45" s="19" t="s">
        <v>31</v>
      </c>
      <c r="J45" s="22" t="s">
        <v>653</v>
      </c>
    </row>
    <row r="46" spans="1:19">
      <c r="J46" s="4" t="s">
        <v>30</v>
      </c>
    </row>
    <row r="48" spans="1:19">
      <c r="D48" t="s">
        <v>1150</v>
      </c>
      <c r="M48" s="17"/>
    </row>
    <row r="49" spans="4:13">
      <c r="D49" t="s">
        <v>1152</v>
      </c>
    </row>
    <row r="50" spans="4:13">
      <c r="D50" t="s">
        <v>1151</v>
      </c>
    </row>
    <row r="55" spans="4:13">
      <c r="M55" s="17"/>
    </row>
    <row r="63" spans="4:13">
      <c r="M63" s="17"/>
    </row>
    <row r="65" spans="1:13">
      <c r="M65" s="18"/>
    </row>
    <row r="66" spans="1:13">
      <c r="A66" s="18"/>
      <c r="M66" s="18"/>
    </row>
    <row r="67" spans="1:13">
      <c r="A67" s="18"/>
      <c r="M67" s="18"/>
    </row>
    <row r="68" spans="1:13">
      <c r="A68" s="18"/>
      <c r="M68" s="18"/>
    </row>
    <row r="69" spans="1:13">
      <c r="M69" s="18"/>
    </row>
    <row r="70" spans="1:13">
      <c r="A70" s="18"/>
      <c r="M70" s="18"/>
    </row>
    <row r="72" spans="1:13">
      <c r="M72" s="18"/>
    </row>
    <row r="78" spans="1:13">
      <c r="M78" s="18"/>
    </row>
    <row r="79" spans="1:13">
      <c r="M79" s="18"/>
    </row>
    <row r="80" spans="1:13">
      <c r="M80" s="18"/>
    </row>
    <row r="81" spans="13:13">
      <c r="M81" s="18"/>
    </row>
    <row r="83" spans="13:13">
      <c r="M83" s="18"/>
    </row>
    <row r="85" spans="13:13">
      <c r="M85" s="18"/>
    </row>
  </sheetData>
  <mergeCells count="139">
    <mergeCell ref="P28:Q28"/>
    <mergeCell ref="R28:S28"/>
    <mergeCell ref="R29:S29"/>
    <mergeCell ref="C27:D27"/>
    <mergeCell ref="D3:F3"/>
    <mergeCell ref="B5:F5"/>
    <mergeCell ref="G5:H5"/>
    <mergeCell ref="I5:J5"/>
    <mergeCell ref="B6:D6"/>
    <mergeCell ref="E6:F6"/>
    <mergeCell ref="G6:H6"/>
    <mergeCell ref="I6:J6"/>
    <mergeCell ref="B9:E9"/>
    <mergeCell ref="F9:G9"/>
    <mergeCell ref="H9:J9"/>
    <mergeCell ref="A10:J10"/>
    <mergeCell ref="A11:F11"/>
    <mergeCell ref="G11:J11"/>
    <mergeCell ref="B7:D7"/>
    <mergeCell ref="E7:F7"/>
    <mergeCell ref="G7:H7"/>
    <mergeCell ref="I7:J7"/>
    <mergeCell ref="G8:H8"/>
    <mergeCell ref="I8:J8"/>
    <mergeCell ref="A12:D12"/>
    <mergeCell ref="E12:F12"/>
    <mergeCell ref="G12:H12"/>
    <mergeCell ref="I12:J12"/>
    <mergeCell ref="B13:D13"/>
    <mergeCell ref="E13:F13"/>
    <mergeCell ref="G13:H13"/>
    <mergeCell ref="I13:J13"/>
    <mergeCell ref="B8:D8"/>
    <mergeCell ref="E8:F8"/>
    <mergeCell ref="B14:D14"/>
    <mergeCell ref="A13:A22"/>
    <mergeCell ref="I16:J16"/>
    <mergeCell ref="B17:D17"/>
    <mergeCell ref="E17:F17"/>
    <mergeCell ref="G17:H17"/>
    <mergeCell ref="I17:J17"/>
    <mergeCell ref="E14:F14"/>
    <mergeCell ref="G14:H14"/>
    <mergeCell ref="I14:J14"/>
    <mergeCell ref="B15:D15"/>
    <mergeCell ref="E15:F15"/>
    <mergeCell ref="G15:H15"/>
    <mergeCell ref="I15:J15"/>
    <mergeCell ref="B16:D16"/>
    <mergeCell ref="E16:F16"/>
    <mergeCell ref="G16:H16"/>
    <mergeCell ref="I20:J20"/>
    <mergeCell ref="B21:D21"/>
    <mergeCell ref="E21:F21"/>
    <mergeCell ref="G21:H21"/>
    <mergeCell ref="I21:J21"/>
    <mergeCell ref="B22:D22"/>
    <mergeCell ref="G18:H18"/>
    <mergeCell ref="I18:J18"/>
    <mergeCell ref="G19:H19"/>
    <mergeCell ref="I19:J19"/>
    <mergeCell ref="G27:H27"/>
    <mergeCell ref="I27:J27"/>
    <mergeCell ref="I24:J24"/>
    <mergeCell ref="B25:D25"/>
    <mergeCell ref="E25:F25"/>
    <mergeCell ref="G25:H25"/>
    <mergeCell ref="I25:J25"/>
    <mergeCell ref="E22:F22"/>
    <mergeCell ref="G22:H22"/>
    <mergeCell ref="I22:J22"/>
    <mergeCell ref="G23:H23"/>
    <mergeCell ref="I23:J23"/>
    <mergeCell ref="B23:D23"/>
    <mergeCell ref="E23:F23"/>
    <mergeCell ref="A33:J33"/>
    <mergeCell ref="A34:B34"/>
    <mergeCell ref="C34:H34"/>
    <mergeCell ref="I34:J34"/>
    <mergeCell ref="A35:B35"/>
    <mergeCell ref="C35:D35"/>
    <mergeCell ref="I35:J35"/>
    <mergeCell ref="A30:B30"/>
    <mergeCell ref="C30:E30"/>
    <mergeCell ref="F30:G30"/>
    <mergeCell ref="H30:I30"/>
    <mergeCell ref="C31:E31"/>
    <mergeCell ref="F31:G31"/>
    <mergeCell ref="H31:I31"/>
    <mergeCell ref="A38:B38"/>
    <mergeCell ref="C38:H38"/>
    <mergeCell ref="I38:J38"/>
    <mergeCell ref="C39:H39"/>
    <mergeCell ref="I39:J39"/>
    <mergeCell ref="A40:B40"/>
    <mergeCell ref="I40:J40"/>
    <mergeCell ref="C40:E40"/>
    <mergeCell ref="A36:B36"/>
    <mergeCell ref="C36:D36"/>
    <mergeCell ref="I36:J36"/>
    <mergeCell ref="A37:B37"/>
    <mergeCell ref="C37:D37"/>
    <mergeCell ref="I37:J37"/>
    <mergeCell ref="A42:B42"/>
    <mergeCell ref="I42:J42"/>
    <mergeCell ref="A44:B44"/>
    <mergeCell ref="C44:H44"/>
    <mergeCell ref="I44:J44"/>
    <mergeCell ref="C42:E42"/>
    <mergeCell ref="A43:B43"/>
    <mergeCell ref="I43:J43"/>
    <mergeCell ref="A41:B41"/>
    <mergeCell ref="I41:J41"/>
    <mergeCell ref="C43:E43"/>
    <mergeCell ref="C41:E41"/>
    <mergeCell ref="A23:A25"/>
    <mergeCell ref="F28:G28"/>
    <mergeCell ref="F29:G29"/>
    <mergeCell ref="B18:D18"/>
    <mergeCell ref="E18:F18"/>
    <mergeCell ref="B19:D19"/>
    <mergeCell ref="E19:F19"/>
    <mergeCell ref="B20:D20"/>
    <mergeCell ref="E20:F20"/>
    <mergeCell ref="A28:B28"/>
    <mergeCell ref="C28:E28"/>
    <mergeCell ref="B24:D24"/>
    <mergeCell ref="E24:F24"/>
    <mergeCell ref="G24:H24"/>
    <mergeCell ref="G20:H20"/>
    <mergeCell ref="H28:I28"/>
    <mergeCell ref="A29:B29"/>
    <mergeCell ref="C29:E29"/>
    <mergeCell ref="H29:I29"/>
    <mergeCell ref="A26:D26"/>
    <mergeCell ref="E26:F26"/>
    <mergeCell ref="G26:H26"/>
    <mergeCell ref="I26:J26"/>
    <mergeCell ref="A27:B27"/>
  </mergeCells>
  <phoneticPr fontId="2" type="noConversion"/>
  <conditionalFormatting sqref="F31:G31">
    <cfRule type="cellIs" dxfId="64" priority="25" operator="greaterThan">
      <formula>52</formula>
    </cfRule>
  </conditionalFormatting>
  <conditionalFormatting sqref="C31:E31">
    <cfRule type="cellIs" dxfId="63" priority="24" operator="greaterThan">
      <formula>261</formula>
    </cfRule>
  </conditionalFormatting>
  <conditionalFormatting sqref="M40:N43">
    <cfRule type="cellIs" dxfId="62" priority="21" operator="lessThan">
      <formula>0</formula>
    </cfRule>
    <cfRule type="cellIs" dxfId="61" priority="22" operator="greaterThan">
      <formula>0</formula>
    </cfRule>
    <cfRule type="cellIs" dxfId="60" priority="23" operator="equal">
      <formula>0</formula>
    </cfRule>
  </conditionalFormatting>
  <conditionalFormatting sqref="F29:G29">
    <cfRule type="cellIs" dxfId="59" priority="8" operator="equal">
      <formula>15</formula>
    </cfRule>
    <cfRule type="cellIs" dxfId="58" priority="9" operator="greaterThan">
      <formula>15</formula>
    </cfRule>
    <cfRule type="cellIs" dxfId="57" priority="14" operator="greaterThan">
      <formula>15</formula>
    </cfRule>
    <cfRule type="cellIs" dxfId="56" priority="15" operator="equal">
      <formula>15</formula>
    </cfRule>
    <cfRule type="cellIs" dxfId="55" priority="19" operator="equal">
      <formula>15</formula>
    </cfRule>
    <cfRule type="cellIs" dxfId="54" priority="20" operator="greaterThan">
      <formula>15</formula>
    </cfRule>
  </conditionalFormatting>
  <conditionalFormatting sqref="L13">
    <cfRule type="cellIs" dxfId="53" priority="13" operator="greaterThan">
      <formula>59</formula>
    </cfRule>
  </conditionalFormatting>
  <conditionalFormatting sqref="L16">
    <cfRule type="cellIs" dxfId="52" priority="12" operator="greaterThan">
      <formula>64</formula>
    </cfRule>
  </conditionalFormatting>
  <conditionalFormatting sqref="C29:E29">
    <cfRule type="cellIs" dxfId="51" priority="10" operator="equal">
      <formula>9160</formula>
    </cfRule>
    <cfRule type="cellIs" dxfId="50" priority="11" operator="lessThan">
      <formula>9160</formula>
    </cfRule>
  </conditionalFormatting>
  <conditionalFormatting sqref="S20">
    <cfRule type="cellIs" dxfId="49" priority="6" operator="lessThan">
      <formula>9160</formula>
    </cfRule>
  </conditionalFormatting>
  <conditionalFormatting sqref="B8:D8">
    <cfRule type="cellIs" dxfId="48" priority="1" operator="lessThan">
      <formula>$B$7</formula>
    </cfRule>
  </conditionalFormatting>
  <dataValidations count="8">
    <dataValidation allowBlank="1" showInputMessage="1" showErrorMessage="1" promptTitle="귀속월" prompt="귀속월의 실제 근무일수 기재" sqref="A31:B31" xr:uid="{A98125FE-E4F6-445B-BDB6-66B477D939F2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7" xr:uid="{1F687233-D632-4E6D-B2A5-2DAB13CB9313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42B99CFE-B8E5-4D65-8201-EF6DE38BD3D0}"/>
    <dataValidation allowBlank="1" showInputMessage="1" showErrorMessage="1" promptTitle="주40시간기준" prompt="52시간 초과금지_x000a_근로기준법 제53조(연장 근로의 제한)" sqref="F31:G31" xr:uid="{934E938E-5B75-426C-B34B-3534FEF2D594}"/>
    <dataValidation allowBlank="1" showInputMessage="1" showErrorMessage="1" promptTitle="주40시간 기준" prompt="주12시간 연장근로 초과 금지_x000a_225.952381시간 초과 금지?_x000a_261시간 초과 금지 ?" sqref="C31:E31" xr:uid="{2AC9B7B5-7529-4CFC-B924-8AF30763DEF7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J29 T28:T29" xr:uid="{022304A3-5D41-44D6-8AA9-E611EBA8F91A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672BD831-9463-42C1-973E-D846A9A01CE2}"/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BFBF91E4-7808-45EA-8323-487836344750}"/>
  </dataValidations>
  <hyperlinks>
    <hyperlink ref="A29:B29" r:id="rId1" display="시급" xr:uid="{95DDBE9E-A612-4086-A6E9-BDC8F6F7F8B4}"/>
    <hyperlink ref="A28:B28" r:id="rId2" display="통상시급" xr:uid="{C6809FA8-7309-4926-9297-AA884564F63D}"/>
    <hyperlink ref="A33:J33" r:id="rId3" display="계산 방법" xr:uid="{2BD8D69F-1584-4ECF-B211-5125A5A7E8CB}"/>
    <hyperlink ref="G16:H16" r:id="rId4" display="고용보험료" xr:uid="{E2038366-C864-466F-B55F-90D4CA74512E}"/>
    <hyperlink ref="K27" r:id="rId5" xr:uid="{E4809542-3B88-45D8-9510-437EA8A7B19F}"/>
    <hyperlink ref="M16" r:id="rId6" display="https://blog.naver.com/hope-pys/222547604214" xr:uid="{9267E382-7A64-4FE7-8759-F74183A35B4F}"/>
    <hyperlink ref="N16" r:id="rId7" xr:uid="{B952FF27-6DE5-4406-84AB-F4C50FF985D7}"/>
    <hyperlink ref="M6" r:id="rId8" xr:uid="{DD33C2F1-4941-4B14-A9BC-974037489711}"/>
    <hyperlink ref="P25" location="최저임금!A1" display="최저임금은" xr:uid="{769F4FE9-190B-4376-A4DC-CA1C7C84E90A}"/>
    <hyperlink ref="L10" r:id="rId9" xr:uid="{667B5129-CD79-4689-90CC-5226F9E4CFA2}"/>
    <hyperlink ref="L9" r:id="rId10" display="상시근로자 5인이상 연차수당 " xr:uid="{47F9B4B6-F102-478F-9E47-F56D9F61EB59}"/>
    <hyperlink ref="B15:D15" r:id="rId11" display="★주휴수당★ (별도표기)" xr:uid="{1DC5274B-128E-467E-8EEE-0388B915891B}"/>
    <hyperlink ref="M29" r:id="rId12" xr:uid="{D9935961-5658-41CB-B95C-27E025C39425}"/>
    <hyperlink ref="B23:D23" r:id="rId13" display="연차휴가수당" xr:uid="{48A2C637-A7A5-4DB6-9221-E7A859DB062B}"/>
    <hyperlink ref="S16" r:id="rId14" xr:uid="{117756FA-0B6D-4265-8B12-266E4D33F1C0}"/>
    <hyperlink ref="L16" r:id="rId15" display="https://cafe.daum.net/transtax/FWkz/224" xr:uid="{BAE5445E-636A-4355-BD81-5B52F505669E}"/>
    <hyperlink ref="O7" r:id="rId16" xr:uid="{B7EA1116-9517-4510-BFC0-725D89BC89C4}"/>
    <hyperlink ref="G12:H12" r:id="rId17" display="공제 항목" xr:uid="{18D397F8-2716-4C20-9CE4-E18800BE5927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portrait" verticalDpi="0" r:id="rId18"/>
  <drawing r:id="rId19"/>
  <legacyDrawing r:id="rId2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385" r:id="rId21" name="Group Box 1">
              <controlPr defaultSize="0" autoFill="0" autoPict="0">
                <anchor moveWithCells="1">
                  <from>
                    <xdr:col>14</xdr:col>
                    <xdr:colOff>0</xdr:colOff>
                    <xdr:row>2</xdr:row>
                    <xdr:rowOff>0</xdr:rowOff>
                  </from>
                  <to>
                    <xdr:col>17</xdr:col>
                    <xdr:colOff>38100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6" r:id="rId22" name="Option Button 2">
              <controlPr defaultSize="0" autoFill="0" autoLine="0" autoPict="0">
                <anchor moveWithCells="1">
                  <from>
                    <xdr:col>14</xdr:col>
                    <xdr:colOff>76200</xdr:colOff>
                    <xdr:row>2</xdr:row>
                    <xdr:rowOff>104775</xdr:rowOff>
                  </from>
                  <to>
                    <xdr:col>15</xdr:col>
                    <xdr:colOff>57150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7" r:id="rId23" name="Option Button 3">
              <controlPr defaultSize="0" autoFill="0" autoLine="0" autoPict="0">
                <anchor moveWithCells="1">
                  <from>
                    <xdr:col>15</xdr:col>
                    <xdr:colOff>219075</xdr:colOff>
                    <xdr:row>2</xdr:row>
                    <xdr:rowOff>104775</xdr:rowOff>
                  </from>
                  <to>
                    <xdr:col>16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8" r:id="rId24" name="Group Box 4">
              <controlPr defaultSize="0" autoFill="0" autoPict="0">
                <anchor moveWithCells="1">
                  <from>
                    <xdr:col>18</xdr:col>
                    <xdr:colOff>257175</xdr:colOff>
                    <xdr:row>1</xdr:row>
                    <xdr:rowOff>9525</xdr:rowOff>
                  </from>
                  <to>
                    <xdr:col>21</xdr:col>
                    <xdr:colOff>571500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9" r:id="rId25" name="Option Button 5">
              <controlPr defaultSize="0" autoFill="0" autoLine="0" autoPict="0">
                <anchor moveWithCells="1">
                  <from>
                    <xdr:col>18</xdr:col>
                    <xdr:colOff>381000</xdr:colOff>
                    <xdr:row>2</xdr:row>
                    <xdr:rowOff>133350</xdr:rowOff>
                  </from>
                  <to>
                    <xdr:col>19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0" r:id="rId26" name="Option Button 6">
              <controlPr defaultSize="0" autoFill="0" autoLine="0" autoPict="0">
                <anchor moveWithCells="1">
                  <from>
                    <xdr:col>20</xdr:col>
                    <xdr:colOff>190500</xdr:colOff>
                    <xdr:row>2</xdr:row>
                    <xdr:rowOff>161925</xdr:rowOff>
                  </from>
                  <to>
                    <xdr:col>21</xdr:col>
                    <xdr:colOff>504825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0" r:id="rId27" name="Group Box 26">
              <controlPr defaultSize="0" autoFill="0" autoPict="0">
                <anchor moveWithCells="1">
                  <from>
                    <xdr:col>11</xdr:col>
                    <xdr:colOff>609600</xdr:colOff>
                    <xdr:row>35</xdr:row>
                    <xdr:rowOff>95250</xdr:rowOff>
                  </from>
                  <to>
                    <xdr:col>15</xdr:col>
                    <xdr:colOff>161925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1" r:id="rId28" name="Option Button 27">
              <controlPr defaultSize="0" autoFill="0" autoLine="0" autoPict="0">
                <anchor moveWithCells="1">
                  <from>
                    <xdr:col>12</xdr:col>
                    <xdr:colOff>114300</xdr:colOff>
                    <xdr:row>37</xdr:row>
                    <xdr:rowOff>28575</xdr:rowOff>
                  </from>
                  <to>
                    <xdr:col>13</xdr:col>
                    <xdr:colOff>523875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3" r:id="rId29" name="Group Box 29">
              <controlPr defaultSize="0" autoFill="0" autoPict="0">
                <anchor moveWithCells="1">
                  <from>
                    <xdr:col>15</xdr:col>
                    <xdr:colOff>266700</xdr:colOff>
                    <xdr:row>35</xdr:row>
                    <xdr:rowOff>95250</xdr:rowOff>
                  </from>
                  <to>
                    <xdr:col>18</xdr:col>
                    <xdr:colOff>828675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4" r:id="rId30" name="Option Button 30">
              <controlPr defaultSize="0" autoFill="0" autoLine="0" autoPict="0">
                <anchor moveWithCells="1">
                  <from>
                    <xdr:col>15</xdr:col>
                    <xdr:colOff>438150</xdr:colOff>
                    <xdr:row>37</xdr:row>
                    <xdr:rowOff>9525</xdr:rowOff>
                  </from>
                  <to>
                    <xdr:col>17</xdr:col>
                    <xdr:colOff>28575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5" r:id="rId31" name="Option Button 31">
              <controlPr defaultSize="0" autoFill="0" autoLine="0" autoPict="0">
                <anchor moveWithCells="1">
                  <from>
                    <xdr:col>17</xdr:col>
                    <xdr:colOff>190500</xdr:colOff>
                    <xdr:row>37</xdr:row>
                    <xdr:rowOff>38100</xdr:rowOff>
                  </from>
                  <to>
                    <xdr:col>18</xdr:col>
                    <xdr:colOff>657225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5" r:id="rId32" name="Option Button 111">
              <controlPr defaultSize="0" autoFill="0" autoLine="0" autoPict="0">
                <anchor moveWithCells="1">
                  <from>
                    <xdr:col>13</xdr:col>
                    <xdr:colOff>600075</xdr:colOff>
                    <xdr:row>37</xdr:row>
                    <xdr:rowOff>38100</xdr:rowOff>
                  </from>
                  <to>
                    <xdr:col>14</xdr:col>
                    <xdr:colOff>647700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3" r:id="rId33" name="Group Box 119">
              <controlPr defaultSize="0" autoFill="0" autoPict="0">
                <anchor moveWithCells="1">
                  <from>
                    <xdr:col>0</xdr:col>
                    <xdr:colOff>133350</xdr:colOff>
                    <xdr:row>1</xdr:row>
                    <xdr:rowOff>9525</xdr:rowOff>
                  </from>
                  <to>
                    <xdr:col>3</xdr:col>
                    <xdr:colOff>19050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5" r:id="rId34" name="Option Button 121">
              <controlPr defaultSize="0" autoFill="0" autoLine="0" autoPict="0">
                <anchor moveWithCells="1">
                  <from>
                    <xdr:col>0</xdr:col>
                    <xdr:colOff>276225</xdr:colOff>
                    <xdr:row>2</xdr:row>
                    <xdr:rowOff>38100</xdr:rowOff>
                  </from>
                  <to>
                    <xdr:col>1</xdr:col>
                    <xdr:colOff>104775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7" r:id="rId35" name="Option Button 123">
              <controlPr defaultSize="0" autoFill="0" autoLine="0" autoPict="0">
                <anchor moveWithCells="1">
                  <from>
                    <xdr:col>1</xdr:col>
                    <xdr:colOff>285750</xdr:colOff>
                    <xdr:row>2</xdr:row>
                    <xdr:rowOff>47625</xdr:rowOff>
                  </from>
                  <to>
                    <xdr:col>2</xdr:col>
                    <xdr:colOff>142875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BBD58-2495-4ADF-84C5-F5B607AA065C}">
  <sheetPr codeName="Sheet14">
    <tabColor rgb="FF00B0F0"/>
    <pageSetUpPr fitToPage="1"/>
  </sheetPr>
  <dimension ref="A1:V94"/>
  <sheetViews>
    <sheetView showGridLines="0" workbookViewId="0">
      <selection activeCell="B14" sqref="B14:D14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1" width="9" customWidth="1"/>
    <col min="12" max="12" width="12.875" bestFit="1" customWidth="1"/>
    <col min="13" max="13" width="11" customWidth="1"/>
    <col min="14" max="14" width="16.875" customWidth="1"/>
    <col min="15" max="15" width="14.25" customWidth="1"/>
    <col min="16" max="16" width="12.625" customWidth="1"/>
    <col min="17" max="17" width="13.5" bestFit="1" customWidth="1"/>
    <col min="19" max="19" width="12.125" bestFit="1" customWidth="1"/>
    <col min="20" max="20" width="12.75" customWidth="1"/>
    <col min="21" max="21" width="9.375" bestFit="1" customWidth="1"/>
  </cols>
  <sheetData>
    <row r="1" spans="1:22">
      <c r="A1" s="3" t="s">
        <v>0</v>
      </c>
      <c r="M1" s="510">
        <f>IF($B$7&gt;EOMONTH($D$3,-1)+1,$B$7,EOMONTH($D$3,-1)+1)</f>
        <v>44501</v>
      </c>
      <c r="N1" s="511">
        <f>IF(AND($B$8&lt;&gt;"",$B$8&lt;EOMONTH($D$3,0)),$B$8,EOMONTH($D$3,0))</f>
        <v>44530</v>
      </c>
      <c r="P1" s="269">
        <v>1</v>
      </c>
      <c r="R1" s="289"/>
    </row>
    <row r="2" spans="1:22" ht="8.25" customHeight="1">
      <c r="M2" s="432">
        <v>2</v>
      </c>
    </row>
    <row r="3" spans="1:22" ht="20.25">
      <c r="D3" s="888">
        <v>44530</v>
      </c>
      <c r="E3" s="888"/>
      <c r="F3" s="888"/>
      <c r="G3" s="5" t="s">
        <v>1576</v>
      </c>
      <c r="I3" s="2"/>
      <c r="M3" s="15" t="s">
        <v>1388</v>
      </c>
      <c r="N3" s="15"/>
      <c r="S3" s="383">
        <v>2.7E-2</v>
      </c>
    </row>
    <row r="4" spans="1:22" ht="8.25" customHeight="1"/>
    <row r="5" spans="1:22">
      <c r="A5" t="s">
        <v>12</v>
      </c>
      <c r="B5" s="889" t="s">
        <v>47</v>
      </c>
      <c r="C5" s="889"/>
      <c r="D5" s="889"/>
      <c r="E5" s="889"/>
      <c r="F5" s="889"/>
      <c r="G5" s="714" t="s">
        <v>11</v>
      </c>
      <c r="H5" s="714"/>
      <c r="I5" s="988">
        <v>44530</v>
      </c>
      <c r="J5" s="988"/>
      <c r="K5" s="514"/>
      <c r="N5" s="430">
        <f>DATEDIF($B$7,$N$1,"y")</f>
        <v>0</v>
      </c>
      <c r="P5" s="270">
        <v>187030</v>
      </c>
      <c r="Q5" s="270">
        <v>150000</v>
      </c>
      <c r="S5" s="272"/>
    </row>
    <row r="6" spans="1:22">
      <c r="A6" s="334" t="s">
        <v>2</v>
      </c>
      <c r="B6" s="881" t="s">
        <v>19</v>
      </c>
      <c r="C6" s="884"/>
      <c r="D6" s="885"/>
      <c r="E6" s="891" t="s">
        <v>652</v>
      </c>
      <c r="F6" s="880"/>
      <c r="G6" s="892">
        <v>26961</v>
      </c>
      <c r="H6" s="989"/>
      <c r="I6" s="991">
        <v>1</v>
      </c>
      <c r="J6" s="991"/>
      <c r="K6" s="991"/>
      <c r="M6" s="420" t="s">
        <v>1459</v>
      </c>
      <c r="N6" s="431" t="s">
        <v>1510</v>
      </c>
      <c r="S6" s="273"/>
      <c r="U6" s="382">
        <v>1</v>
      </c>
    </row>
    <row r="7" spans="1:22">
      <c r="A7" s="334" t="s">
        <v>33</v>
      </c>
      <c r="B7" s="878">
        <v>44501</v>
      </c>
      <c r="C7" s="878"/>
      <c r="D7" s="878"/>
      <c r="E7" s="879" t="s">
        <v>1259</v>
      </c>
      <c r="F7" s="880"/>
      <c r="G7" s="881" t="s">
        <v>1258</v>
      </c>
      <c r="H7" s="884"/>
      <c r="I7" s="992" t="s">
        <v>1257</v>
      </c>
      <c r="J7" s="992"/>
      <c r="K7" s="992"/>
      <c r="M7" s="502" t="str">
        <f>IF($D$3="","",DATEDIF($B$7,$N$1+1,"Y") &amp; "년 " &amp; DATEDIF($B$7,$N$1+1,"YM") &amp; "개월 "&amp; IF(OR(VALUE(TEXT($B$7,"dd"))-1=VALUE(TEXT($N$1,"dd")),TEXT($B$7,"dd")="01"),"",DATEDIF($B$7,$N$1,"MD")+1 &amp; "일"))</f>
        <v xml:space="preserve">0년 1개월 </v>
      </c>
      <c r="N7" s="429">
        <f>IF(N5=0,1,VLOOKUP(N5,연차,2))</f>
        <v>1</v>
      </c>
    </row>
    <row r="8" spans="1:22" ht="16.5" customHeight="1">
      <c r="A8" s="482" t="s">
        <v>1655</v>
      </c>
      <c r="B8" s="878"/>
      <c r="C8" s="878"/>
      <c r="D8" s="878"/>
      <c r="E8" s="897" t="s">
        <v>1653</v>
      </c>
      <c r="F8" s="898"/>
      <c r="G8" s="881"/>
      <c r="H8" s="884"/>
      <c r="I8" s="992" t="s">
        <v>1260</v>
      </c>
      <c r="J8" s="992"/>
      <c r="K8" s="992"/>
      <c r="M8" s="491" t="str">
        <f>IF(B8-B7&gt;=355,"퇴직금(연차정산)대상 check","")</f>
        <v/>
      </c>
      <c r="N8" s="442" t="str">
        <f>IF(N5=0,"입사후 근무월 개수","")</f>
        <v>입사후 근무월 개수</v>
      </c>
      <c r="O8" s="15" t="s">
        <v>1804</v>
      </c>
      <c r="T8" s="15"/>
      <c r="V8" s="441">
        <v>1</v>
      </c>
    </row>
    <row r="9" spans="1:22" ht="16.5" customHeight="1">
      <c r="A9" s="515" t="s">
        <v>383</v>
      </c>
      <c r="B9" s="995" t="s">
        <v>1254</v>
      </c>
      <c r="C9" s="996"/>
      <c r="D9" s="996"/>
      <c r="E9" s="997"/>
      <c r="F9" s="998" t="s">
        <v>651</v>
      </c>
      <c r="G9" s="999"/>
      <c r="H9" s="993" t="s">
        <v>456</v>
      </c>
      <c r="I9" s="993"/>
      <c r="J9" s="993"/>
      <c r="K9" s="993"/>
      <c r="M9" s="15" t="s">
        <v>1568</v>
      </c>
      <c r="N9" s="16"/>
    </row>
    <row r="10" spans="1:22">
      <c r="A10" s="994" t="s">
        <v>3</v>
      </c>
      <c r="B10" s="994"/>
      <c r="C10" s="994"/>
      <c r="D10" s="994"/>
      <c r="E10" s="994"/>
      <c r="F10" s="994"/>
      <c r="G10" s="994"/>
      <c r="H10" s="994"/>
      <c r="I10" s="994"/>
      <c r="J10" s="994"/>
      <c r="K10" s="994"/>
      <c r="M10" s="433" t="s">
        <v>1567</v>
      </c>
      <c r="N10" s="69"/>
    </row>
    <row r="11" spans="1:22">
      <c r="A11" s="990" t="s">
        <v>14</v>
      </c>
      <c r="B11" s="990"/>
      <c r="C11" s="990"/>
      <c r="D11" s="990"/>
      <c r="E11" s="990"/>
      <c r="F11" s="990"/>
      <c r="G11" s="990" t="s">
        <v>13</v>
      </c>
      <c r="H11" s="990"/>
      <c r="I11" s="990"/>
      <c r="J11" s="990"/>
      <c r="K11" s="990"/>
      <c r="N11" s="174"/>
      <c r="S11" s="177"/>
      <c r="T11" s="9"/>
      <c r="V11" s="441">
        <v>2</v>
      </c>
    </row>
    <row r="12" spans="1:22" s="1" customFormat="1">
      <c r="A12" s="990" t="s">
        <v>4</v>
      </c>
      <c r="B12" s="990"/>
      <c r="C12" s="990"/>
      <c r="D12" s="990"/>
      <c r="E12" s="990" t="s">
        <v>8</v>
      </c>
      <c r="F12" s="990"/>
      <c r="G12" s="1000" t="s">
        <v>9</v>
      </c>
      <c r="H12" s="1000"/>
      <c r="I12" s="1065" t="s">
        <v>10</v>
      </c>
      <c r="J12" s="1065"/>
      <c r="K12" s="1065"/>
      <c r="N12" s="629" t="s">
        <v>1805</v>
      </c>
      <c r="Q12" s="274"/>
    </row>
    <row r="13" spans="1:22" ht="16.5" customHeight="1">
      <c r="A13" s="937" t="s">
        <v>5</v>
      </c>
      <c r="B13" s="1001" t="s">
        <v>32</v>
      </c>
      <c r="C13" s="1002"/>
      <c r="D13" s="1003"/>
      <c r="E13" s="1004">
        <f>TRUNC(C28*K28,-1)</f>
        <v>2378000</v>
      </c>
      <c r="F13" s="1005"/>
      <c r="G13" s="1006" t="s">
        <v>26</v>
      </c>
      <c r="H13" s="1007"/>
      <c r="I13" s="1066">
        <f>IF(M13&gt;=60,0,TRUNC(E25*N13,-1))</f>
        <v>157490</v>
      </c>
      <c r="J13" s="1066"/>
      <c r="K13" s="1066"/>
      <c r="L13" s="65">
        <f>I13/($E$25-IF($E$18&gt;100000,$E$18-100000,0)-IF($E$19&gt;100000,$E$19-100000,0)-IF($E$20&gt;100000,$E$20-100000,0))</f>
        <v>4.5326025389298502E-2</v>
      </c>
      <c r="M13" s="351">
        <f>DATEDIF($G$6,$D$3,"y")</f>
        <v>48</v>
      </c>
      <c r="N13" s="299">
        <v>4.4999999999999998E-2</v>
      </c>
      <c r="O13" t="s">
        <v>459</v>
      </c>
      <c r="Q13" t="s">
        <v>1170</v>
      </c>
      <c r="S13" s="9"/>
      <c r="T13" s="177"/>
      <c r="U13" s="9"/>
    </row>
    <row r="14" spans="1:22">
      <c r="A14" s="937"/>
      <c r="B14" s="976" t="s">
        <v>1571</v>
      </c>
      <c r="C14" s="977"/>
      <c r="D14" s="978"/>
      <c r="E14" s="942">
        <f>O20</f>
        <v>432350</v>
      </c>
      <c r="F14" s="943"/>
      <c r="G14" s="828" t="s">
        <v>28</v>
      </c>
      <c r="H14" s="830"/>
      <c r="I14" s="1066">
        <f>TRUNC($E$25*N14,-1)</f>
        <v>120040</v>
      </c>
      <c r="J14" s="1066"/>
      <c r="K14" s="1066"/>
      <c r="L14" s="65">
        <f>I14/($E$25-IF($E$18&gt;100000,$E$18-100000,0)-IF($E$19&gt;100000,$E$19-100000,0)-IF($E$20&gt;100000,$E$20-100000,0))</f>
        <v>3.4547819466197172E-2</v>
      </c>
      <c r="M14" s="65"/>
      <c r="N14" s="698">
        <f>IF(AND(D3&gt;=44197,D3&lt;=44561),6.86%/2,6.99%/2)</f>
        <v>3.4300000000000004E-2</v>
      </c>
      <c r="O14" t="s">
        <v>459</v>
      </c>
    </row>
    <row r="15" spans="1:22">
      <c r="A15" s="937"/>
      <c r="B15" s="837"/>
      <c r="C15" s="838"/>
      <c r="D15" s="839"/>
      <c r="E15" s="942"/>
      <c r="F15" s="943"/>
      <c r="G15" s="828" t="s">
        <v>36</v>
      </c>
      <c r="H15" s="830"/>
      <c r="I15" s="1066">
        <f>TRUNC(I14*N15,-1)</f>
        <v>13820</v>
      </c>
      <c r="J15" s="1066"/>
      <c r="K15" s="1066"/>
      <c r="L15" s="65">
        <f>I15/($E$25-IF($E$18&gt;100000,$E$18-100000,0)-IF($E$19&gt;100000,$E$19-100000,0)-IF($E$20&gt;100000,$E$20-100000,0))</f>
        <v>3.9774313980576884E-3</v>
      </c>
      <c r="M15" s="294">
        <f>I15/I14</f>
        <v>0.11512829056981007</v>
      </c>
      <c r="N15" s="299">
        <f>IF(AND(D3&gt;=44197,D3&lt;=44561),11.52%,12.27%)</f>
        <v>0.1152</v>
      </c>
      <c r="O15" t="s">
        <v>459</v>
      </c>
      <c r="Q15" s="390">
        <f>SUM(L14:L15)</f>
        <v>3.8525250864254859E-2</v>
      </c>
    </row>
    <row r="16" spans="1:22">
      <c r="A16" s="937"/>
      <c r="B16" s="837"/>
      <c r="C16" s="838"/>
      <c r="D16" s="839"/>
      <c r="E16" s="942"/>
      <c r="F16" s="943"/>
      <c r="G16" s="849" t="s">
        <v>37</v>
      </c>
      <c r="H16" s="851"/>
      <c r="I16" s="1066">
        <f>CHOOSE(U6,IF(M16&gt;=65,0,TRUNC($E$25*N16,-1)),0)</f>
        <v>27990</v>
      </c>
      <c r="J16" s="1066"/>
      <c r="K16" s="1066"/>
      <c r="L16" s="65">
        <f>I16/($E$25-IF($E$18&gt;100000,$E$18-100000,0)-IF($E$19&gt;100000,$E$19-100000,0)-IF($E$20&gt;100000,$E$20-100000,0))</f>
        <v>8.0555936925929585E-3</v>
      </c>
      <c r="M16" s="617">
        <f>DATEDIF($G$6,B7,"y")</f>
        <v>48</v>
      </c>
      <c r="N16" s="366">
        <v>8.0000000000000002E-3</v>
      </c>
      <c r="O16" s="15" t="s">
        <v>1390</v>
      </c>
      <c r="Q16" t="s">
        <v>1723</v>
      </c>
      <c r="V16" s="441">
        <v>1</v>
      </c>
    </row>
    <row r="17" spans="1:21">
      <c r="A17" s="937"/>
      <c r="B17" s="979" t="s">
        <v>1265</v>
      </c>
      <c r="C17" s="980"/>
      <c r="D17" s="981"/>
      <c r="E17" s="942"/>
      <c r="F17" s="943"/>
      <c r="G17" s="828" t="s">
        <v>38</v>
      </c>
      <c r="H17" s="830"/>
      <c r="I17" s="1066"/>
      <c r="J17" s="1066"/>
      <c r="K17" s="1066"/>
      <c r="L17" s="293">
        <f>SUM(L13:L16)</f>
        <v>9.1906869946146316E-2</v>
      </c>
      <c r="N17" s="66" t="s">
        <v>593</v>
      </c>
      <c r="O17" s="389">
        <f>C28</f>
        <v>108091</v>
      </c>
    </row>
    <row r="18" spans="1:21">
      <c r="A18" s="937"/>
      <c r="B18" s="979" t="s">
        <v>1266</v>
      </c>
      <c r="C18" s="980"/>
      <c r="D18" s="981"/>
      <c r="E18" s="942"/>
      <c r="F18" s="943"/>
      <c r="G18" s="862" t="s">
        <v>43</v>
      </c>
      <c r="H18" s="967"/>
      <c r="I18" s="1066"/>
      <c r="J18" s="1066"/>
      <c r="K18" s="1066"/>
      <c r="N18" s="66" t="s">
        <v>460</v>
      </c>
      <c r="O18" s="389">
        <f>C29</f>
        <v>13511</v>
      </c>
    </row>
    <row r="19" spans="1:21">
      <c r="A19" s="938"/>
      <c r="B19" s="979" t="s">
        <v>1267</v>
      </c>
      <c r="C19" s="980"/>
      <c r="D19" s="981"/>
      <c r="E19" s="942"/>
      <c r="F19" s="943"/>
      <c r="G19" s="862" t="s">
        <v>44</v>
      </c>
      <c r="H19" s="967"/>
      <c r="I19" s="1066"/>
      <c r="J19" s="1066"/>
      <c r="K19" s="1066"/>
      <c r="N19" s="66" t="s">
        <v>1575</v>
      </c>
      <c r="O19" s="389">
        <f>O18*8*(J28*J29/40)</f>
        <v>108088</v>
      </c>
      <c r="Q19" s="380">
        <f>365/12</f>
        <v>30.416666666666668</v>
      </c>
      <c r="S19" t="s">
        <v>1572</v>
      </c>
      <c r="U19" s="438">
        <v>0</v>
      </c>
    </row>
    <row r="20" spans="1:21">
      <c r="A20" s="936" t="s">
        <v>1272</v>
      </c>
      <c r="B20" s="1008" t="s">
        <v>1362</v>
      </c>
      <c r="C20" s="972"/>
      <c r="D20" s="973"/>
      <c r="E20" s="942">
        <f>TRUNC(IF(AND(V11=2,V16=1,OR(U19="",U19=0)),(U20-C26)*F28,(U19-C26)*F28),0)</f>
        <v>125386</v>
      </c>
      <c r="F20" s="943"/>
      <c r="G20" s="828" t="s">
        <v>41</v>
      </c>
      <c r="H20" s="830"/>
      <c r="I20" s="1066"/>
      <c r="J20" s="1066"/>
      <c r="K20" s="1066"/>
      <c r="M20" s="521">
        <f>O20/S35</f>
        <v>108087.5</v>
      </c>
      <c r="N20" s="66" t="s">
        <v>1156</v>
      </c>
      <c r="O20" s="389">
        <f>TRUNC(O19*G29,-1)</f>
        <v>432350</v>
      </c>
      <c r="P20" t="s">
        <v>461</v>
      </c>
      <c r="Q20" s="284">
        <f>Q19/7</f>
        <v>4.3452380952380958</v>
      </c>
      <c r="R20" t="s">
        <v>1154</v>
      </c>
      <c r="S20" t="s">
        <v>1573</v>
      </c>
      <c r="U20" s="443">
        <f>IF(N7=1,1,N7/12)</f>
        <v>1</v>
      </c>
    </row>
    <row r="21" spans="1:21" ht="16.5" customHeight="1">
      <c r="A21" s="937"/>
      <c r="B21" s="1009" t="s">
        <v>1577</v>
      </c>
      <c r="C21" s="1010"/>
      <c r="D21" s="1011"/>
      <c r="E21" s="942">
        <f>I35</f>
        <v>564240.23999990674</v>
      </c>
      <c r="F21" s="943"/>
      <c r="G21" s="828"/>
      <c r="H21" s="830"/>
      <c r="I21" s="1066"/>
      <c r="J21" s="1066"/>
      <c r="K21" s="1066"/>
      <c r="L21" s="10"/>
      <c r="N21" s="66" t="s">
        <v>1574</v>
      </c>
      <c r="O21" s="389">
        <f>E20</f>
        <v>125386</v>
      </c>
      <c r="Q21" s="284"/>
    </row>
    <row r="22" spans="1:21">
      <c r="A22" s="937"/>
      <c r="B22" s="1009" t="s">
        <v>1578</v>
      </c>
      <c r="C22" s="1010"/>
      <c r="D22" s="1011"/>
      <c r="E22" s="942">
        <f>-I36</f>
        <v>0</v>
      </c>
      <c r="F22" s="943"/>
      <c r="G22" s="828" t="s">
        <v>40</v>
      </c>
      <c r="H22" s="830"/>
      <c r="I22" s="1066"/>
      <c r="J22" s="1066"/>
      <c r="K22" s="1066"/>
      <c r="N22" s="66" t="s">
        <v>22</v>
      </c>
      <c r="O22" s="388">
        <f>SUM(E13:F24)</f>
        <v>3499990.2399999066</v>
      </c>
      <c r="P22" s="272">
        <f>SUM(E13:F23)</f>
        <v>3499976.2399999066</v>
      </c>
      <c r="Q22" s="177"/>
    </row>
    <row r="23" spans="1:21">
      <c r="A23" s="937"/>
      <c r="B23" s="1009" t="s">
        <v>1579</v>
      </c>
      <c r="C23" s="1010"/>
      <c r="D23" s="1011"/>
      <c r="E23" s="942">
        <f>I37+I38</f>
        <v>0</v>
      </c>
      <c r="F23" s="943"/>
      <c r="G23" s="828"/>
      <c r="H23" s="842"/>
      <c r="I23" s="1066"/>
      <c r="J23" s="1066"/>
      <c r="K23" s="1066"/>
      <c r="M23">
        <v>145</v>
      </c>
      <c r="N23" s="66" t="s">
        <v>1157</v>
      </c>
      <c r="O23" s="285">
        <v>3000000</v>
      </c>
      <c r="P23" s="272">
        <f>F28*A31</f>
        <v>3134667.9999994817</v>
      </c>
      <c r="Q23" s="9">
        <f>O23-P23</f>
        <v>-134667.99999948172</v>
      </c>
    </row>
    <row r="24" spans="1:21">
      <c r="A24" s="938"/>
      <c r="B24" s="837" t="s">
        <v>42</v>
      </c>
      <c r="C24" s="838"/>
      <c r="D24" s="839"/>
      <c r="E24" s="1012">
        <v>14</v>
      </c>
      <c r="F24" s="1013"/>
      <c r="G24" s="828" t="s">
        <v>25</v>
      </c>
      <c r="H24" s="842"/>
      <c r="I24" s="1066">
        <f>CHOOSE(M2,IF(O29&lt;=10000000,VLOOKUP(O29/1000,간이세액표2021,A40+B40+2),VLOOKUP(O29/1000,간이세액표2021,A40+B40+2)+VLOOKUP(O29,근로세율,3)+(O29-VLOOKUP(O29,근로세율,4))*VLOOKUP(O29,근로세율,5)*VLOOKUP(O29,근로세율,6)),CHOOSE(P1,IF(C28&gt;P5,TRUNC((C28-P5)*A31*S3,-1),0),IF(C28&gt;Q5,TRUNC((C28-Q5)*A31*S3,-1),0)))</f>
        <v>0</v>
      </c>
      <c r="J24" s="1066"/>
      <c r="K24" s="1066"/>
      <c r="N24" s="66" t="s">
        <v>1155</v>
      </c>
      <c r="O24" s="384">
        <f>O22-O23</f>
        <v>499990.23999990663</v>
      </c>
      <c r="Q24" s="9"/>
    </row>
    <row r="25" spans="1:21" ht="17.25" thickBot="1">
      <c r="A25" s="802" t="s">
        <v>7</v>
      </c>
      <c r="B25" s="803"/>
      <c r="C25" s="803"/>
      <c r="D25" s="804"/>
      <c r="E25" s="805">
        <f>SUM(E13:F24)</f>
        <v>3499990.2399999066</v>
      </c>
      <c r="F25" s="806"/>
      <c r="G25" s="840" t="s">
        <v>35</v>
      </c>
      <c r="H25" s="842"/>
      <c r="I25" s="1066">
        <f>CHOOSE(M2,TRUNC(I24*10%,-1),CHOOSE(P1,IF(F28&gt;P5,TRUNC((F28-P5)*S3*10%,-1)*A31,0),IF(F28&gt;Q5,TRUNC((F28-Q5)*A31*S3*10%,-1),0)))</f>
        <v>0</v>
      </c>
      <c r="J25" s="1066"/>
      <c r="K25" s="1066"/>
      <c r="Q25" s="236"/>
    </row>
    <row r="26" spans="1:21">
      <c r="A26" s="810" t="s">
        <v>1389</v>
      </c>
      <c r="B26" s="811"/>
      <c r="C26" s="1047"/>
      <c r="D26" s="1048"/>
      <c r="E26" s="1049"/>
      <c r="F26" s="446"/>
      <c r="G26" s="807" t="s">
        <v>15</v>
      </c>
      <c r="H26" s="809"/>
      <c r="I26" s="1066">
        <f>SUM(I13:J25)</f>
        <v>319340</v>
      </c>
      <c r="J26" s="1066"/>
      <c r="K26" s="1066"/>
      <c r="N26" s="66" t="s">
        <v>462</v>
      </c>
      <c r="O26" s="386">
        <f>E13/A31/J29</f>
        <v>11890</v>
      </c>
      <c r="P26" s="387">
        <f>O26*A31*J29</f>
        <v>2378000</v>
      </c>
      <c r="Q26" s="15" t="s">
        <v>1566</v>
      </c>
    </row>
    <row r="27" spans="1:21" ht="17.25" thickBot="1">
      <c r="A27" s="1030" t="s">
        <v>1255</v>
      </c>
      <c r="B27" s="1031"/>
      <c r="C27" s="1032"/>
      <c r="D27" s="1033"/>
      <c r="E27" s="1033"/>
      <c r="F27" s="1034"/>
      <c r="G27" s="817" t="s">
        <v>16</v>
      </c>
      <c r="H27" s="969"/>
      <c r="I27" s="1027">
        <f>E25-I26</f>
        <v>3180650.2399999066</v>
      </c>
      <c r="J27" s="1027"/>
      <c r="K27" s="1027"/>
      <c r="L27" s="15"/>
      <c r="Q27" s="10"/>
    </row>
    <row r="28" spans="1:21" ht="16.5" customHeight="1" outlineLevel="1">
      <c r="A28" s="1017" t="s">
        <v>1455</v>
      </c>
      <c r="B28" s="1017"/>
      <c r="C28" s="1018">
        <f>TRUNC(F28*(F28*A31)/(F28*(A31+G29))/Q34,0)</f>
        <v>108091</v>
      </c>
      <c r="D28" s="1018"/>
      <c r="E28" s="1018"/>
      <c r="F28" s="288">
        <v>125386.71999997926</v>
      </c>
      <c r="G28" s="440" t="s">
        <v>1153</v>
      </c>
      <c r="H28" s="1019" t="s">
        <v>1709</v>
      </c>
      <c r="I28" s="1020"/>
      <c r="J28" s="518">
        <v>5</v>
      </c>
      <c r="K28" s="517">
        <f>P38</f>
        <v>22</v>
      </c>
      <c r="L28" s="272">
        <f>C28*A31</f>
        <v>2702275</v>
      </c>
      <c r="M28" s="672">
        <f>E13/K29*J29</f>
        <v>108090.90909090909</v>
      </c>
      <c r="O28" s="10"/>
      <c r="Q28" s="236"/>
      <c r="R28" t="s">
        <v>1712</v>
      </c>
    </row>
    <row r="29" spans="1:21" ht="16.5" customHeight="1" outlineLevel="1">
      <c r="A29" s="1021" t="s">
        <v>1456</v>
      </c>
      <c r="B29" s="1021"/>
      <c r="C29" s="1022">
        <f>TRUNC(C28/J29,0)</f>
        <v>13511</v>
      </c>
      <c r="D29" s="1023"/>
      <c r="E29" s="1024"/>
      <c r="F29" s="267">
        <f>F28/J29</f>
        <v>15673.339999997408</v>
      </c>
      <c r="G29" s="439">
        <f>S35</f>
        <v>4</v>
      </c>
      <c r="H29" s="1025" t="s">
        <v>1710</v>
      </c>
      <c r="I29" s="1026"/>
      <c r="J29" s="108">
        <v>8</v>
      </c>
      <c r="K29" s="519">
        <f>J29*K28</f>
        <v>176</v>
      </c>
      <c r="M29" s="672">
        <f>M28/J29</f>
        <v>13511.363636363636</v>
      </c>
      <c r="N29" s="671" t="s">
        <v>1146</v>
      </c>
      <c r="O29" s="283">
        <f>O31-O30</f>
        <v>3499990.2399999066</v>
      </c>
      <c r="P29" s="444"/>
      <c r="R29" t="s">
        <v>1713</v>
      </c>
    </row>
    <row r="30" spans="1:21">
      <c r="A30" s="963" t="s">
        <v>783</v>
      </c>
      <c r="B30" s="963"/>
      <c r="C30" s="771" t="s">
        <v>686</v>
      </c>
      <c r="D30" s="1014"/>
      <c r="E30" s="772"/>
      <c r="F30" s="776" t="s">
        <v>684</v>
      </c>
      <c r="G30" s="776"/>
      <c r="H30" s="776" t="s">
        <v>17</v>
      </c>
      <c r="I30" s="776"/>
      <c r="J30" s="776" t="s">
        <v>685</v>
      </c>
      <c r="K30" s="1028"/>
      <c r="N30" s="268" t="s">
        <v>1147</v>
      </c>
      <c r="O30" s="283">
        <f>MIN(IF(E17="",0,E17),100000)+MIN(IF(E18="",0,E18),200000)+MIN(IF(E19="",0,E19),100000)</f>
        <v>0</v>
      </c>
      <c r="R30" t="s">
        <v>1714</v>
      </c>
    </row>
    <row r="31" spans="1:21" ht="17.25" thickBot="1">
      <c r="A31" s="1015">
        <v>25</v>
      </c>
      <c r="B31" s="1015"/>
      <c r="C31" s="779">
        <f>K29+F31+J31</f>
        <v>200</v>
      </c>
      <c r="D31" s="780"/>
      <c r="E31" s="781"/>
      <c r="F31" s="1016">
        <f>(A31*J29)-K29</f>
        <v>24</v>
      </c>
      <c r="G31" s="1016"/>
      <c r="H31" s="1016">
        <v>0</v>
      </c>
      <c r="I31" s="1016"/>
      <c r="J31" s="1016">
        <v>0</v>
      </c>
      <c r="K31" s="1029"/>
      <c r="L31" s="10">
        <f>E13/C31</f>
        <v>11890</v>
      </c>
      <c r="N31" s="268" t="s">
        <v>1148</v>
      </c>
      <c r="O31" s="283">
        <f>E25</f>
        <v>3499990.2399999066</v>
      </c>
      <c r="Q31" s="10"/>
    </row>
    <row r="32" spans="1:21" ht="8.25" customHeight="1" thickBot="1">
      <c r="A32" s="150"/>
      <c r="B32" s="150"/>
      <c r="C32" s="150"/>
      <c r="D32" s="150"/>
      <c r="E32" s="150"/>
      <c r="F32" s="150"/>
      <c r="G32" s="150"/>
      <c r="H32" s="150"/>
      <c r="I32" s="150"/>
      <c r="J32" s="153"/>
      <c r="K32" s="153"/>
      <c r="N32" s="16"/>
    </row>
    <row r="33" spans="1:19">
      <c r="A33" s="1040" t="s">
        <v>18</v>
      </c>
      <c r="B33" s="1041"/>
      <c r="C33" s="1041"/>
      <c r="D33" s="1041"/>
      <c r="E33" s="1041"/>
      <c r="F33" s="1041"/>
      <c r="G33" s="1041"/>
      <c r="H33" s="1041"/>
      <c r="I33" s="1041"/>
      <c r="J33" s="1041"/>
      <c r="K33" s="1042"/>
    </row>
    <row r="34" spans="1:19">
      <c r="A34" s="1060" t="s">
        <v>20</v>
      </c>
      <c r="B34" s="717"/>
      <c r="C34" s="717" t="s">
        <v>21</v>
      </c>
      <c r="D34" s="717"/>
      <c r="E34" s="717"/>
      <c r="F34" s="717"/>
      <c r="G34" s="717"/>
      <c r="H34" s="717"/>
      <c r="I34" s="717" t="s">
        <v>22</v>
      </c>
      <c r="J34" s="717"/>
      <c r="K34" s="1043"/>
      <c r="L34">
        <f>A31*J29</f>
        <v>200</v>
      </c>
      <c r="O34" s="472" t="s">
        <v>1622</v>
      </c>
      <c r="P34" s="471">
        <f>N1-M1+1</f>
        <v>30</v>
      </c>
      <c r="Q34" s="512">
        <f>P34/(EOMONTH($D$3,0)-EOMONTH($D$3,-1))</f>
        <v>1</v>
      </c>
      <c r="S34" s="432" t="s">
        <v>1711</v>
      </c>
    </row>
    <row r="35" spans="1:19">
      <c r="A35" s="1035" t="s">
        <v>23</v>
      </c>
      <c r="B35" s="910"/>
      <c r="C35" s="768">
        <f>F31</f>
        <v>24</v>
      </c>
      <c r="D35" s="769"/>
      <c r="E35" s="6" t="s">
        <v>48</v>
      </c>
      <c r="F35" s="23">
        <f>F29</f>
        <v>15673.339999997408</v>
      </c>
      <c r="G35" s="6" t="s">
        <v>48</v>
      </c>
      <c r="H35" s="450">
        <f>CHOOSE(V11,1,1.5)</f>
        <v>1.5</v>
      </c>
      <c r="I35" s="770">
        <f>C35*F35*H35</f>
        <v>564240.23999990674</v>
      </c>
      <c r="J35" s="770"/>
      <c r="K35" s="1044"/>
      <c r="L35">
        <f>P38*J29</f>
        <v>176</v>
      </c>
      <c r="N35" s="420" t="s">
        <v>1628</v>
      </c>
      <c r="O35" s="473" t="s">
        <v>1623</v>
      </c>
      <c r="P35" s="310">
        <f>IF(OR($M$1&gt;EOMONTH($D$3,-1)+1,$N$1&lt;EOMONTH($D$3,0)),CEILING((P34-MOD(8-WEEKDAY($M$1),7))/7,1),CEILING((DAY(EOMONTH($D$3,0))-MOD(8-WEEKDAY($D$3),7))/7,1))</f>
        <v>4</v>
      </c>
      <c r="Q35" s="474" t="s">
        <v>1627</v>
      </c>
      <c r="S35" s="520">
        <f>CHOOSE(V8,P35,P34/7)</f>
        <v>4</v>
      </c>
    </row>
    <row r="36" spans="1:19" ht="17.25" thickBot="1">
      <c r="A36" s="1053" t="s">
        <v>1018</v>
      </c>
      <c r="B36" s="906"/>
      <c r="C36" s="758">
        <f>H31</f>
        <v>0</v>
      </c>
      <c r="D36" s="759"/>
      <c r="E36" s="11" t="s">
        <v>48</v>
      </c>
      <c r="F36" s="24">
        <f>F29</f>
        <v>15673.339999997408</v>
      </c>
      <c r="G36" s="11" t="s">
        <v>48</v>
      </c>
      <c r="H36" s="451">
        <f>CHOOSE(V11,0,0.5)</f>
        <v>0.5</v>
      </c>
      <c r="I36" s="728">
        <f>C36*F36*H36</f>
        <v>0</v>
      </c>
      <c r="J36" s="728"/>
      <c r="K36" s="1045"/>
      <c r="L36">
        <f>L34-L35</f>
        <v>24</v>
      </c>
      <c r="M36">
        <f>L36/(365/12/7)</f>
        <v>5.5232876712328762</v>
      </c>
      <c r="N36" s="476">
        <f>SUM(P35,Q36)</f>
        <v>8</v>
      </c>
      <c r="O36" s="473" t="s">
        <v>1624</v>
      </c>
      <c r="P36" s="477">
        <f>IF(OR($M$1&gt;EOMONTH($D$3,-1)+1,$N$1&lt;EOMONTH($D$3,0)),NETWORKDAYS($M$1,$N$1),NETWORKDAYS(EOMONTH($D$3,-1)+1,EOMONTH($D$3,0)))</f>
        <v>22</v>
      </c>
      <c r="Q36" s="475">
        <f>P34-P36-P35</f>
        <v>4</v>
      </c>
    </row>
    <row r="37" spans="1:19" ht="17.25" thickBot="1">
      <c r="A37" s="1058" t="s">
        <v>65</v>
      </c>
      <c r="B37" s="1059"/>
      <c r="C37" s="758">
        <f>J31-C38</f>
        <v>0</v>
      </c>
      <c r="D37" s="759"/>
      <c r="E37" s="11" t="s">
        <v>48</v>
      </c>
      <c r="F37" s="24">
        <f>F29</f>
        <v>15673.339999997408</v>
      </c>
      <c r="G37" s="11" t="s">
        <v>48</v>
      </c>
      <c r="H37" s="451">
        <f>CHOOSE(V11,1,1.5)</f>
        <v>1.5</v>
      </c>
      <c r="I37" s="728">
        <f>C37*F37*H37</f>
        <v>0</v>
      </c>
      <c r="J37" s="728"/>
      <c r="K37" s="1045"/>
      <c r="O37" s="616" t="s">
        <v>1625</v>
      </c>
      <c r="P37" s="490">
        <f>VLOOKUP(EOMONTH(D3,-1)+1,주40시간,6)</f>
        <v>0</v>
      </c>
    </row>
    <row r="38" spans="1:19">
      <c r="A38" s="1036" t="s">
        <v>66</v>
      </c>
      <c r="B38" s="1037"/>
      <c r="C38" s="1038">
        <f>J32</f>
        <v>0</v>
      </c>
      <c r="D38" s="1039"/>
      <c r="E38" s="447" t="s">
        <v>48</v>
      </c>
      <c r="F38" s="448">
        <f>F29</f>
        <v>15673.339999997408</v>
      </c>
      <c r="G38" s="447" t="s">
        <v>48</v>
      </c>
      <c r="H38" s="449">
        <f>CHOOSE(V11,1,2)</f>
        <v>2</v>
      </c>
      <c r="I38" s="723">
        <f>C38*F38*H38</f>
        <v>0</v>
      </c>
      <c r="J38" s="723"/>
      <c r="K38" s="1046"/>
      <c r="M38" s="583"/>
      <c r="O38" s="473" t="s">
        <v>1626</v>
      </c>
      <c r="P38" s="481">
        <f>P36-P37</f>
        <v>22</v>
      </c>
    </row>
    <row r="39" spans="1:19">
      <c r="A39" s="1035" t="s">
        <v>25</v>
      </c>
      <c r="B39" s="910"/>
      <c r="C39" s="1055" t="str">
        <f>CHOOSE(P1,"매일지급 (지급일 금액) 근로소득공제 187,030원 초과분 2.7%의 누적금액","일정기간 지급 (지급일 금액)  근로소득공제 15만원 초과분 2.7%의 누적금액")</f>
        <v>매일지급 (지급일 금액) 근로소득공제 187,030원 초과분 2.7%의 누적금액</v>
      </c>
      <c r="D39" s="1055"/>
      <c r="E39" s="1055"/>
      <c r="F39" s="1055"/>
      <c r="G39" s="1055"/>
      <c r="H39" s="1055"/>
      <c r="I39" s="770">
        <f>I24</f>
        <v>0</v>
      </c>
      <c r="J39" s="770"/>
      <c r="K39" s="1044"/>
      <c r="N39" s="16"/>
      <c r="O39" s="473" t="s">
        <v>1629</v>
      </c>
      <c r="P39" s="481">
        <f>P38+Q36</f>
        <v>26</v>
      </c>
    </row>
    <row r="40" spans="1:19">
      <c r="A40" s="516">
        <v>1</v>
      </c>
      <c r="B40" s="295">
        <v>0</v>
      </c>
      <c r="C40" s="958" t="s">
        <v>50</v>
      </c>
      <c r="D40" s="959"/>
      <c r="E40" s="959"/>
      <c r="F40" s="959"/>
      <c r="G40" s="959"/>
      <c r="H40" s="959"/>
      <c r="I40" s="1061">
        <f>I25</f>
        <v>0</v>
      </c>
      <c r="J40" s="1061"/>
      <c r="K40" s="1062"/>
      <c r="N40" s="16"/>
    </row>
    <row r="41" spans="1:19">
      <c r="A41" s="1056" t="s">
        <v>26</v>
      </c>
      <c r="B41" s="917"/>
      <c r="C41" s="1057" t="str">
        <f>"상기 급여의 과세급여 "&amp;TEXT(O29,"\#,##0원")&amp;" × "&amp;N13*100&amp;"%"</f>
        <v>상기 급여의 과세급여 ₩3,499,990원 × 4.5%</v>
      </c>
      <c r="D41" s="1057"/>
      <c r="E41" s="1057"/>
      <c r="F41" s="1057"/>
      <c r="G41" s="1057"/>
      <c r="H41" s="1057"/>
      <c r="I41" s="770">
        <f>I13</f>
        <v>157490</v>
      </c>
      <c r="J41" s="770"/>
      <c r="K41" s="1044"/>
      <c r="N41" s="16"/>
    </row>
    <row r="42" spans="1:19">
      <c r="A42" s="1053" t="s">
        <v>27</v>
      </c>
      <c r="B42" s="906"/>
      <c r="C42" s="1054" t="str">
        <f>CHOOSE(U6,"상기 급여(임금) 과세총액기준 "&amp;TEXT(O29,"\#,##0원")&amp;"× "&amp;N16*100&amp;"%","고용보험 미대상")</f>
        <v>상기 급여(임금) 과세총액기준 ₩3,499,990원× 0.8%</v>
      </c>
      <c r="D42" s="1054"/>
      <c r="E42" s="1054"/>
      <c r="F42" s="1054"/>
      <c r="G42" s="1054"/>
      <c r="H42" s="1054"/>
      <c r="I42" s="728">
        <f>I16</f>
        <v>27990</v>
      </c>
      <c r="J42" s="728"/>
      <c r="K42" s="1045"/>
      <c r="N42" t="s">
        <v>1656</v>
      </c>
    </row>
    <row r="43" spans="1:19">
      <c r="A43" s="1053" t="s">
        <v>28</v>
      </c>
      <c r="B43" s="906"/>
      <c r="C43" s="1054" t="str">
        <f>"상기 급여의 과세급여 "&amp;TEXT(O29,"\#,##0원")&amp;" × "&amp;N14*100&amp;"%"</f>
        <v>상기 급여의 과세급여 ₩3,499,990원 × 3.43%</v>
      </c>
      <c r="D43" s="1054"/>
      <c r="E43" s="1054"/>
      <c r="F43" s="1054"/>
      <c r="G43" s="1054"/>
      <c r="H43" s="1054"/>
      <c r="I43" s="728">
        <f>SUM(I14,I18)</f>
        <v>120040</v>
      </c>
      <c r="J43" s="728"/>
      <c r="K43" s="1045"/>
    </row>
    <row r="44" spans="1:19">
      <c r="A44" s="1053" t="s">
        <v>29</v>
      </c>
      <c r="B44" s="906"/>
      <c r="C44" s="1054" t="str">
        <f>"상기 건강보험료 "&amp;TEXT(I43,"\#,##0원")&amp;"×"&amp;N15*100&amp;"%"</f>
        <v>상기 건강보험료 ₩120,040원×11.52%</v>
      </c>
      <c r="D44" s="1054"/>
      <c r="E44" s="1054"/>
      <c r="F44" s="1054"/>
      <c r="G44" s="1054"/>
      <c r="H44" s="1054"/>
      <c r="I44" s="728">
        <f>SUM(I15,I19)</f>
        <v>13820</v>
      </c>
      <c r="J44" s="728"/>
      <c r="K44" s="1045"/>
      <c r="O44" s="15" t="s">
        <v>1722</v>
      </c>
    </row>
    <row r="45" spans="1:19" ht="17.25" thickBot="1">
      <c r="A45" s="1050"/>
      <c r="B45" s="1051"/>
      <c r="C45" s="1052"/>
      <c r="D45" s="1052"/>
      <c r="E45" s="1052"/>
      <c r="F45" s="1052"/>
      <c r="G45" s="1052"/>
      <c r="H45" s="1052"/>
      <c r="I45" s="1063"/>
      <c r="J45" s="1063"/>
      <c r="K45" s="1064"/>
      <c r="N45" s="16"/>
    </row>
    <row r="46" spans="1:19">
      <c r="A46" s="19" t="s">
        <v>31</v>
      </c>
      <c r="J46" s="22" t="s">
        <v>653</v>
      </c>
      <c r="K46" s="22"/>
      <c r="N46" s="16"/>
    </row>
    <row r="47" spans="1:19">
      <c r="J47" s="4" t="s">
        <v>30</v>
      </c>
      <c r="K47" s="4"/>
    </row>
    <row r="49" spans="4:14">
      <c r="D49" t="s">
        <v>1150</v>
      </c>
    </row>
    <row r="50" spans="4:14">
      <c r="D50" t="s">
        <v>1152</v>
      </c>
      <c r="N50" s="17"/>
    </row>
    <row r="51" spans="4:14">
      <c r="D51" t="s">
        <v>1151</v>
      </c>
    </row>
    <row r="57" spans="4:14">
      <c r="N57" s="17"/>
    </row>
    <row r="65" spans="1:15">
      <c r="N65" s="17"/>
    </row>
    <row r="67" spans="1:15">
      <c r="A67" s="18"/>
      <c r="N67" s="18"/>
    </row>
    <row r="68" spans="1:15">
      <c r="A68" s="18"/>
      <c r="N68" s="18"/>
    </row>
    <row r="69" spans="1:15">
      <c r="A69" s="18"/>
    </row>
    <row r="71" spans="1:15">
      <c r="A71" s="18"/>
    </row>
    <row r="76" spans="1:15">
      <c r="O76" s="18"/>
    </row>
    <row r="77" spans="1:15">
      <c r="O77" s="18"/>
    </row>
    <row r="78" spans="1:15">
      <c r="O78" s="18"/>
    </row>
    <row r="79" spans="1:15">
      <c r="O79" s="18"/>
    </row>
    <row r="81" spans="15:15">
      <c r="O81" s="18"/>
    </row>
    <row r="87" spans="15:15">
      <c r="O87" s="18"/>
    </row>
    <row r="88" spans="15:15">
      <c r="O88" s="18"/>
    </row>
    <row r="89" spans="15:15">
      <c r="O89" s="18"/>
    </row>
    <row r="90" spans="15:15">
      <c r="O90" s="18"/>
    </row>
    <row r="92" spans="15:15">
      <c r="O92" s="18"/>
    </row>
    <row r="94" spans="15:15">
      <c r="O94" s="18"/>
    </row>
  </sheetData>
  <mergeCells count="140">
    <mergeCell ref="I39:K39"/>
    <mergeCell ref="I40:K40"/>
    <mergeCell ref="I41:K41"/>
    <mergeCell ref="I42:K42"/>
    <mergeCell ref="I43:K43"/>
    <mergeCell ref="I44:K44"/>
    <mergeCell ref="I45:K45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A20:A24"/>
    <mergeCell ref="A25:D25"/>
    <mergeCell ref="E25:F25"/>
    <mergeCell ref="A26:B26"/>
    <mergeCell ref="C26:E26"/>
    <mergeCell ref="A45:B45"/>
    <mergeCell ref="C45:H45"/>
    <mergeCell ref="A44:B44"/>
    <mergeCell ref="C44:H44"/>
    <mergeCell ref="A42:B42"/>
    <mergeCell ref="C42:H42"/>
    <mergeCell ref="A43:B43"/>
    <mergeCell ref="C43:H43"/>
    <mergeCell ref="A39:B39"/>
    <mergeCell ref="C39:H39"/>
    <mergeCell ref="C40:H40"/>
    <mergeCell ref="A41:B41"/>
    <mergeCell ref="C41:H41"/>
    <mergeCell ref="A36:B36"/>
    <mergeCell ref="C36:D36"/>
    <mergeCell ref="A37:B37"/>
    <mergeCell ref="C37:D37"/>
    <mergeCell ref="A34:B34"/>
    <mergeCell ref="C34:H34"/>
    <mergeCell ref="A35:B35"/>
    <mergeCell ref="C35:D35"/>
    <mergeCell ref="A38:B38"/>
    <mergeCell ref="C38:D38"/>
    <mergeCell ref="A33:K33"/>
    <mergeCell ref="I34:K34"/>
    <mergeCell ref="I35:K35"/>
    <mergeCell ref="I36:K36"/>
    <mergeCell ref="I37:K37"/>
    <mergeCell ref="I38:K38"/>
    <mergeCell ref="A30:B30"/>
    <mergeCell ref="C30:E30"/>
    <mergeCell ref="F30:G30"/>
    <mergeCell ref="H30:I30"/>
    <mergeCell ref="A31:B31"/>
    <mergeCell ref="C31:E31"/>
    <mergeCell ref="F31:G31"/>
    <mergeCell ref="H31:I31"/>
    <mergeCell ref="G27:H27"/>
    <mergeCell ref="A28:B28"/>
    <mergeCell ref="C28:E28"/>
    <mergeCell ref="H28:I28"/>
    <mergeCell ref="A29:B29"/>
    <mergeCell ref="C29:E29"/>
    <mergeCell ref="H29:I29"/>
    <mergeCell ref="I27:K27"/>
    <mergeCell ref="J30:K30"/>
    <mergeCell ref="J31:K31"/>
    <mergeCell ref="A27:B27"/>
    <mergeCell ref="C27:F27"/>
    <mergeCell ref="G25:H25"/>
    <mergeCell ref="G26:H26"/>
    <mergeCell ref="G24:H24"/>
    <mergeCell ref="B21:D21"/>
    <mergeCell ref="E21:F21"/>
    <mergeCell ref="G21:H21"/>
    <mergeCell ref="B22:D22"/>
    <mergeCell ref="E22:F22"/>
    <mergeCell ref="G22:H22"/>
    <mergeCell ref="B24:D24"/>
    <mergeCell ref="E24:F24"/>
    <mergeCell ref="B20:D20"/>
    <mergeCell ref="E20:F20"/>
    <mergeCell ref="G20:H20"/>
    <mergeCell ref="E23:F23"/>
    <mergeCell ref="G23:H23"/>
    <mergeCell ref="G18:H18"/>
    <mergeCell ref="E15:F15"/>
    <mergeCell ref="G15:H15"/>
    <mergeCell ref="B16:D16"/>
    <mergeCell ref="B15:D15"/>
    <mergeCell ref="B17:D17"/>
    <mergeCell ref="E17:F17"/>
    <mergeCell ref="G17:H17"/>
    <mergeCell ref="B18:D18"/>
    <mergeCell ref="E18:F18"/>
    <mergeCell ref="E16:F16"/>
    <mergeCell ref="G16:H16"/>
    <mergeCell ref="B23:D23"/>
    <mergeCell ref="B19:D19"/>
    <mergeCell ref="A12:D12"/>
    <mergeCell ref="E12:F12"/>
    <mergeCell ref="G12:H12"/>
    <mergeCell ref="B13:D13"/>
    <mergeCell ref="E13:F13"/>
    <mergeCell ref="G13:H13"/>
    <mergeCell ref="B14:D14"/>
    <mergeCell ref="E14:F14"/>
    <mergeCell ref="G14:H14"/>
    <mergeCell ref="A13:A19"/>
    <mergeCell ref="E19:F19"/>
    <mergeCell ref="G19:H19"/>
    <mergeCell ref="D3:F3"/>
    <mergeCell ref="B5:F5"/>
    <mergeCell ref="G5:H5"/>
    <mergeCell ref="I5:J5"/>
    <mergeCell ref="B6:D6"/>
    <mergeCell ref="E6:F6"/>
    <mergeCell ref="G6:H6"/>
    <mergeCell ref="A11:F11"/>
    <mergeCell ref="G8:H8"/>
    <mergeCell ref="B7:D7"/>
    <mergeCell ref="E7:F7"/>
    <mergeCell ref="G7:H7"/>
    <mergeCell ref="B8:D8"/>
    <mergeCell ref="E8:F8"/>
    <mergeCell ref="I6:K6"/>
    <mergeCell ref="I7:K7"/>
    <mergeCell ref="I8:K8"/>
    <mergeCell ref="H9:K9"/>
    <mergeCell ref="A10:K10"/>
    <mergeCell ref="G11:K11"/>
    <mergeCell ref="B9:E9"/>
    <mergeCell ref="F9:G9"/>
  </mergeCells>
  <phoneticPr fontId="2" type="noConversion"/>
  <conditionalFormatting sqref="F31:G31">
    <cfRule type="cellIs" dxfId="47" priority="17" operator="greaterThan">
      <formula>52</formula>
    </cfRule>
  </conditionalFormatting>
  <conditionalFormatting sqref="C31:E31">
    <cfRule type="cellIs" dxfId="46" priority="16" operator="greaterThan">
      <formula>261</formula>
    </cfRule>
  </conditionalFormatting>
  <conditionalFormatting sqref="M13">
    <cfRule type="cellIs" dxfId="45" priority="15" operator="greaterThan">
      <formula>59</formula>
    </cfRule>
  </conditionalFormatting>
  <conditionalFormatting sqref="M16">
    <cfRule type="cellIs" dxfId="44" priority="14" operator="greaterThan">
      <formula>64</formula>
    </cfRule>
  </conditionalFormatting>
  <conditionalFormatting sqref="C29:E29">
    <cfRule type="cellIs" dxfId="43" priority="13" operator="lessThan">
      <formula>9160</formula>
    </cfRule>
  </conditionalFormatting>
  <conditionalFormatting sqref="F29">
    <cfRule type="cellIs" dxfId="42" priority="12" operator="equal">
      <formula>9160</formula>
    </cfRule>
  </conditionalFormatting>
  <conditionalFormatting sqref="J29">
    <cfRule type="cellIs" dxfId="41" priority="11" operator="greaterThan">
      <formula>8</formula>
    </cfRule>
  </conditionalFormatting>
  <conditionalFormatting sqref="B8:D8">
    <cfRule type="cellIs" dxfId="40" priority="1" operator="lessThan">
      <formula>$B$7</formula>
    </cfRule>
  </conditionalFormatting>
  <dataValidations count="8"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92D4DF96-EA9B-46C4-9C54-8F05562921EE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9A6B16EC-2304-4AC5-836C-1A4E18C299DB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K29" xr:uid="{521264BC-6F94-4541-BE92-B1723C257CC6}"/>
    <dataValidation allowBlank="1" showInputMessage="1" showErrorMessage="1" promptTitle="주40시간 기준" prompt="주12시간 연장근로 초과 금지_x000a_225.952381시간 초과 금지?_x000a_261시간 초과 금지 ?" sqref="C31:E31" xr:uid="{8C9A0CB2-BDBE-4977-A9A6-320F4D2F17ED}"/>
    <dataValidation allowBlank="1" showInputMessage="1" showErrorMessage="1" promptTitle="주40시간기준" prompt="52시간 초과금지_x000a_근로기준법 제53조(연장 근로의 제한)" sqref="F31:G31" xr:uid="{90728839-DBEA-47F0-9084-6675883A0C69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5AEF161F-4E82-429A-8C5C-1EAD91C5CAD1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8" xr:uid="{F7D51CC4-238D-43BF-8C63-014CA03525A0}"/>
    <dataValidation allowBlank="1" showInputMessage="1" showErrorMessage="1" promptTitle="귀속월" prompt="귀속월의 실제 근무일수 기재" sqref="A31:B31" xr:uid="{533F8F7C-1107-415E-B1FF-B6E37FD22C9D}"/>
  </dataValidations>
  <hyperlinks>
    <hyperlink ref="A29:B29" r:id="rId1" display="기본시간급 | 시급(주휴포함)" xr:uid="{B89CB247-0CEA-4510-87FE-880721A9F993}"/>
    <hyperlink ref="A28:B28" r:id="rId2" display="통상시급" xr:uid="{FD583814-5872-4ABF-B79B-89442B5A1483}"/>
    <hyperlink ref="A33:J33" r:id="rId3" display="계산 방법" xr:uid="{1D25E123-79E9-471D-AC55-34A0CBAB1981}"/>
    <hyperlink ref="G16:H16" r:id="rId4" display="고용보험료" xr:uid="{CA02B46F-07C7-4760-8881-980187CCCB82}"/>
    <hyperlink ref="B9" r:id="rId5" xr:uid="{908B84BA-BA37-41D2-8187-40FDEC5B2203}"/>
    <hyperlink ref="N16" r:id="rId6" display="https://blog.naver.com/hope-pys/222547604214" xr:uid="{53A733FD-7BCC-44E8-9C02-76ED89437D19}"/>
    <hyperlink ref="M3" r:id="rId7" xr:uid="{8557D587-F825-4CFF-8744-ADEF0E53B4BB}"/>
    <hyperlink ref="O16" r:id="rId8" xr:uid="{9809826A-BFFE-4667-A2ED-2837CB21946E}"/>
    <hyperlink ref="N6" r:id="rId9" xr:uid="{A3C75D44-CA4F-42D0-8644-58D99DF9AEBB}"/>
    <hyperlink ref="Q26" location="최저임금!A1" display="최저임금은" xr:uid="{D0774F92-164A-4BEF-A9D4-76A1345EB8A2}"/>
    <hyperlink ref="M10" r:id="rId10" xr:uid="{52D58F9A-9425-4F02-AF42-431D2FD14023}"/>
    <hyperlink ref="M9" r:id="rId11" display="상시근로자 5인이상 연차수당 " xr:uid="{A74A7D12-8BC9-49A1-9C1E-24033DD98FF8}"/>
    <hyperlink ref="B14:D14" r:id="rId12" display="★주휴수당★ (별도표기)" xr:uid="{A548F8F7-E76B-4C4C-BFBF-9ABAF0261EA0}"/>
    <hyperlink ref="B20:D20" r:id="rId13" display="연차휴가수당" xr:uid="{D4384DC9-4BBF-4854-A56D-EE9C6BF126B6}"/>
    <hyperlink ref="H28:I28" r:id="rId14" display="주소정법정근로일수한도" xr:uid="{5040E9FB-B363-43DE-A27F-6DAD6141F04D}"/>
    <hyperlink ref="O44" r:id="rId15" display="1년 계약직 연차 11일 (대법원2021다227100)" xr:uid="{9237FDE1-6500-4B53-AA5A-35F2962E3E8D}"/>
    <hyperlink ref="O37" r:id="rId16" xr:uid="{E3E73CB5-46E3-47E2-8989-22D936D60C86}"/>
    <hyperlink ref="M16" r:id="rId17" display="https://cafe.daum.net/transtax/FWkz/224" xr:uid="{D25A9FF2-4CB3-4AB3-9FC1-3268E78AE2AB}"/>
    <hyperlink ref="O8" r:id="rId18" xr:uid="{F8BA60C7-4499-48DE-846A-3824762D6B8C}"/>
    <hyperlink ref="G12:H12" r:id="rId19" display="공제 항목" xr:uid="{26E6F529-9A80-41D3-89F6-4E0D43E2E908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98" orientation="portrait" verticalDpi="0" r:id="rId20"/>
  <drawing r:id="rId21"/>
  <legacyDrawing r:id="rId2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23" name="Group Box 1">
              <controlPr defaultSize="0" autoFill="0" autoPict="0">
                <anchor moveWithCells="1">
                  <from>
                    <xdr:col>15</xdr:col>
                    <xdr:colOff>0</xdr:colOff>
                    <xdr:row>2</xdr:row>
                    <xdr:rowOff>0</xdr:rowOff>
                  </from>
                  <to>
                    <xdr:col>17</xdr:col>
                    <xdr:colOff>590550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24" name="Option Button 2">
              <controlPr defaultSize="0" autoFill="0" autoLine="0" autoPict="0">
                <anchor moveWithCells="1">
                  <from>
                    <xdr:col>15</xdr:col>
                    <xdr:colOff>76200</xdr:colOff>
                    <xdr:row>2</xdr:row>
                    <xdr:rowOff>104775</xdr:rowOff>
                  </from>
                  <to>
                    <xdr:col>15</xdr:col>
                    <xdr:colOff>885825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25" name="Option Button 3">
              <controlPr defaultSize="0" autoFill="0" autoLine="0" autoPict="0">
                <anchor moveWithCells="1">
                  <from>
                    <xdr:col>16</xdr:col>
                    <xdr:colOff>219075</xdr:colOff>
                    <xdr:row>2</xdr:row>
                    <xdr:rowOff>104775</xdr:rowOff>
                  </from>
                  <to>
                    <xdr:col>17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26" name="Group Box 18">
              <controlPr defaultSize="0" autoFill="0" autoPict="0">
                <anchor moveWithCells="1">
                  <from>
                    <xdr:col>19</xdr:col>
                    <xdr:colOff>257175</xdr:colOff>
                    <xdr:row>1</xdr:row>
                    <xdr:rowOff>9525</xdr:rowOff>
                  </from>
                  <to>
                    <xdr:col>23</xdr:col>
                    <xdr:colOff>66675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3" r:id="rId27" name="Option Button 19">
              <controlPr defaultSize="0" autoFill="0" autoLine="0" autoPict="0">
                <anchor moveWithCells="1">
                  <from>
                    <xdr:col>19</xdr:col>
                    <xdr:colOff>381000</xdr:colOff>
                    <xdr:row>2</xdr:row>
                    <xdr:rowOff>133350</xdr:rowOff>
                  </from>
                  <to>
                    <xdr:col>20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4" r:id="rId28" name="Option Button 20">
              <controlPr defaultSize="0" autoFill="0" autoLine="0" autoPict="0">
                <anchor moveWithCells="1">
                  <from>
                    <xdr:col>21</xdr:col>
                    <xdr:colOff>190500</xdr:colOff>
                    <xdr:row>2</xdr:row>
                    <xdr:rowOff>161925</xdr:rowOff>
                  </from>
                  <to>
                    <xdr:col>22</xdr:col>
                    <xdr:colOff>533400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7" r:id="rId29" name="Group Box 43">
              <controlPr defaultSize="0" autoFill="0" autoPict="0">
                <anchor moveWithCells="1">
                  <from>
                    <xdr:col>0</xdr:col>
                    <xdr:colOff>76200</xdr:colOff>
                    <xdr:row>1</xdr:row>
                    <xdr:rowOff>28575</xdr:rowOff>
                  </from>
                  <to>
                    <xdr:col>3</xdr:col>
                    <xdr:colOff>57150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9" r:id="rId30" name="Option Button 45">
              <controlPr defaultSize="0" autoFill="0" autoLine="0" autoPict="0">
                <anchor moveWithCells="1">
                  <from>
                    <xdr:col>0</xdr:col>
                    <xdr:colOff>142875</xdr:colOff>
                    <xdr:row>2</xdr:row>
                    <xdr:rowOff>57150</xdr:rowOff>
                  </from>
                  <to>
                    <xdr:col>1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2" r:id="rId31" name="Option Button 48">
              <controlPr defaultSize="0" autoFill="0" autoLine="0" autoPict="0">
                <anchor moveWithCells="1">
                  <from>
                    <xdr:col>1</xdr:col>
                    <xdr:colOff>304800</xdr:colOff>
                    <xdr:row>2</xdr:row>
                    <xdr:rowOff>66675</xdr:rowOff>
                  </from>
                  <to>
                    <xdr:col>2</xdr:col>
                    <xdr:colOff>257175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7" r:id="rId32" name="Group Box 53">
              <controlPr defaultSize="0" autoFill="0" autoPict="0">
                <anchor moveWithCells="1">
                  <from>
                    <xdr:col>17</xdr:col>
                    <xdr:colOff>466725</xdr:colOff>
                    <xdr:row>9</xdr:row>
                    <xdr:rowOff>66675</xdr:rowOff>
                  </from>
                  <to>
                    <xdr:col>20</xdr:col>
                    <xdr:colOff>361950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8" r:id="rId33" name="Option Button 54">
              <controlPr defaultSize="0" autoFill="0" autoLine="0" autoPict="0">
                <anchor moveWithCells="1">
                  <from>
                    <xdr:col>17</xdr:col>
                    <xdr:colOff>628650</xdr:colOff>
                    <xdr:row>9</xdr:row>
                    <xdr:rowOff>209550</xdr:rowOff>
                  </from>
                  <to>
                    <xdr:col>18</xdr:col>
                    <xdr:colOff>628650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9" r:id="rId34" name="Option Button 55">
              <controlPr defaultSize="0" autoFill="0" autoLine="0" autoPict="0">
                <anchor moveWithCells="1">
                  <from>
                    <xdr:col>19</xdr:col>
                    <xdr:colOff>314325</xdr:colOff>
                    <xdr:row>9</xdr:row>
                    <xdr:rowOff>209550</xdr:rowOff>
                  </from>
                  <to>
                    <xdr:col>20</xdr:col>
                    <xdr:colOff>76200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0" r:id="rId35" name="Group Box 56">
              <controlPr defaultSize="0" autoFill="0" autoPict="0">
                <anchor moveWithCells="1">
                  <from>
                    <xdr:col>17</xdr:col>
                    <xdr:colOff>466725</xdr:colOff>
                    <xdr:row>13</xdr:row>
                    <xdr:rowOff>95250</xdr:rowOff>
                  </from>
                  <to>
                    <xdr:col>20</xdr:col>
                    <xdr:colOff>381000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1" r:id="rId36" name="Option Button 57">
              <controlPr defaultSize="0" autoFill="0" autoLine="0" autoPict="0">
                <anchor moveWithCells="1">
                  <from>
                    <xdr:col>17</xdr:col>
                    <xdr:colOff>628650</xdr:colOff>
                    <xdr:row>14</xdr:row>
                    <xdr:rowOff>161925</xdr:rowOff>
                  </from>
                  <to>
                    <xdr:col>18</xdr:col>
                    <xdr:colOff>647700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2" r:id="rId37" name="Option Button 58">
              <controlPr defaultSize="0" autoFill="0" autoLine="0" autoPict="0">
                <anchor moveWithCells="1">
                  <from>
                    <xdr:col>19</xdr:col>
                    <xdr:colOff>295275</xdr:colOff>
                    <xdr:row>14</xdr:row>
                    <xdr:rowOff>161925</xdr:rowOff>
                  </from>
                  <to>
                    <xdr:col>20</xdr:col>
                    <xdr:colOff>123825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9" r:id="rId38" name="Group Box 75">
              <controlPr defaultSize="0" autoFill="0" autoPict="0">
                <anchor moveWithCells="1">
                  <from>
                    <xdr:col>17</xdr:col>
                    <xdr:colOff>447675</xdr:colOff>
                    <xdr:row>6</xdr:row>
                    <xdr:rowOff>57150</xdr:rowOff>
                  </from>
                  <to>
                    <xdr:col>20</xdr:col>
                    <xdr:colOff>390525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1" r:id="rId39" name="Option Button 77">
              <controlPr defaultSize="0" autoFill="0" autoLine="0" autoPict="0">
                <anchor moveWithCells="1">
                  <from>
                    <xdr:col>17</xdr:col>
                    <xdr:colOff>581025</xdr:colOff>
                    <xdr:row>7</xdr:row>
                    <xdr:rowOff>28575</xdr:rowOff>
                  </from>
                  <to>
                    <xdr:col>18</xdr:col>
                    <xdr:colOff>590550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2" r:id="rId40" name="Option Button 78">
              <controlPr defaultSize="0" autoFill="0" autoLine="0" autoPict="0">
                <anchor moveWithCells="1">
                  <from>
                    <xdr:col>19</xdr:col>
                    <xdr:colOff>28575</xdr:colOff>
                    <xdr:row>7</xdr:row>
                    <xdr:rowOff>38100</xdr:rowOff>
                  </from>
                  <to>
                    <xdr:col>20</xdr:col>
                    <xdr:colOff>180975</xdr:colOff>
                    <xdr:row>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317CC-D65D-4596-BFB8-3572BB7DAE80}">
  <sheetPr codeName="Sheet15">
    <tabColor rgb="FFFFFF00"/>
  </sheetPr>
  <dimension ref="A1:AF33"/>
  <sheetViews>
    <sheetView zoomScaleNormal="100" workbookViewId="0">
      <selection activeCell="AF11" sqref="AF11"/>
    </sheetView>
  </sheetViews>
  <sheetFormatPr defaultRowHeight="16.5"/>
  <cols>
    <col min="1" max="1" width="4" customWidth="1"/>
    <col min="2" max="2" width="4.875" customWidth="1"/>
    <col min="3" max="3" width="14.375" customWidth="1"/>
    <col min="4" max="4" width="14.5" customWidth="1"/>
    <col min="5" max="20" width="3.125" customWidth="1"/>
    <col min="21" max="21" width="5.25" customWidth="1"/>
    <col min="22" max="22" width="9.125" bestFit="1" customWidth="1"/>
    <col min="23" max="23" width="9.25" bestFit="1" customWidth="1"/>
    <col min="24" max="26" width="9.25" customWidth="1"/>
    <col min="27" max="27" width="8.875" customWidth="1"/>
  </cols>
  <sheetData>
    <row r="1" spans="1:32" ht="16.5" customHeight="1">
      <c r="A1" s="1067">
        <v>44470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  <c r="Y1" s="1068"/>
      <c r="Z1" s="1068"/>
      <c r="AA1" s="1069"/>
    </row>
    <row r="2" spans="1:32" ht="16.5" customHeight="1">
      <c r="A2" s="1070"/>
      <c r="B2" s="1071"/>
      <c r="C2" s="1071"/>
      <c r="D2" s="1071"/>
      <c r="E2" s="1071"/>
      <c r="F2" s="1071"/>
      <c r="G2" s="1071"/>
      <c r="H2" s="1071"/>
      <c r="I2" s="1071"/>
      <c r="J2" s="1071"/>
      <c r="K2" s="1071"/>
      <c r="L2" s="1071"/>
      <c r="M2" s="1071"/>
      <c r="N2" s="1071"/>
      <c r="O2" s="1071"/>
      <c r="P2" s="1071"/>
      <c r="Q2" s="1071"/>
      <c r="R2" s="1071"/>
      <c r="S2" s="1071"/>
      <c r="T2" s="1071"/>
      <c r="U2" s="1071"/>
      <c r="V2" s="1071"/>
      <c r="W2" s="1071"/>
      <c r="X2" s="1071"/>
      <c r="Y2" s="1071"/>
      <c r="Z2" s="1071"/>
      <c r="AA2" s="1072"/>
    </row>
    <row r="3" spans="1:32" ht="16.5" customHeight="1">
      <c r="A3" s="1073" t="s">
        <v>1873</v>
      </c>
      <c r="B3" s="1074"/>
      <c r="C3" s="1074"/>
      <c r="D3" s="1074"/>
      <c r="E3" s="1075" t="s">
        <v>1852</v>
      </c>
      <c r="F3" s="1076"/>
      <c r="G3" s="1076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1076"/>
      <c r="AA3" s="1077"/>
    </row>
    <row r="4" spans="1:32" ht="16.5" customHeight="1">
      <c r="A4" s="1073"/>
      <c r="B4" s="1074"/>
      <c r="C4" s="1074"/>
      <c r="D4" s="1074"/>
      <c r="E4" s="1078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80"/>
    </row>
    <row r="5" spans="1:32" ht="16.5" customHeight="1">
      <c r="A5" s="1081" t="s">
        <v>1853</v>
      </c>
      <c r="B5" s="1084" t="s">
        <v>1854</v>
      </c>
      <c r="C5" s="1084" t="s">
        <v>1855</v>
      </c>
      <c r="D5" s="1088" t="s">
        <v>1856</v>
      </c>
      <c r="E5" s="1089" t="s">
        <v>1857</v>
      </c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1" t="s">
        <v>1858</v>
      </c>
      <c r="V5" s="1094" t="s">
        <v>1859</v>
      </c>
      <c r="W5" s="1091" t="s">
        <v>1860</v>
      </c>
      <c r="X5" s="1091" t="s">
        <v>1861</v>
      </c>
      <c r="Y5" s="1091" t="s">
        <v>27</v>
      </c>
      <c r="Z5" s="1091" t="s">
        <v>1862</v>
      </c>
      <c r="AA5" s="1100" t="s">
        <v>1863</v>
      </c>
    </row>
    <row r="6" spans="1:32">
      <c r="A6" s="1082"/>
      <c r="B6" s="1085"/>
      <c r="C6" s="1085"/>
      <c r="D6" s="1085"/>
      <c r="E6" s="635">
        <v>1</v>
      </c>
      <c r="F6" s="635">
        <v>2</v>
      </c>
      <c r="G6" s="635">
        <v>3</v>
      </c>
      <c r="H6" s="635">
        <v>4</v>
      </c>
      <c r="I6" s="635">
        <v>5</v>
      </c>
      <c r="J6" s="635">
        <v>6</v>
      </c>
      <c r="K6" s="635">
        <v>7</v>
      </c>
      <c r="L6" s="635">
        <v>8</v>
      </c>
      <c r="M6" s="635">
        <v>9</v>
      </c>
      <c r="N6" s="635">
        <v>10</v>
      </c>
      <c r="O6" s="635">
        <v>11</v>
      </c>
      <c r="P6" s="635">
        <v>12</v>
      </c>
      <c r="Q6" s="635">
        <v>13</v>
      </c>
      <c r="R6" s="635">
        <v>14</v>
      </c>
      <c r="S6" s="635">
        <v>15</v>
      </c>
      <c r="T6" s="635">
        <v>16</v>
      </c>
      <c r="U6" s="1092"/>
      <c r="V6" s="1095"/>
      <c r="W6" s="1092"/>
      <c r="X6" s="1092"/>
      <c r="Y6" s="1092"/>
      <c r="Z6" s="1092"/>
      <c r="AA6" s="1097"/>
    </row>
    <row r="7" spans="1:32">
      <c r="A7" s="1082"/>
      <c r="B7" s="1085"/>
      <c r="C7" s="1087"/>
      <c r="D7" s="1085"/>
      <c r="E7" s="636" t="str">
        <f>TEXT(DATE(YEAR($A$1),MONTH($A$1),E6),"aaa")</f>
        <v>금</v>
      </c>
      <c r="F7" s="636" t="str">
        <f t="shared" ref="F7:T7" si="0">TEXT(DATE(YEAR($A$1),MONTH($A$1),F6),"aaa")</f>
        <v>토</v>
      </c>
      <c r="G7" s="636" t="str">
        <f t="shared" si="0"/>
        <v>일</v>
      </c>
      <c r="H7" s="636" t="str">
        <f t="shared" si="0"/>
        <v>월</v>
      </c>
      <c r="I7" s="636" t="str">
        <f t="shared" si="0"/>
        <v>화</v>
      </c>
      <c r="J7" s="636" t="str">
        <f t="shared" si="0"/>
        <v>수</v>
      </c>
      <c r="K7" s="636" t="str">
        <f t="shared" si="0"/>
        <v>목</v>
      </c>
      <c r="L7" s="636" t="str">
        <f t="shared" si="0"/>
        <v>금</v>
      </c>
      <c r="M7" s="636" t="str">
        <f t="shared" si="0"/>
        <v>토</v>
      </c>
      <c r="N7" s="636" t="str">
        <f t="shared" si="0"/>
        <v>일</v>
      </c>
      <c r="O7" s="636" t="str">
        <f t="shared" si="0"/>
        <v>월</v>
      </c>
      <c r="P7" s="636" t="str">
        <f t="shared" si="0"/>
        <v>화</v>
      </c>
      <c r="Q7" s="636" t="str">
        <f t="shared" si="0"/>
        <v>수</v>
      </c>
      <c r="R7" s="636" t="str">
        <f t="shared" si="0"/>
        <v>목</v>
      </c>
      <c r="S7" s="636" t="str">
        <f t="shared" si="0"/>
        <v>금</v>
      </c>
      <c r="T7" s="636" t="str">
        <f t="shared" si="0"/>
        <v>토</v>
      </c>
      <c r="U7" s="1093"/>
      <c r="V7" s="1095"/>
      <c r="W7" s="1092"/>
      <c r="X7" s="1093"/>
      <c r="Y7" s="1093"/>
      <c r="Z7" s="1093"/>
      <c r="AA7" s="1101"/>
    </row>
    <row r="8" spans="1:32">
      <c r="A8" s="1082"/>
      <c r="B8" s="1085"/>
      <c r="C8" s="1084" t="s">
        <v>1238</v>
      </c>
      <c r="D8" s="1085"/>
      <c r="E8" s="310">
        <v>17</v>
      </c>
      <c r="F8" s="310">
        <v>18</v>
      </c>
      <c r="G8" s="310">
        <v>19</v>
      </c>
      <c r="H8" s="310">
        <v>20</v>
      </c>
      <c r="I8" s="310">
        <v>21</v>
      </c>
      <c r="J8" s="310">
        <v>22</v>
      </c>
      <c r="K8" s="310">
        <v>23</v>
      </c>
      <c r="L8" s="310">
        <v>24</v>
      </c>
      <c r="M8" s="310">
        <v>25</v>
      </c>
      <c r="N8" s="310">
        <f>IF(26&gt;VALUE(TEXT(EOMONTH($A$1,0),"dd")),"",26)</f>
        <v>26</v>
      </c>
      <c r="O8" s="310">
        <f>IF(27&gt;VALUE(TEXT(EOMONTH($A$1,0),"dd")),"",27)</f>
        <v>27</v>
      </c>
      <c r="P8" s="310">
        <f>IF(28&gt;VALUE(TEXT(EOMONTH($A$1,0),"dd")),"",28)</f>
        <v>28</v>
      </c>
      <c r="Q8" s="310">
        <f>IF(29&gt;VALUE(TEXT(EOMONTH($A$1,0),"dd")),"",29)</f>
        <v>29</v>
      </c>
      <c r="R8" s="310">
        <f>IF(30&gt;VALUE(TEXT(EOMONTH($A$1,0),"dd")),"",30)</f>
        <v>30</v>
      </c>
      <c r="S8" s="310">
        <f>IF(31&gt;VALUE(TEXT(EOMONTH($A$1,0),"dd")),"",31)</f>
        <v>31</v>
      </c>
      <c r="T8" s="637"/>
      <c r="U8" s="1092" t="s">
        <v>1864</v>
      </c>
      <c r="V8" s="1095"/>
      <c r="W8" s="1092"/>
      <c r="X8" s="1092" t="s">
        <v>35</v>
      </c>
      <c r="Y8" s="1092" t="s">
        <v>26</v>
      </c>
      <c r="Z8" s="1092" t="s">
        <v>1865</v>
      </c>
      <c r="AA8" s="1097" t="s">
        <v>1866</v>
      </c>
    </row>
    <row r="9" spans="1:32" ht="17.25" thickBot="1">
      <c r="A9" s="1083"/>
      <c r="B9" s="1086"/>
      <c r="C9" s="1086"/>
      <c r="D9" s="1086"/>
      <c r="E9" s="638" t="str">
        <f>TEXT(DATE(YEAR($A$1),MONTH($A$1),E8),"aaa")</f>
        <v>일</v>
      </c>
      <c r="F9" s="638" t="str">
        <f t="shared" ref="F9:M9" si="1">TEXT(DATE(YEAR($A$1),MONTH($A$1),F8),"aaa")</f>
        <v>월</v>
      </c>
      <c r="G9" s="638" t="str">
        <f t="shared" si="1"/>
        <v>화</v>
      </c>
      <c r="H9" s="638" t="str">
        <f t="shared" si="1"/>
        <v>수</v>
      </c>
      <c r="I9" s="638" t="str">
        <f t="shared" si="1"/>
        <v>목</v>
      </c>
      <c r="J9" s="638" t="str">
        <f t="shared" si="1"/>
        <v>금</v>
      </c>
      <c r="K9" s="638" t="str">
        <f t="shared" si="1"/>
        <v>토</v>
      </c>
      <c r="L9" s="638" t="str">
        <f t="shared" si="1"/>
        <v>일</v>
      </c>
      <c r="M9" s="638" t="str">
        <f t="shared" si="1"/>
        <v>월</v>
      </c>
      <c r="N9" s="638" t="str">
        <f t="shared" ref="N9:R9" si="2">IF(ISERROR(TEXT(DATE(YEAR($A$1),MONTH($A$1),N8),"aaa")),"",TEXT(DATE(YEAR($A$1),MONTH($A$1),N8),"aaa"))</f>
        <v>화</v>
      </c>
      <c r="O9" s="638" t="str">
        <f t="shared" si="2"/>
        <v>수</v>
      </c>
      <c r="P9" s="638" t="str">
        <f t="shared" si="2"/>
        <v>목</v>
      </c>
      <c r="Q9" s="638" t="str">
        <f t="shared" si="2"/>
        <v>금</v>
      </c>
      <c r="R9" s="638" t="str">
        <f t="shared" si="2"/>
        <v>토</v>
      </c>
      <c r="S9" s="638" t="str">
        <f>IF(ISERROR(TEXT(DATE(YEAR($A$1),MONTH($A$1),S8),"aaa")),"",TEXT(DATE(YEAR($A$1),MONTH($A$1),S8),"aaa"))</f>
        <v>일</v>
      </c>
      <c r="T9" s="639"/>
      <c r="U9" s="1099"/>
      <c r="V9" s="1096"/>
      <c r="W9" s="1099"/>
      <c r="X9" s="1099"/>
      <c r="Y9" s="1099"/>
      <c r="Z9" s="1099"/>
      <c r="AA9" s="1098"/>
    </row>
    <row r="10" spans="1:32" ht="16.5" customHeight="1" thickTop="1">
      <c r="A10" s="1102">
        <v>1</v>
      </c>
      <c r="B10" s="1103" t="s">
        <v>1867</v>
      </c>
      <c r="C10" s="640" t="s">
        <v>1868</v>
      </c>
      <c r="D10" s="1105"/>
      <c r="E10" s="641">
        <v>8</v>
      </c>
      <c r="F10" s="641"/>
      <c r="G10" s="641"/>
      <c r="H10" s="641"/>
      <c r="I10" s="641">
        <v>8</v>
      </c>
      <c r="J10" s="641">
        <v>8</v>
      </c>
      <c r="K10" s="641">
        <v>8</v>
      </c>
      <c r="L10" s="641">
        <v>8</v>
      </c>
      <c r="M10" s="641"/>
      <c r="N10" s="641"/>
      <c r="O10" s="641"/>
      <c r="P10" s="641">
        <v>8</v>
      </c>
      <c r="Q10" s="641">
        <v>8</v>
      </c>
      <c r="R10" s="641"/>
      <c r="S10" s="641"/>
      <c r="T10" s="641"/>
      <c r="U10" s="642">
        <f>SUM(E10:T11)</f>
        <v>88</v>
      </c>
      <c r="V10" s="1107">
        <v>8720</v>
      </c>
      <c r="W10" s="1109">
        <f>U10*V10</f>
        <v>767360</v>
      </c>
      <c r="X10" s="643"/>
      <c r="Y10" s="643"/>
      <c r="Z10" s="644"/>
      <c r="AA10" s="645">
        <f>SUM(X10:Z11)</f>
        <v>0</v>
      </c>
      <c r="AC10">
        <f>31/7</f>
        <v>4.4285714285714288</v>
      </c>
      <c r="AE10">
        <f>U10/AC10</f>
        <v>19.870967741935484</v>
      </c>
    </row>
    <row r="11" spans="1:32" ht="17.25" customHeight="1" thickBot="1">
      <c r="A11" s="1060"/>
      <c r="B11" s="1104"/>
      <c r="C11" s="646">
        <v>7301011234567</v>
      </c>
      <c r="D11" s="1106"/>
      <c r="E11" s="647"/>
      <c r="F11" s="647">
        <v>8</v>
      </c>
      <c r="G11" s="647">
        <v>8</v>
      </c>
      <c r="H11" s="647">
        <v>8</v>
      </c>
      <c r="I11" s="647">
        <v>8</v>
      </c>
      <c r="J11" s="647"/>
      <c r="K11" s="647"/>
      <c r="L11" s="647"/>
      <c r="M11" s="647"/>
      <c r="N11" s="647"/>
      <c r="O11" s="647"/>
      <c r="P11" s="647"/>
      <c r="Q11" s="647"/>
      <c r="R11" s="647"/>
      <c r="S11" s="647"/>
      <c r="T11" s="648"/>
      <c r="U11" s="649">
        <f>COUNT(E10:T11)</f>
        <v>11</v>
      </c>
      <c r="V11" s="1108"/>
      <c r="W11" s="1110"/>
      <c r="X11" s="650"/>
      <c r="Y11" s="650"/>
      <c r="Z11" s="650"/>
      <c r="AA11" s="651">
        <f>W10-AA10</f>
        <v>767360</v>
      </c>
      <c r="AC11">
        <f>U10</f>
        <v>88</v>
      </c>
      <c r="AD11">
        <f>E10</f>
        <v>8</v>
      </c>
      <c r="AE11">
        <f>AC11-AD11</f>
        <v>80</v>
      </c>
      <c r="AF11" s="667">
        <f>AE11/40</f>
        <v>2</v>
      </c>
    </row>
    <row r="12" spans="1:32" ht="16.5" customHeight="1">
      <c r="A12" s="1060">
        <v>2</v>
      </c>
      <c r="B12" s="1111"/>
      <c r="C12" s="652"/>
      <c r="D12" s="1116"/>
      <c r="E12" s="635"/>
      <c r="F12" s="635"/>
      <c r="G12" s="635"/>
      <c r="H12" s="635"/>
      <c r="I12" s="635"/>
      <c r="J12" s="635"/>
      <c r="K12" s="635"/>
      <c r="L12" s="635"/>
      <c r="M12" s="635"/>
      <c r="N12" s="635"/>
      <c r="O12" s="635"/>
      <c r="P12" s="635"/>
      <c r="Q12" s="635"/>
      <c r="R12" s="635"/>
      <c r="S12" s="635"/>
      <c r="T12" s="635"/>
      <c r="U12" s="653">
        <f t="shared" ref="U12" si="3">SUM(E12:T13)</f>
        <v>0</v>
      </c>
      <c r="V12" s="1114">
        <f>V10</f>
        <v>8720</v>
      </c>
      <c r="W12" s="1115">
        <f>U12*V12</f>
        <v>0</v>
      </c>
      <c r="X12" s="654"/>
      <c r="Y12" s="654"/>
      <c r="Z12" s="655"/>
      <c r="AA12" s="656">
        <f t="shared" ref="AA12" si="4">SUM(X12:Z13)</f>
        <v>0</v>
      </c>
    </row>
    <row r="13" spans="1:32" ht="17.25" customHeight="1" thickBot="1">
      <c r="A13" s="1060"/>
      <c r="B13" s="1111"/>
      <c r="C13" s="646"/>
      <c r="D13" s="1106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8"/>
      <c r="U13" s="649">
        <f t="shared" ref="U13" si="5">COUNT(E12:T13)</f>
        <v>0</v>
      </c>
      <c r="V13" s="1108"/>
      <c r="W13" s="1110"/>
      <c r="X13" s="650"/>
      <c r="Y13" s="650"/>
      <c r="Z13" s="650"/>
      <c r="AA13" s="651">
        <f t="shared" ref="AA13" si="6">W12-AA12</f>
        <v>0</v>
      </c>
    </row>
    <row r="14" spans="1:32" ht="16.5" customHeight="1">
      <c r="A14" s="1060">
        <v>3</v>
      </c>
      <c r="B14" s="1111"/>
      <c r="C14" s="652"/>
      <c r="D14" s="1112"/>
      <c r="E14" s="635"/>
      <c r="F14" s="635"/>
      <c r="G14" s="635"/>
      <c r="H14" s="635"/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53">
        <f t="shared" ref="U14" si="7">SUM(E14:T15)</f>
        <v>0</v>
      </c>
      <c r="V14" s="1114">
        <f>V10</f>
        <v>8720</v>
      </c>
      <c r="W14" s="1115">
        <f>U14*V14</f>
        <v>0</v>
      </c>
      <c r="X14" s="654"/>
      <c r="Y14" s="654"/>
      <c r="Z14" s="655"/>
      <c r="AA14" s="656">
        <f t="shared" ref="AA14" si="8">SUM(X14:Z15)</f>
        <v>0</v>
      </c>
    </row>
    <row r="15" spans="1:32" ht="17.25" customHeight="1" thickBot="1">
      <c r="A15" s="1060"/>
      <c r="B15" s="1111"/>
      <c r="C15" s="646"/>
      <c r="D15" s="1113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>
        <f t="shared" ref="U15" si="9">COUNT(E14:T15)</f>
        <v>0</v>
      </c>
      <c r="V15" s="1108"/>
      <c r="W15" s="1110"/>
      <c r="X15" s="650"/>
      <c r="Y15" s="650"/>
      <c r="Z15" s="650"/>
      <c r="AA15" s="651">
        <f t="shared" ref="AA15" si="10">W14-AA14</f>
        <v>0</v>
      </c>
    </row>
    <row r="16" spans="1:32" ht="16.5" customHeight="1">
      <c r="A16" s="1060">
        <v>4</v>
      </c>
      <c r="B16" s="1111"/>
      <c r="C16" s="652"/>
      <c r="D16" s="1112"/>
      <c r="E16" s="635"/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R16" s="635"/>
      <c r="S16" s="635"/>
      <c r="T16" s="635"/>
      <c r="U16" s="653">
        <f t="shared" ref="U16" si="11">SUM(E16:T17)</f>
        <v>0</v>
      </c>
      <c r="V16" s="1114">
        <f>V10</f>
        <v>8720</v>
      </c>
      <c r="W16" s="1115">
        <f>U16*V16</f>
        <v>0</v>
      </c>
      <c r="X16" s="654"/>
      <c r="Y16" s="654"/>
      <c r="Z16" s="655"/>
      <c r="AA16" s="656">
        <f t="shared" ref="AA16" si="12">SUM(X16:Z17)</f>
        <v>0</v>
      </c>
    </row>
    <row r="17" spans="1:27" ht="17.25" customHeight="1" thickBot="1">
      <c r="A17" s="1060"/>
      <c r="B17" s="1111"/>
      <c r="C17" s="646"/>
      <c r="D17" s="1113"/>
      <c r="E17" s="647"/>
      <c r="F17" s="647"/>
      <c r="G17" s="647"/>
      <c r="H17" s="647"/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>
        <f t="shared" ref="U17" si="13">COUNT(E16:T17)</f>
        <v>0</v>
      </c>
      <c r="V17" s="1108"/>
      <c r="W17" s="1110"/>
      <c r="X17" s="650"/>
      <c r="Y17" s="650"/>
      <c r="Z17" s="650"/>
      <c r="AA17" s="651">
        <f t="shared" ref="AA17" si="14">W16-AA16</f>
        <v>0</v>
      </c>
    </row>
    <row r="18" spans="1:27" ht="16.5" customHeight="1">
      <c r="A18" s="1060">
        <v>5</v>
      </c>
      <c r="B18" s="1111"/>
      <c r="C18" s="652"/>
      <c r="D18" s="1112"/>
      <c r="E18" s="635"/>
      <c r="F18" s="635"/>
      <c r="G18" s="635"/>
      <c r="H18" s="635"/>
      <c r="I18" s="635"/>
      <c r="J18" s="635"/>
      <c r="K18" s="635"/>
      <c r="L18" s="635"/>
      <c r="M18" s="635"/>
      <c r="N18" s="635"/>
      <c r="O18" s="635"/>
      <c r="P18" s="635"/>
      <c r="Q18" s="635"/>
      <c r="R18" s="635"/>
      <c r="S18" s="635"/>
      <c r="T18" s="635"/>
      <c r="U18" s="653">
        <f t="shared" ref="U18" si="15">SUM(E18:T19)</f>
        <v>0</v>
      </c>
      <c r="V18" s="1114">
        <f>V10</f>
        <v>8720</v>
      </c>
      <c r="W18" s="1115">
        <f>U18*V18</f>
        <v>0</v>
      </c>
      <c r="X18" s="654"/>
      <c r="Y18" s="654"/>
      <c r="Z18" s="655"/>
      <c r="AA18" s="656">
        <f t="shared" ref="AA18" si="16">SUM(X18:Z19)</f>
        <v>0</v>
      </c>
    </row>
    <row r="19" spans="1:27" ht="17.25" customHeight="1" thickBot="1">
      <c r="A19" s="1060"/>
      <c r="B19" s="1111"/>
      <c r="C19" s="646"/>
      <c r="D19" s="1113"/>
      <c r="E19" s="647"/>
      <c r="F19" s="647"/>
      <c r="G19" s="647"/>
      <c r="H19" s="647"/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>
        <f t="shared" ref="U19" si="17">COUNT(E18:T19)</f>
        <v>0</v>
      </c>
      <c r="V19" s="1108"/>
      <c r="W19" s="1110"/>
      <c r="X19" s="650"/>
      <c r="Y19" s="650"/>
      <c r="Z19" s="650"/>
      <c r="AA19" s="651">
        <f t="shared" ref="AA19" si="18">W18-AA18</f>
        <v>0</v>
      </c>
    </row>
    <row r="20" spans="1:27" ht="16.5" customHeight="1">
      <c r="A20" s="1060">
        <v>6</v>
      </c>
      <c r="B20" s="1111"/>
      <c r="C20" s="652"/>
      <c r="D20" s="1112"/>
      <c r="E20" s="635"/>
      <c r="F20" s="635"/>
      <c r="G20" s="635"/>
      <c r="H20" s="635"/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  <c r="T20" s="635"/>
      <c r="U20" s="653">
        <f t="shared" ref="U20" si="19">SUM(E20:T21)</f>
        <v>0</v>
      </c>
      <c r="V20" s="1114">
        <f>V10</f>
        <v>8720</v>
      </c>
      <c r="W20" s="1115">
        <f>U20*V20</f>
        <v>0</v>
      </c>
      <c r="X20" s="654"/>
      <c r="Y20" s="654"/>
      <c r="Z20" s="655"/>
      <c r="AA20" s="656">
        <f t="shared" ref="AA20" si="20">SUM(X20:Z21)</f>
        <v>0</v>
      </c>
    </row>
    <row r="21" spans="1:27" ht="17.25" customHeight="1" thickBot="1">
      <c r="A21" s="1060"/>
      <c r="B21" s="1111"/>
      <c r="C21" s="646"/>
      <c r="D21" s="1113"/>
      <c r="E21" s="647"/>
      <c r="F21" s="647"/>
      <c r="G21" s="647"/>
      <c r="H21" s="647"/>
      <c r="I21" s="647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>
        <f t="shared" ref="U21" si="21">COUNT(E20:T21)</f>
        <v>0</v>
      </c>
      <c r="V21" s="1108"/>
      <c r="W21" s="1110"/>
      <c r="X21" s="650"/>
      <c r="Y21" s="650"/>
      <c r="Z21" s="650"/>
      <c r="AA21" s="651">
        <f t="shared" ref="AA21" si="22">W20-AA20</f>
        <v>0</v>
      </c>
    </row>
    <row r="22" spans="1:27" ht="16.5" customHeight="1">
      <c r="A22" s="1060">
        <v>7</v>
      </c>
      <c r="B22" s="1111"/>
      <c r="C22" s="652"/>
      <c r="D22" s="1112"/>
      <c r="E22" s="635"/>
      <c r="F22" s="635"/>
      <c r="G22" s="635"/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R22" s="635"/>
      <c r="S22" s="635"/>
      <c r="T22" s="635"/>
      <c r="U22" s="653">
        <f t="shared" ref="U22" si="23">SUM(E22:T23)</f>
        <v>0</v>
      </c>
      <c r="V22" s="1114">
        <f>V10</f>
        <v>8720</v>
      </c>
      <c r="W22" s="1115">
        <f>U22*V22</f>
        <v>0</v>
      </c>
      <c r="X22" s="654"/>
      <c r="Y22" s="654"/>
      <c r="Z22" s="655"/>
      <c r="AA22" s="656">
        <f t="shared" ref="AA22" si="24">SUM(X22:Z23)</f>
        <v>0</v>
      </c>
    </row>
    <row r="23" spans="1:27" ht="17.25" customHeight="1" thickBot="1">
      <c r="A23" s="1060"/>
      <c r="B23" s="1111"/>
      <c r="C23" s="646"/>
      <c r="D23" s="1113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>
        <f t="shared" ref="U23" si="25">COUNT(E22:T23)</f>
        <v>0</v>
      </c>
      <c r="V23" s="1108"/>
      <c r="W23" s="1110"/>
      <c r="X23" s="650"/>
      <c r="Y23" s="650"/>
      <c r="Z23" s="650"/>
      <c r="AA23" s="651">
        <f t="shared" ref="AA23" si="26">W22-AA22</f>
        <v>0</v>
      </c>
    </row>
    <row r="24" spans="1:27" ht="16.5" customHeight="1">
      <c r="A24" s="1060">
        <v>8</v>
      </c>
      <c r="B24" s="1111"/>
      <c r="C24" s="652"/>
      <c r="D24" s="1112"/>
      <c r="E24" s="635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  <c r="R24" s="635"/>
      <c r="S24" s="635"/>
      <c r="T24" s="635"/>
      <c r="U24" s="653">
        <f t="shared" ref="U24" si="27">SUM(E24:T25)</f>
        <v>0</v>
      </c>
      <c r="V24" s="1114">
        <f>V10</f>
        <v>8720</v>
      </c>
      <c r="W24" s="1115">
        <f>U24*V24</f>
        <v>0</v>
      </c>
      <c r="X24" s="654"/>
      <c r="Y24" s="654"/>
      <c r="Z24" s="655"/>
      <c r="AA24" s="656">
        <f t="shared" ref="AA24" si="28">SUM(X24:Z25)</f>
        <v>0</v>
      </c>
    </row>
    <row r="25" spans="1:27" ht="17.25" customHeight="1" thickBot="1">
      <c r="A25" s="1060"/>
      <c r="B25" s="1111"/>
      <c r="C25" s="646"/>
      <c r="D25" s="1113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>
        <f t="shared" ref="U25" si="29">COUNT(E24:T25)</f>
        <v>0</v>
      </c>
      <c r="V25" s="1108"/>
      <c r="W25" s="1110"/>
      <c r="X25" s="650"/>
      <c r="Y25" s="650"/>
      <c r="Z25" s="650"/>
      <c r="AA25" s="651">
        <f t="shared" ref="AA25" si="30">W24-AA24</f>
        <v>0</v>
      </c>
    </row>
    <row r="26" spans="1:27" ht="16.5" customHeight="1">
      <c r="A26" s="1060">
        <v>9</v>
      </c>
      <c r="B26" s="1111"/>
      <c r="C26" s="652"/>
      <c r="D26" s="1112"/>
      <c r="E26" s="635"/>
      <c r="F26" s="635"/>
      <c r="G26" s="635"/>
      <c r="H26" s="635"/>
      <c r="I26" s="635"/>
      <c r="J26" s="635"/>
      <c r="K26" s="635"/>
      <c r="L26" s="635"/>
      <c r="M26" s="635"/>
      <c r="N26" s="635"/>
      <c r="O26" s="635"/>
      <c r="P26" s="635"/>
      <c r="Q26" s="635"/>
      <c r="R26" s="635"/>
      <c r="S26" s="635"/>
      <c r="T26" s="635"/>
      <c r="U26" s="653">
        <f t="shared" ref="U26" si="31">SUM(E26:T27)</f>
        <v>0</v>
      </c>
      <c r="V26" s="1114">
        <f>V10</f>
        <v>8720</v>
      </c>
      <c r="W26" s="1115">
        <f>U26*V26</f>
        <v>0</v>
      </c>
      <c r="X26" s="654"/>
      <c r="Y26" s="654"/>
      <c r="Z26" s="655"/>
      <c r="AA26" s="656">
        <f t="shared" ref="AA26" si="32">SUM(X26:Z27)</f>
        <v>0</v>
      </c>
    </row>
    <row r="27" spans="1:27" ht="17.25" customHeight="1" thickBot="1">
      <c r="A27" s="1060"/>
      <c r="B27" s="1111"/>
      <c r="C27" s="646"/>
      <c r="D27" s="1113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>
        <f t="shared" ref="U27" si="33">COUNT(E26:T27)</f>
        <v>0</v>
      </c>
      <c r="V27" s="1108"/>
      <c r="W27" s="1110"/>
      <c r="X27" s="650"/>
      <c r="Y27" s="650"/>
      <c r="Z27" s="650"/>
      <c r="AA27" s="651">
        <f t="shared" ref="AA27" si="34">W26-AA26</f>
        <v>0</v>
      </c>
    </row>
    <row r="28" spans="1:27" ht="16.5" customHeight="1">
      <c r="A28" s="1060">
        <v>10</v>
      </c>
      <c r="B28" s="1111"/>
      <c r="C28" s="652"/>
      <c r="D28" s="1112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53">
        <f t="shared" ref="U28" si="35">SUM(E28:T29)</f>
        <v>0</v>
      </c>
      <c r="V28" s="1114">
        <f>V10</f>
        <v>8720</v>
      </c>
      <c r="W28" s="1115">
        <f>U28*V28</f>
        <v>0</v>
      </c>
      <c r="X28" s="654"/>
      <c r="Y28" s="654"/>
      <c r="Z28" s="655"/>
      <c r="AA28" s="656">
        <f t="shared" ref="AA28" si="36">SUM(X28:Z29)</f>
        <v>0</v>
      </c>
    </row>
    <row r="29" spans="1:27" ht="17.25" customHeight="1" thickBot="1">
      <c r="A29" s="1060"/>
      <c r="B29" s="1111"/>
      <c r="C29" s="646"/>
      <c r="D29" s="1113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>
        <f t="shared" ref="U29" si="37">COUNT(E28:T29)</f>
        <v>0</v>
      </c>
      <c r="V29" s="1108"/>
      <c r="W29" s="1110"/>
      <c r="X29" s="650"/>
      <c r="Y29" s="650"/>
      <c r="Z29" s="650"/>
      <c r="AA29" s="651">
        <f t="shared" ref="AA29" si="38">W28-AA28</f>
        <v>0</v>
      </c>
    </row>
    <row r="30" spans="1:27" ht="16.5" customHeight="1">
      <c r="A30" s="1117" t="s">
        <v>1869</v>
      </c>
      <c r="B30" s="1118"/>
      <c r="C30" s="1118"/>
      <c r="D30" s="1119"/>
      <c r="E30" s="657">
        <f>SUM(E10,E12,E14,E16,E18,E20,E22,E24,E26,E28)</f>
        <v>8</v>
      </c>
      <c r="F30" s="657">
        <f t="shared" ref="F30:T31" si="39">SUM(F10,F12,F14,F16,F18,F20,F22,F24,F26,F28)</f>
        <v>0</v>
      </c>
      <c r="G30" s="657">
        <f t="shared" si="39"/>
        <v>0</v>
      </c>
      <c r="H30" s="657">
        <f t="shared" si="39"/>
        <v>0</v>
      </c>
      <c r="I30" s="657">
        <f t="shared" si="39"/>
        <v>8</v>
      </c>
      <c r="J30" s="657">
        <f t="shared" si="39"/>
        <v>8</v>
      </c>
      <c r="K30" s="657">
        <f t="shared" si="39"/>
        <v>8</v>
      </c>
      <c r="L30" s="657">
        <f t="shared" si="39"/>
        <v>8</v>
      </c>
      <c r="M30" s="657">
        <f t="shared" si="39"/>
        <v>0</v>
      </c>
      <c r="N30" s="657">
        <f t="shared" si="39"/>
        <v>0</v>
      </c>
      <c r="O30" s="657">
        <f t="shared" si="39"/>
        <v>0</v>
      </c>
      <c r="P30" s="657">
        <f t="shared" si="39"/>
        <v>8</v>
      </c>
      <c r="Q30" s="657">
        <f t="shared" si="39"/>
        <v>8</v>
      </c>
      <c r="R30" s="657">
        <f t="shared" si="39"/>
        <v>0</v>
      </c>
      <c r="S30" s="657">
        <f t="shared" si="39"/>
        <v>0</v>
      </c>
      <c r="T30" s="657">
        <f t="shared" si="39"/>
        <v>0</v>
      </c>
      <c r="U30" s="653">
        <f t="shared" ref="U30" si="40">SUM(E30:T31)</f>
        <v>88</v>
      </c>
      <c r="V30" s="1123"/>
      <c r="W30" s="1125">
        <f>SUM(W10,W12,W14,W16,W18,W20,W22,W24,W26,W28)</f>
        <v>767360</v>
      </c>
      <c r="X30" s="658">
        <f>SUM(X10,X12,X14,X16,X18,X20,X22,X24,X26,X28)</f>
        <v>0</v>
      </c>
      <c r="Y30" s="658">
        <f t="shared" ref="Y30:AA31" si="41">SUM(Y10,Y12,Y14,Y16,Y18,Y20,Y22,Y24,Y26,Y28)</f>
        <v>0</v>
      </c>
      <c r="Z30" s="659">
        <f t="shared" si="41"/>
        <v>0</v>
      </c>
      <c r="AA30" s="660">
        <f t="shared" si="41"/>
        <v>0</v>
      </c>
    </row>
    <row r="31" spans="1:27" ht="17.25" customHeight="1" thickBot="1">
      <c r="A31" s="1120"/>
      <c r="B31" s="1121"/>
      <c r="C31" s="1121"/>
      <c r="D31" s="1122"/>
      <c r="E31" s="661">
        <f>SUM(E11,E13,E15,E17,E19,E21,E23,E25,E27,E29)</f>
        <v>0</v>
      </c>
      <c r="F31" s="662">
        <f t="shared" si="39"/>
        <v>8</v>
      </c>
      <c r="G31" s="662">
        <f t="shared" si="39"/>
        <v>8</v>
      </c>
      <c r="H31" s="662">
        <f t="shared" si="39"/>
        <v>8</v>
      </c>
      <c r="I31" s="662">
        <f t="shared" si="39"/>
        <v>8</v>
      </c>
      <c r="J31" s="662">
        <f t="shared" si="39"/>
        <v>0</v>
      </c>
      <c r="K31" s="662">
        <f t="shared" si="39"/>
        <v>0</v>
      </c>
      <c r="L31" s="662">
        <f t="shared" si="39"/>
        <v>0</v>
      </c>
      <c r="M31" s="662">
        <f t="shared" si="39"/>
        <v>0</v>
      </c>
      <c r="N31" s="662">
        <f t="shared" si="39"/>
        <v>0</v>
      </c>
      <c r="O31" s="662">
        <f t="shared" si="39"/>
        <v>0</v>
      </c>
      <c r="P31" s="662">
        <f t="shared" si="39"/>
        <v>0</v>
      </c>
      <c r="Q31" s="662">
        <f t="shared" si="39"/>
        <v>0</v>
      </c>
      <c r="R31" s="662">
        <f t="shared" si="39"/>
        <v>0</v>
      </c>
      <c r="S31" s="662">
        <f t="shared" si="39"/>
        <v>0</v>
      </c>
      <c r="T31" s="648"/>
      <c r="U31" s="649">
        <f>SUM(U11,U13,U15,U17,U19,U21,U23,U25,U27,U29)</f>
        <v>11</v>
      </c>
      <c r="V31" s="1124"/>
      <c r="W31" s="1110"/>
      <c r="X31" s="663">
        <f>SUM(X11,X13,X15,X17,X19,X21,X23,X25,X27,X29)</f>
        <v>0</v>
      </c>
      <c r="Y31" s="663">
        <f t="shared" si="41"/>
        <v>0</v>
      </c>
      <c r="Z31" s="664">
        <f t="shared" si="41"/>
        <v>0</v>
      </c>
      <c r="AA31" s="665">
        <f t="shared" si="41"/>
        <v>767360</v>
      </c>
    </row>
    <row r="32" spans="1:27">
      <c r="E32" s="630"/>
      <c r="F32" s="630"/>
      <c r="G32" s="630"/>
      <c r="H32" s="630"/>
      <c r="I32" s="630"/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30"/>
      <c r="U32" s="630"/>
      <c r="V32" s="630"/>
      <c r="W32" s="630"/>
      <c r="X32" s="630"/>
      <c r="Y32" s="630"/>
      <c r="Z32" s="630"/>
      <c r="AA32" s="630"/>
    </row>
    <row r="33" spans="5:21"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630"/>
      <c r="U33" s="630"/>
    </row>
  </sheetData>
  <mergeCells count="74">
    <mergeCell ref="V28:V29"/>
    <mergeCell ref="W28:W29"/>
    <mergeCell ref="A30:D31"/>
    <mergeCell ref="V30:V31"/>
    <mergeCell ref="W30:W31"/>
    <mergeCell ref="A28:A29"/>
    <mergeCell ref="B28:B29"/>
    <mergeCell ref="D28:D29"/>
    <mergeCell ref="A24:A25"/>
    <mergeCell ref="B24:B25"/>
    <mergeCell ref="D24:D25"/>
    <mergeCell ref="V24:V25"/>
    <mergeCell ref="W24:W25"/>
    <mergeCell ref="A26:A27"/>
    <mergeCell ref="B26:B27"/>
    <mergeCell ref="D26:D27"/>
    <mergeCell ref="V26:V27"/>
    <mergeCell ref="W26:W27"/>
    <mergeCell ref="A20:A21"/>
    <mergeCell ref="B20:B21"/>
    <mergeCell ref="D20:D21"/>
    <mergeCell ref="V20:V21"/>
    <mergeCell ref="W20:W21"/>
    <mergeCell ref="A22:A23"/>
    <mergeCell ref="B22:B23"/>
    <mergeCell ref="D22:D23"/>
    <mergeCell ref="V22:V23"/>
    <mergeCell ref="W22:W23"/>
    <mergeCell ref="A16:A17"/>
    <mergeCell ref="B16:B17"/>
    <mergeCell ref="D16:D17"/>
    <mergeCell ref="V16:V17"/>
    <mergeCell ref="W16:W17"/>
    <mergeCell ref="A18:A19"/>
    <mergeCell ref="B18:B19"/>
    <mergeCell ref="D18:D19"/>
    <mergeCell ref="V18:V19"/>
    <mergeCell ref="W18:W19"/>
    <mergeCell ref="A12:A13"/>
    <mergeCell ref="B12:B13"/>
    <mergeCell ref="D12:D13"/>
    <mergeCell ref="V12:V13"/>
    <mergeCell ref="W12:W13"/>
    <mergeCell ref="A14:A15"/>
    <mergeCell ref="B14:B15"/>
    <mergeCell ref="D14:D15"/>
    <mergeCell ref="V14:V15"/>
    <mergeCell ref="W14:W15"/>
    <mergeCell ref="C8:C9"/>
    <mergeCell ref="U8:U9"/>
    <mergeCell ref="X8:X9"/>
    <mergeCell ref="Y8:Y9"/>
    <mergeCell ref="Z8:Z9"/>
    <mergeCell ref="A10:A11"/>
    <mergeCell ref="B10:B11"/>
    <mergeCell ref="D10:D11"/>
    <mergeCell ref="V10:V11"/>
    <mergeCell ref="W10:W11"/>
    <mergeCell ref="A1:AA2"/>
    <mergeCell ref="A3:D4"/>
    <mergeCell ref="E3:AA4"/>
    <mergeCell ref="A5:A9"/>
    <mergeCell ref="B5:B9"/>
    <mergeCell ref="C5:C7"/>
    <mergeCell ref="D5:D9"/>
    <mergeCell ref="E5:T5"/>
    <mergeCell ref="U5:U7"/>
    <mergeCell ref="V5:V9"/>
    <mergeCell ref="AA8:AA9"/>
    <mergeCell ref="W5:W9"/>
    <mergeCell ref="X5:X7"/>
    <mergeCell ref="Y5:Y7"/>
    <mergeCell ref="Z5:Z7"/>
    <mergeCell ref="AA5:AA7"/>
  </mergeCells>
  <phoneticPr fontId="2" type="noConversion"/>
  <conditionalFormatting sqref="E7:T7">
    <cfRule type="cellIs" dxfId="39" priority="3" operator="equal">
      <formula>"일"</formula>
    </cfRule>
    <cfRule type="cellIs" dxfId="38" priority="4" operator="equal">
      <formula>"토"</formula>
    </cfRule>
  </conditionalFormatting>
  <conditionalFormatting sqref="E9:S9">
    <cfRule type="cellIs" dxfId="37" priority="1" operator="equal">
      <formula>"일"</formula>
    </cfRule>
    <cfRule type="cellIs" dxfId="36" priority="2" operator="equal">
      <formula>"토"</formula>
    </cfRule>
  </conditionalFormatting>
  <pageMargins left="0.70866141732283472" right="0.70866141732283472" top="0.74803149606299213" bottom="0.74803149606299213" header="0.31496062992125984" footer="0.31496062992125984"/>
  <pageSetup paperSize="9" scale="81" orientation="landscape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9781A-A89A-4999-88CF-5D870A0B0A96}">
  <sheetPr codeName="Sheet16">
    <tabColor rgb="FFFFFF00"/>
    <pageSetUpPr fitToPage="1"/>
  </sheetPr>
  <dimension ref="A1:V94"/>
  <sheetViews>
    <sheetView showGridLines="0" workbookViewId="0">
      <selection activeCell="D3" sqref="D3:F3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1" width="9" customWidth="1"/>
    <col min="12" max="12" width="12.875" bestFit="1" customWidth="1"/>
    <col min="13" max="13" width="11" customWidth="1"/>
    <col min="14" max="14" width="16.875" customWidth="1"/>
    <col min="15" max="15" width="14.25" customWidth="1"/>
    <col min="16" max="16" width="12.625" customWidth="1"/>
    <col min="17" max="17" width="13.5" bestFit="1" customWidth="1"/>
    <col min="19" max="19" width="12.125" bestFit="1" customWidth="1"/>
    <col min="20" max="20" width="12.75" customWidth="1"/>
    <col min="21" max="21" width="9.375" bestFit="1" customWidth="1"/>
  </cols>
  <sheetData>
    <row r="1" spans="1:22">
      <c r="A1" s="3" t="s">
        <v>0</v>
      </c>
      <c r="M1" s="510">
        <f>IF($B$7&gt;EOMONTH($D$3,-1)+1,$B$7,EOMONTH($D$3,-1)+1)</f>
        <v>44470</v>
      </c>
      <c r="N1" s="511">
        <f>IF(AND($B$8&lt;&gt;"",$B$8&lt;EOMONTH($D$3,0)),$B$8,EOMONTH($D$3,0))</f>
        <v>44500</v>
      </c>
      <c r="P1" s="269">
        <v>1</v>
      </c>
      <c r="R1" s="289"/>
    </row>
    <row r="2" spans="1:22" ht="8.25" customHeight="1">
      <c r="M2" s="432">
        <v>2</v>
      </c>
    </row>
    <row r="3" spans="1:22" ht="20.25">
      <c r="D3" s="888">
        <v>44470</v>
      </c>
      <c r="E3" s="888"/>
      <c r="F3" s="888"/>
      <c r="G3" s="5" t="s">
        <v>1576</v>
      </c>
      <c r="I3" s="2"/>
      <c r="M3" s="15" t="s">
        <v>1388</v>
      </c>
      <c r="N3" s="15"/>
      <c r="S3" s="383">
        <v>2.7E-2</v>
      </c>
    </row>
    <row r="4" spans="1:22" ht="8.25" customHeight="1"/>
    <row r="5" spans="1:22">
      <c r="A5" t="s">
        <v>12</v>
      </c>
      <c r="B5" s="889" t="s">
        <v>47</v>
      </c>
      <c r="C5" s="889"/>
      <c r="D5" s="889"/>
      <c r="E5" s="889"/>
      <c r="F5" s="889"/>
      <c r="G5" s="714" t="s">
        <v>11</v>
      </c>
      <c r="H5" s="714"/>
      <c r="I5" s="988">
        <v>44530</v>
      </c>
      <c r="J5" s="988"/>
      <c r="K5" s="633"/>
      <c r="N5" s="430">
        <f>DATEDIF($B$7,$N$1,"y")</f>
        <v>0</v>
      </c>
      <c r="P5" s="270">
        <v>187030</v>
      </c>
      <c r="Q5" s="270">
        <v>150000</v>
      </c>
      <c r="S5" s="272"/>
    </row>
    <row r="6" spans="1:22">
      <c r="A6" s="631" t="s">
        <v>2</v>
      </c>
      <c r="B6" s="881" t="s">
        <v>19</v>
      </c>
      <c r="C6" s="884"/>
      <c r="D6" s="885"/>
      <c r="E6" s="891" t="s">
        <v>652</v>
      </c>
      <c r="F6" s="880"/>
      <c r="G6" s="892">
        <v>26961</v>
      </c>
      <c r="H6" s="989"/>
      <c r="I6" s="991">
        <v>1</v>
      </c>
      <c r="J6" s="991"/>
      <c r="K6" s="991"/>
      <c r="M6" s="420" t="s">
        <v>1459</v>
      </c>
      <c r="N6" s="431" t="s">
        <v>1510</v>
      </c>
      <c r="S6" s="273"/>
      <c r="U6" s="382">
        <v>1</v>
      </c>
    </row>
    <row r="7" spans="1:22">
      <c r="A7" s="631" t="s">
        <v>33</v>
      </c>
      <c r="B7" s="878">
        <v>44197</v>
      </c>
      <c r="C7" s="878"/>
      <c r="D7" s="878"/>
      <c r="E7" s="879" t="s">
        <v>1259</v>
      </c>
      <c r="F7" s="880"/>
      <c r="G7" s="881" t="s">
        <v>1258</v>
      </c>
      <c r="H7" s="884"/>
      <c r="I7" s="992" t="s">
        <v>1257</v>
      </c>
      <c r="J7" s="992"/>
      <c r="K7" s="992"/>
      <c r="M7" s="632" t="str">
        <f>IF($D$3="","",DATEDIF($B$7,$N$1+1,"Y") &amp; "년 " &amp; DATEDIF($B$7,$N$1+1,"YM") &amp; "개월 "&amp; IF(OR(VALUE(TEXT($B$7,"dd"))-1=VALUE(TEXT($N$1,"dd")),TEXT($B$7,"dd")="01"),"",DATEDIF($B$7,$N$1,"MD")+1 &amp; "일"))</f>
        <v xml:space="preserve">0년 10개월 </v>
      </c>
      <c r="N7" s="429">
        <f>IF(N5=0,1,VLOOKUP(N5,연차,2))</f>
        <v>1</v>
      </c>
    </row>
    <row r="8" spans="1:22" ht="16.5" customHeight="1">
      <c r="A8" s="631" t="s">
        <v>1655</v>
      </c>
      <c r="B8" s="878"/>
      <c r="C8" s="878"/>
      <c r="D8" s="878"/>
      <c r="E8" s="897" t="s">
        <v>1653</v>
      </c>
      <c r="F8" s="898"/>
      <c r="G8" s="881"/>
      <c r="H8" s="884"/>
      <c r="I8" s="992" t="s">
        <v>1260</v>
      </c>
      <c r="J8" s="992"/>
      <c r="K8" s="992"/>
      <c r="M8" s="491" t="str">
        <f>IF(B8-B7&gt;=355,"퇴직금(연차정산)대상 check","")</f>
        <v/>
      </c>
      <c r="N8" s="442" t="str">
        <f>IF(N5=0,"입사후 근무월 개수","")</f>
        <v>입사후 근무월 개수</v>
      </c>
      <c r="O8" s="15" t="s">
        <v>1804</v>
      </c>
      <c r="T8" s="15"/>
      <c r="V8" s="441">
        <v>1</v>
      </c>
    </row>
    <row r="9" spans="1:22" ht="16.5" customHeight="1">
      <c r="A9" s="515" t="s">
        <v>383</v>
      </c>
      <c r="B9" s="995" t="s">
        <v>1254</v>
      </c>
      <c r="C9" s="996"/>
      <c r="D9" s="996"/>
      <c r="E9" s="997"/>
      <c r="F9" s="998" t="s">
        <v>651</v>
      </c>
      <c r="G9" s="999"/>
      <c r="H9" s="993" t="s">
        <v>456</v>
      </c>
      <c r="I9" s="993"/>
      <c r="J9" s="993"/>
      <c r="K9" s="993"/>
      <c r="M9" s="15" t="s">
        <v>1568</v>
      </c>
      <c r="N9" s="16"/>
    </row>
    <row r="10" spans="1:22">
      <c r="A10" s="994" t="s">
        <v>3</v>
      </c>
      <c r="B10" s="994"/>
      <c r="C10" s="994"/>
      <c r="D10" s="994"/>
      <c r="E10" s="994"/>
      <c r="F10" s="994"/>
      <c r="G10" s="994"/>
      <c r="H10" s="994"/>
      <c r="I10" s="994"/>
      <c r="J10" s="994"/>
      <c r="K10" s="994"/>
      <c r="M10" s="433" t="s">
        <v>1567</v>
      </c>
      <c r="N10" s="69"/>
    </row>
    <row r="11" spans="1:22">
      <c r="A11" s="990" t="s">
        <v>14</v>
      </c>
      <c r="B11" s="990"/>
      <c r="C11" s="990"/>
      <c r="D11" s="990"/>
      <c r="E11" s="990"/>
      <c r="F11" s="990"/>
      <c r="G11" s="990" t="s">
        <v>13</v>
      </c>
      <c r="H11" s="990"/>
      <c r="I11" s="990"/>
      <c r="J11" s="990"/>
      <c r="K11" s="990"/>
      <c r="N11" s="174"/>
      <c r="S11" s="177"/>
      <c r="T11" s="9"/>
      <c r="V11" s="441">
        <v>2</v>
      </c>
    </row>
    <row r="12" spans="1:22" s="630" customFormat="1">
      <c r="A12" s="990" t="s">
        <v>4</v>
      </c>
      <c r="B12" s="990"/>
      <c r="C12" s="990"/>
      <c r="D12" s="990"/>
      <c r="E12" s="990" t="s">
        <v>8</v>
      </c>
      <c r="F12" s="990"/>
      <c r="G12" s="1000" t="s">
        <v>9</v>
      </c>
      <c r="H12" s="1000"/>
      <c r="I12" s="1065" t="s">
        <v>10</v>
      </c>
      <c r="J12" s="1065"/>
      <c r="K12" s="1065"/>
      <c r="N12" s="629" t="s">
        <v>1805</v>
      </c>
      <c r="Q12" s="274"/>
    </row>
    <row r="13" spans="1:22" ht="16.5" customHeight="1">
      <c r="A13" s="937" t="s">
        <v>5</v>
      </c>
      <c r="B13" s="1001" t="s">
        <v>32</v>
      </c>
      <c r="C13" s="1002"/>
      <c r="D13" s="1003"/>
      <c r="E13" s="1004">
        <f>TRUNC(C28*K28,-1)</f>
        <v>627840</v>
      </c>
      <c r="F13" s="1005"/>
      <c r="G13" s="1006" t="s">
        <v>26</v>
      </c>
      <c r="H13" s="1007"/>
      <c r="I13" s="1066">
        <f>IF(M13&gt;=60,0,TRUNC(E25*N13,-1))</f>
        <v>34530</v>
      </c>
      <c r="J13" s="1066"/>
      <c r="K13" s="1066"/>
      <c r="L13" s="65">
        <f>I13/($E$25-IF($E$18&gt;100000,$E$18-100000,0)-IF($E$19&gt;100000,$E$19-100000,0)-IF($E$20&gt;100000,$E$20-100000,0))</f>
        <v>4.4998436196830693E-2</v>
      </c>
      <c r="M13" s="351">
        <f>DATEDIF($G$6,$D$3,"y")</f>
        <v>47</v>
      </c>
      <c r="N13" s="299">
        <v>4.4999999999999998E-2</v>
      </c>
      <c r="O13" t="s">
        <v>459</v>
      </c>
      <c r="Q13" t="s">
        <v>1170</v>
      </c>
      <c r="S13" s="9"/>
      <c r="T13" s="177"/>
      <c r="U13" s="9"/>
    </row>
    <row r="14" spans="1:22">
      <c r="A14" s="937"/>
      <c r="B14" s="976" t="s">
        <v>63</v>
      </c>
      <c r="C14" s="977"/>
      <c r="D14" s="978"/>
      <c r="E14" s="942">
        <f>O20</f>
        <v>139520</v>
      </c>
      <c r="F14" s="943"/>
      <c r="G14" s="828" t="s">
        <v>28</v>
      </c>
      <c r="H14" s="830"/>
      <c r="I14" s="1066">
        <f>TRUNC($E$25*N14,-1)</f>
        <v>26320</v>
      </c>
      <c r="J14" s="1066"/>
      <c r="K14" s="1066"/>
      <c r="L14" s="65">
        <f>I14/($E$25-IF($E$18&gt;100000,$E$18-100000,0)-IF($E$19&gt;100000,$E$19-100000,0)-IF($E$20&gt;100000,$E$20-100000,0))</f>
        <v>3.4299416180150123E-2</v>
      </c>
      <c r="M14" s="65"/>
      <c r="N14" s="698">
        <f>IF(AND(D3&gt;=44197,D3&lt;=44561),6.86%/2,6.99%/2)</f>
        <v>3.4300000000000004E-2</v>
      </c>
      <c r="O14" t="s">
        <v>459</v>
      </c>
    </row>
    <row r="15" spans="1:22">
      <c r="A15" s="937"/>
      <c r="B15" s="837"/>
      <c r="C15" s="838"/>
      <c r="D15" s="839"/>
      <c r="E15" s="942"/>
      <c r="F15" s="943"/>
      <c r="G15" s="828" t="s">
        <v>36</v>
      </c>
      <c r="H15" s="830"/>
      <c r="I15" s="1066">
        <f>TRUNC(I14*N15,-1)</f>
        <v>3030</v>
      </c>
      <c r="J15" s="1066"/>
      <c r="K15" s="1066"/>
      <c r="L15" s="65">
        <f>I15/($E$25-IF($E$18&gt;100000,$E$18-100000,0)-IF($E$19&gt;100000,$E$19-100000,0)-IF($E$20&gt;100000,$E$20-100000,0))</f>
        <v>3.9486030025020847E-3</v>
      </c>
      <c r="M15" s="294">
        <f>I15/I14</f>
        <v>0.11512158054711247</v>
      </c>
      <c r="N15" s="299">
        <f>IF(AND(D3&gt;=44197,D3&lt;=44561),11.52%,12.27%)</f>
        <v>0.1152</v>
      </c>
      <c r="O15" t="s">
        <v>459</v>
      </c>
      <c r="Q15" s="390">
        <f>SUM(L14:L15)</f>
        <v>3.8248019182652207E-2</v>
      </c>
    </row>
    <row r="16" spans="1:22">
      <c r="A16" s="937"/>
      <c r="B16" s="837"/>
      <c r="C16" s="838"/>
      <c r="D16" s="839"/>
      <c r="E16" s="942"/>
      <c r="F16" s="943"/>
      <c r="G16" s="849" t="s">
        <v>37</v>
      </c>
      <c r="H16" s="851"/>
      <c r="I16" s="1066">
        <f>CHOOSE(U6,IF(M16&gt;=65,0,TRUNC($E$25*N16,-1)),0)</f>
        <v>6130</v>
      </c>
      <c r="J16" s="1066"/>
      <c r="K16" s="1066"/>
      <c r="L16" s="65">
        <f>I16/($E$25-IF($E$18&gt;100000,$E$18-100000,0)-IF($E$19&gt;100000,$E$19-100000,0)-IF($E$20&gt;100000,$E$20-100000,0))</f>
        <v>7.9884278565471225E-3</v>
      </c>
      <c r="M16" s="617">
        <f>DATEDIF($G$6,B7,"y")</f>
        <v>47</v>
      </c>
      <c r="N16" s="366">
        <v>8.0000000000000002E-3</v>
      </c>
      <c r="O16" s="15" t="s">
        <v>1390</v>
      </c>
      <c r="Q16" t="s">
        <v>1723</v>
      </c>
      <c r="V16" s="441">
        <v>2</v>
      </c>
    </row>
    <row r="17" spans="1:21">
      <c r="A17" s="937"/>
      <c r="B17" s="979" t="s">
        <v>1265</v>
      </c>
      <c r="C17" s="980"/>
      <c r="D17" s="981"/>
      <c r="E17" s="942"/>
      <c r="F17" s="943"/>
      <c r="G17" s="828" t="s">
        <v>38</v>
      </c>
      <c r="H17" s="830"/>
      <c r="I17" s="1066"/>
      <c r="J17" s="1066"/>
      <c r="K17" s="1066"/>
      <c r="L17" s="293">
        <f>SUM(L13:L16)</f>
        <v>9.1234883236030018E-2</v>
      </c>
      <c r="N17" s="66" t="s">
        <v>1870</v>
      </c>
      <c r="O17" s="668">
        <f>'일용직대장(요일)'!W10</f>
        <v>767360</v>
      </c>
    </row>
    <row r="18" spans="1:21">
      <c r="A18" s="937"/>
      <c r="B18" s="979" t="s">
        <v>1266</v>
      </c>
      <c r="C18" s="980"/>
      <c r="D18" s="981"/>
      <c r="E18" s="942"/>
      <c r="F18" s="943"/>
      <c r="G18" s="862" t="s">
        <v>43</v>
      </c>
      <c r="H18" s="967"/>
      <c r="I18" s="1066"/>
      <c r="J18" s="1066"/>
      <c r="K18" s="1066"/>
      <c r="N18" s="66" t="s">
        <v>593</v>
      </c>
      <c r="O18" s="389">
        <f>O17/A31</f>
        <v>69760</v>
      </c>
    </row>
    <row r="19" spans="1:21">
      <c r="A19" s="938"/>
      <c r="B19" s="979" t="s">
        <v>1267</v>
      </c>
      <c r="C19" s="980"/>
      <c r="D19" s="981"/>
      <c r="E19" s="942"/>
      <c r="F19" s="943"/>
      <c r="G19" s="862" t="s">
        <v>44</v>
      </c>
      <c r="H19" s="967"/>
      <c r="I19" s="1066"/>
      <c r="J19" s="1066"/>
      <c r="K19" s="1066"/>
      <c r="N19" s="66" t="s">
        <v>460</v>
      </c>
      <c r="O19" s="389">
        <f>O18/J29</f>
        <v>8720</v>
      </c>
      <c r="Q19" s="380">
        <f>365/12</f>
        <v>30.416666666666668</v>
      </c>
      <c r="S19" t="s">
        <v>1572</v>
      </c>
      <c r="U19" s="634">
        <v>0</v>
      </c>
    </row>
    <row r="20" spans="1:21">
      <c r="A20" s="936" t="s">
        <v>1272</v>
      </c>
      <c r="B20" s="1008" t="s">
        <v>1362</v>
      </c>
      <c r="C20" s="972"/>
      <c r="D20" s="973"/>
      <c r="E20" s="942">
        <f>TRUNC(IF(AND(V11=2,V16=1,OR(U19="",U19=0)),(U20-C26)*F28,(U19-C26)*F28),0)</f>
        <v>0</v>
      </c>
      <c r="F20" s="943"/>
      <c r="G20" s="828" t="s">
        <v>41</v>
      </c>
      <c r="H20" s="830"/>
      <c r="I20" s="1066"/>
      <c r="J20" s="1066"/>
      <c r="K20" s="1066"/>
      <c r="L20" s="177">
        <f>O20/G29</f>
        <v>69760</v>
      </c>
      <c r="M20" s="521">
        <f>O20/S35</f>
        <v>27904</v>
      </c>
      <c r="N20" s="66" t="s">
        <v>63</v>
      </c>
      <c r="O20" s="389">
        <f>TRUNC(O19*G29*J29,-1)</f>
        <v>139520</v>
      </c>
      <c r="P20" t="s">
        <v>461</v>
      </c>
      <c r="Q20" s="284">
        <f>Q19/7</f>
        <v>4.3452380952380958</v>
      </c>
      <c r="R20" t="s">
        <v>1154</v>
      </c>
      <c r="S20" t="s">
        <v>1573</v>
      </c>
      <c r="U20" s="443">
        <f>IF(N7=1,1,N7/12)</f>
        <v>1</v>
      </c>
    </row>
    <row r="21" spans="1:21" ht="16.5" customHeight="1">
      <c r="A21" s="937"/>
      <c r="B21" s="1009" t="s">
        <v>23</v>
      </c>
      <c r="C21" s="1010"/>
      <c r="D21" s="1011"/>
      <c r="E21" s="942">
        <f>I35</f>
        <v>0</v>
      </c>
      <c r="F21" s="943"/>
      <c r="G21" s="828"/>
      <c r="H21" s="830"/>
      <c r="I21" s="1066"/>
      <c r="J21" s="1066"/>
      <c r="K21" s="1066"/>
      <c r="L21" s="10"/>
      <c r="N21" s="66" t="s">
        <v>1362</v>
      </c>
      <c r="O21" s="389">
        <f>E20</f>
        <v>0</v>
      </c>
      <c r="Q21" s="284"/>
    </row>
    <row r="22" spans="1:21">
      <c r="A22" s="937"/>
      <c r="B22" s="1009" t="s">
        <v>1578</v>
      </c>
      <c r="C22" s="1010"/>
      <c r="D22" s="1011"/>
      <c r="E22" s="942">
        <f>-I36</f>
        <v>0</v>
      </c>
      <c r="F22" s="943"/>
      <c r="G22" s="828" t="s">
        <v>40</v>
      </c>
      <c r="H22" s="830"/>
      <c r="I22" s="1066"/>
      <c r="J22" s="1066"/>
      <c r="K22" s="1066"/>
      <c r="L22" s="9">
        <f>69760/8</f>
        <v>8720</v>
      </c>
      <c r="N22" s="66" t="s">
        <v>22</v>
      </c>
      <c r="O22" s="388">
        <f>O17-O20</f>
        <v>627840</v>
      </c>
      <c r="P22" s="272">
        <f>SUM(E13:F23)</f>
        <v>767360</v>
      </c>
      <c r="Q22" s="177"/>
    </row>
    <row r="23" spans="1:21">
      <c r="A23" s="937"/>
      <c r="B23" s="1009" t="s">
        <v>24</v>
      </c>
      <c r="C23" s="1010"/>
      <c r="D23" s="1011"/>
      <c r="E23" s="942">
        <f>I37+I38</f>
        <v>0</v>
      </c>
      <c r="F23" s="943"/>
      <c r="G23" s="828"/>
      <c r="H23" s="842"/>
      <c r="I23" s="1066"/>
      <c r="J23" s="1066"/>
      <c r="K23" s="1066"/>
      <c r="M23">
        <v>145</v>
      </c>
      <c r="N23" s="66" t="s">
        <v>1157</v>
      </c>
      <c r="O23" s="67">
        <v>767360</v>
      </c>
      <c r="P23" s="272">
        <f>F28*A31</f>
        <v>767360</v>
      </c>
      <c r="Q23" s="9">
        <f>O23-P23</f>
        <v>0</v>
      </c>
    </row>
    <row r="24" spans="1:21">
      <c r="A24" s="938"/>
      <c r="B24" s="837" t="s">
        <v>42</v>
      </c>
      <c r="C24" s="838"/>
      <c r="D24" s="839"/>
      <c r="E24" s="1012">
        <v>0</v>
      </c>
      <c r="F24" s="1013"/>
      <c r="G24" s="828" t="s">
        <v>25</v>
      </c>
      <c r="H24" s="842"/>
      <c r="I24" s="1066">
        <f>CHOOSE(M2,IF(O29&lt;=10000000,VLOOKUP(O29/1000,간이세액표2021,A40+B40+2),VLOOKUP(O29/1000,간이세액표2021,A40+B40+2)+VLOOKUP(O29,근로세율,3)+(O29-VLOOKUP(O29,근로세율,4))*VLOOKUP(O29,근로세율,5)*VLOOKUP(O29,근로세율,6)),CHOOSE(P1,IF(C28&gt;P5,TRUNC((C28-P5)*A31*S3,-1),0),IF(C28&gt;Q5,TRUNC((C28-Q5)*A31*S3,-1),0)))</f>
        <v>0</v>
      </c>
      <c r="J24" s="1066"/>
      <c r="K24" s="1066"/>
      <c r="L24">
        <v>767360</v>
      </c>
      <c r="N24" s="66" t="s">
        <v>1155</v>
      </c>
      <c r="O24" s="384">
        <f>E25-O23</f>
        <v>0</v>
      </c>
      <c r="Q24" s="9"/>
    </row>
    <row r="25" spans="1:21" ht="17.25" thickBot="1">
      <c r="A25" s="802" t="s">
        <v>7</v>
      </c>
      <c r="B25" s="803"/>
      <c r="C25" s="803"/>
      <c r="D25" s="804"/>
      <c r="E25" s="805">
        <f>SUM(E13:F24)</f>
        <v>767360</v>
      </c>
      <c r="F25" s="806"/>
      <c r="G25" s="840" t="s">
        <v>35</v>
      </c>
      <c r="H25" s="842"/>
      <c r="I25" s="1066">
        <f>CHOOSE(M2,TRUNC(I24*10%,-1),CHOOSE(P1,IF(F28&gt;P5,TRUNC((F28-P5)*S3*10%,-1)*A31,0),IF(F28&gt;Q5,TRUNC((F28-Q5)*A31*S3*10%,-1),0)))</f>
        <v>0</v>
      </c>
      <c r="J25" s="1066"/>
      <c r="K25" s="1066"/>
      <c r="Q25" s="236"/>
    </row>
    <row r="26" spans="1:21">
      <c r="A26" s="810" t="s">
        <v>1389</v>
      </c>
      <c r="B26" s="811"/>
      <c r="C26" s="1047"/>
      <c r="D26" s="1048"/>
      <c r="E26" s="1049"/>
      <c r="F26" s="446"/>
      <c r="G26" s="807" t="s">
        <v>15</v>
      </c>
      <c r="H26" s="809"/>
      <c r="I26" s="1066">
        <f>SUM(I13:J25)</f>
        <v>70010</v>
      </c>
      <c r="J26" s="1066"/>
      <c r="K26" s="1066"/>
      <c r="N26" s="66" t="s">
        <v>462</v>
      </c>
      <c r="O26" s="386">
        <f>E13/A31/J29</f>
        <v>7134.545454545455</v>
      </c>
      <c r="P26" s="387">
        <f>O26*A31*J29</f>
        <v>627840</v>
      </c>
      <c r="Q26" s="15" t="s">
        <v>1566</v>
      </c>
    </row>
    <row r="27" spans="1:21" ht="17.25" thickBot="1">
      <c r="A27" s="1030" t="s">
        <v>1255</v>
      </c>
      <c r="B27" s="1031"/>
      <c r="C27" s="1032"/>
      <c r="D27" s="1033"/>
      <c r="E27" s="1033"/>
      <c r="F27" s="1034"/>
      <c r="G27" s="817" t="s">
        <v>16</v>
      </c>
      <c r="H27" s="969"/>
      <c r="I27" s="1027">
        <f>E25-I26</f>
        <v>697350</v>
      </c>
      <c r="J27" s="1027"/>
      <c r="K27" s="1027"/>
      <c r="L27" s="670"/>
      <c r="Q27" s="10"/>
    </row>
    <row r="28" spans="1:21" ht="16.5" customHeight="1" outlineLevel="1">
      <c r="A28" s="1017" t="s">
        <v>1455</v>
      </c>
      <c r="B28" s="1017"/>
      <c r="C28" s="1018">
        <f>(O17-O20)/A31</f>
        <v>57076.36363636364</v>
      </c>
      <c r="D28" s="1018"/>
      <c r="E28" s="1018"/>
      <c r="F28" s="267">
        <f>O17/A31</f>
        <v>69760</v>
      </c>
      <c r="G28" s="440" t="s">
        <v>1153</v>
      </c>
      <c r="H28" s="1019" t="s">
        <v>1709</v>
      </c>
      <c r="I28" s="1020"/>
      <c r="J28" s="669">
        <f>'일용직대장(요일)'!U10/8/7</f>
        <v>1.5714285714285714</v>
      </c>
      <c r="K28" s="517">
        <f>'일용직대장(요일)'!U11</f>
        <v>11</v>
      </c>
      <c r="L28" s="272">
        <f>C28*A31</f>
        <v>627840</v>
      </c>
      <c r="O28" s="10"/>
      <c r="Q28" s="236"/>
      <c r="R28" t="s">
        <v>1327</v>
      </c>
    </row>
    <row r="29" spans="1:21" ht="16.5" customHeight="1" outlineLevel="1">
      <c r="A29" s="1021" t="s">
        <v>1456</v>
      </c>
      <c r="B29" s="1021"/>
      <c r="C29" s="1022">
        <f>TRUNC(C28/J29,0)</f>
        <v>7134</v>
      </c>
      <c r="D29" s="1023"/>
      <c r="E29" s="1024"/>
      <c r="F29" s="267">
        <f>F28/J29</f>
        <v>8720</v>
      </c>
      <c r="G29" s="666">
        <f>'일용직대장(요일)'!AF11</f>
        <v>2</v>
      </c>
      <c r="H29" s="1025" t="s">
        <v>1710</v>
      </c>
      <c r="I29" s="1026"/>
      <c r="J29" s="108">
        <v>8</v>
      </c>
      <c r="K29" s="519">
        <f>J29*K28</f>
        <v>88</v>
      </c>
      <c r="N29" s="268" t="s">
        <v>1146</v>
      </c>
      <c r="O29" s="283">
        <f>O31-O30</f>
        <v>767360</v>
      </c>
      <c r="P29" s="444"/>
      <c r="R29" t="s">
        <v>1328</v>
      </c>
    </row>
    <row r="30" spans="1:21">
      <c r="A30" s="963" t="s">
        <v>783</v>
      </c>
      <c r="B30" s="963"/>
      <c r="C30" s="771" t="s">
        <v>686</v>
      </c>
      <c r="D30" s="1014"/>
      <c r="E30" s="772"/>
      <c r="F30" s="776" t="s">
        <v>684</v>
      </c>
      <c r="G30" s="776"/>
      <c r="H30" s="776" t="s">
        <v>17</v>
      </c>
      <c r="I30" s="776"/>
      <c r="J30" s="776" t="s">
        <v>685</v>
      </c>
      <c r="K30" s="1028"/>
      <c r="N30" s="268" t="s">
        <v>1147</v>
      </c>
      <c r="O30" s="283">
        <f>MIN(IF(E17="",0,E17),100000)+MIN(IF(E18="",0,E18),200000)+MIN(IF(E19="",0,E19),100000)</f>
        <v>0</v>
      </c>
      <c r="R30" t="s">
        <v>1714</v>
      </c>
    </row>
    <row r="31" spans="1:21" ht="17.25" thickBot="1">
      <c r="A31" s="1015">
        <v>11</v>
      </c>
      <c r="B31" s="1015"/>
      <c r="C31" s="779">
        <f>K29+F31+J31</f>
        <v>88</v>
      </c>
      <c r="D31" s="780"/>
      <c r="E31" s="781"/>
      <c r="F31" s="1016">
        <f>(A31*J29)-K29</f>
        <v>0</v>
      </c>
      <c r="G31" s="1016"/>
      <c r="H31" s="1016">
        <v>0</v>
      </c>
      <c r="I31" s="1016"/>
      <c r="J31" s="1016">
        <v>0</v>
      </c>
      <c r="K31" s="1029"/>
      <c r="L31" s="10">
        <f>E13/C31</f>
        <v>7134.545454545455</v>
      </c>
      <c r="N31" s="268" t="s">
        <v>1148</v>
      </c>
      <c r="O31" s="283">
        <f>E25</f>
        <v>767360</v>
      </c>
      <c r="Q31" s="10"/>
    </row>
    <row r="32" spans="1:21" ht="8.25" customHeight="1" thickBot="1">
      <c r="A32" s="150"/>
      <c r="B32" s="150"/>
      <c r="C32" s="150"/>
      <c r="D32" s="150"/>
      <c r="E32" s="150"/>
      <c r="F32" s="150"/>
      <c r="G32" s="150"/>
      <c r="H32" s="150"/>
      <c r="I32" s="150"/>
      <c r="J32" s="153"/>
      <c r="K32" s="153"/>
      <c r="N32" s="16"/>
    </row>
    <row r="33" spans="1:19">
      <c r="A33" s="1040" t="s">
        <v>18</v>
      </c>
      <c r="B33" s="1041"/>
      <c r="C33" s="1041"/>
      <c r="D33" s="1041"/>
      <c r="E33" s="1041"/>
      <c r="F33" s="1041"/>
      <c r="G33" s="1041"/>
      <c r="H33" s="1041"/>
      <c r="I33" s="1041"/>
      <c r="J33" s="1041"/>
      <c r="K33" s="1042"/>
    </row>
    <row r="34" spans="1:19">
      <c r="A34" s="1060" t="s">
        <v>20</v>
      </c>
      <c r="B34" s="717"/>
      <c r="C34" s="717" t="s">
        <v>21</v>
      </c>
      <c r="D34" s="717"/>
      <c r="E34" s="717"/>
      <c r="F34" s="717"/>
      <c r="G34" s="717"/>
      <c r="H34" s="717"/>
      <c r="I34" s="717" t="s">
        <v>22</v>
      </c>
      <c r="J34" s="717"/>
      <c r="K34" s="1043"/>
      <c r="L34">
        <f>A31*J29</f>
        <v>88</v>
      </c>
      <c r="O34" s="472" t="s">
        <v>1622</v>
      </c>
      <c r="P34" s="471">
        <f>N1-M1+1</f>
        <v>31</v>
      </c>
      <c r="Q34" s="512">
        <f>P34/(EOMONTH($D$3,0)-EOMONTH($D$3,-1))</f>
        <v>1</v>
      </c>
      <c r="S34" s="432" t="s">
        <v>1711</v>
      </c>
    </row>
    <row r="35" spans="1:19">
      <c r="A35" s="1035" t="s">
        <v>23</v>
      </c>
      <c r="B35" s="910"/>
      <c r="C35" s="768">
        <f>F31</f>
        <v>0</v>
      </c>
      <c r="D35" s="769"/>
      <c r="E35" s="6" t="s">
        <v>48</v>
      </c>
      <c r="F35" s="23">
        <f>F29</f>
        <v>8720</v>
      </c>
      <c r="G35" s="6" t="s">
        <v>48</v>
      </c>
      <c r="H35" s="450">
        <f>CHOOSE(V11,1,1.5)</f>
        <v>1.5</v>
      </c>
      <c r="I35" s="770">
        <f>C35*F35*H35</f>
        <v>0</v>
      </c>
      <c r="J35" s="770"/>
      <c r="K35" s="1044"/>
      <c r="L35">
        <f>P38*J29</f>
        <v>152</v>
      </c>
      <c r="N35" s="420" t="s">
        <v>1628</v>
      </c>
      <c r="O35" s="473" t="s">
        <v>1623</v>
      </c>
      <c r="P35" s="310">
        <f>IF(OR($M$1&gt;EOMONTH($D$3,-1)+1,$N$1&lt;EOMONTH($D$3,0)),CEILING((P34-MOD(8-WEEKDAY($M$1),7))/7,1),CEILING((DAY(EOMONTH($D$3,0))-MOD(8-WEEKDAY($D$3),7))/7,1))</f>
        <v>5</v>
      </c>
      <c r="Q35" s="474" t="s">
        <v>1627</v>
      </c>
      <c r="S35" s="520">
        <f>CHOOSE(V8,P35,P34/7)</f>
        <v>5</v>
      </c>
    </row>
    <row r="36" spans="1:19" ht="17.25" thickBot="1">
      <c r="A36" s="1053" t="s">
        <v>1018</v>
      </c>
      <c r="B36" s="906"/>
      <c r="C36" s="758">
        <f>H31</f>
        <v>0</v>
      </c>
      <c r="D36" s="759"/>
      <c r="E36" s="11" t="s">
        <v>48</v>
      </c>
      <c r="F36" s="24">
        <f>F29</f>
        <v>8720</v>
      </c>
      <c r="G36" s="11" t="s">
        <v>48</v>
      </c>
      <c r="H36" s="451">
        <f>CHOOSE(V11,0,0.5)</f>
        <v>0.5</v>
      </c>
      <c r="I36" s="728">
        <f>C36*F36*H36</f>
        <v>0</v>
      </c>
      <c r="J36" s="728"/>
      <c r="K36" s="1045"/>
      <c r="L36">
        <f>L34-L35</f>
        <v>-64</v>
      </c>
      <c r="M36">
        <f>L36/(365/12/7)</f>
        <v>-14.728767123287669</v>
      </c>
      <c r="N36" s="476">
        <f>SUM(P35,Q36)</f>
        <v>10</v>
      </c>
      <c r="O36" s="473" t="s">
        <v>1624</v>
      </c>
      <c r="P36" s="477">
        <f>IF(OR($M$1&gt;EOMONTH($D$3,-1)+1,$N$1&lt;EOMONTH($D$3,0)),NETWORKDAYS($M$1,$N$1),NETWORKDAYS(EOMONTH($D$3,-1)+1,EOMONTH($D$3,0)))</f>
        <v>21</v>
      </c>
      <c r="Q36" s="475">
        <f>P34-P36-P35</f>
        <v>5</v>
      </c>
    </row>
    <row r="37" spans="1:19" ht="17.25" thickBot="1">
      <c r="A37" s="1058" t="s">
        <v>65</v>
      </c>
      <c r="B37" s="1059"/>
      <c r="C37" s="758">
        <f>J31-C38</f>
        <v>0</v>
      </c>
      <c r="D37" s="759"/>
      <c r="E37" s="11" t="s">
        <v>48</v>
      </c>
      <c r="F37" s="24">
        <f>F29</f>
        <v>8720</v>
      </c>
      <c r="G37" s="11" t="s">
        <v>48</v>
      </c>
      <c r="H37" s="451">
        <f>CHOOSE(V11,1,1.5)</f>
        <v>1.5</v>
      </c>
      <c r="I37" s="728">
        <f>C37*F37*H37</f>
        <v>0</v>
      </c>
      <c r="J37" s="728"/>
      <c r="K37" s="1045"/>
      <c r="O37" s="616" t="s">
        <v>1625</v>
      </c>
      <c r="P37" s="490">
        <f>VLOOKUP(EOMONTH(D3,-1)+1,주40시간,6)</f>
        <v>2</v>
      </c>
    </row>
    <row r="38" spans="1:19">
      <c r="A38" s="1036" t="s">
        <v>66</v>
      </c>
      <c r="B38" s="1037"/>
      <c r="C38" s="1038">
        <f>J32</f>
        <v>0</v>
      </c>
      <c r="D38" s="1039"/>
      <c r="E38" s="447" t="s">
        <v>48</v>
      </c>
      <c r="F38" s="448">
        <f>F29</f>
        <v>8720</v>
      </c>
      <c r="G38" s="447" t="s">
        <v>48</v>
      </c>
      <c r="H38" s="449">
        <f>CHOOSE(V11,1,2)</f>
        <v>2</v>
      </c>
      <c r="I38" s="723">
        <f>C38*F38*H38</f>
        <v>0</v>
      </c>
      <c r="J38" s="723"/>
      <c r="K38" s="1046"/>
      <c r="M38" s="583"/>
      <c r="O38" s="473" t="s">
        <v>1626</v>
      </c>
      <c r="P38" s="481">
        <f>P36-P37</f>
        <v>19</v>
      </c>
    </row>
    <row r="39" spans="1:19">
      <c r="A39" s="1035" t="s">
        <v>25</v>
      </c>
      <c r="B39" s="910"/>
      <c r="C39" s="1055" t="str">
        <f>CHOOSE(P1,"매일지급 (지급일 금액) 근로소득공제 187,030원 초과분 2.7%의 누적금액","일정기간 지급 (지급일 금액)  근로소득공제 15만원 초과분 2.7%의 누적금액")</f>
        <v>매일지급 (지급일 금액) 근로소득공제 187,030원 초과분 2.7%의 누적금액</v>
      </c>
      <c r="D39" s="1055"/>
      <c r="E39" s="1055"/>
      <c r="F39" s="1055"/>
      <c r="G39" s="1055"/>
      <c r="H39" s="1055"/>
      <c r="I39" s="770">
        <f>I24</f>
        <v>0</v>
      </c>
      <c r="J39" s="770"/>
      <c r="K39" s="1044"/>
      <c r="N39" s="16"/>
      <c r="O39" s="473" t="s">
        <v>1629</v>
      </c>
      <c r="P39" s="481">
        <f>P38+Q36</f>
        <v>24</v>
      </c>
    </row>
    <row r="40" spans="1:19">
      <c r="A40" s="516">
        <v>1</v>
      </c>
      <c r="B40" s="295">
        <v>0</v>
      </c>
      <c r="C40" s="958" t="s">
        <v>50</v>
      </c>
      <c r="D40" s="959"/>
      <c r="E40" s="959"/>
      <c r="F40" s="959"/>
      <c r="G40" s="959"/>
      <c r="H40" s="959"/>
      <c r="I40" s="1061">
        <f>I25</f>
        <v>0</v>
      </c>
      <c r="J40" s="1061"/>
      <c r="K40" s="1062"/>
      <c r="N40" s="16"/>
    </row>
    <row r="41" spans="1:19">
      <c r="A41" s="1056" t="s">
        <v>26</v>
      </c>
      <c r="B41" s="917"/>
      <c r="C41" s="1057" t="str">
        <f>"상기 급여의 과세급여 "&amp;TEXT(O29,"\#,##0원")&amp;" × "&amp;N13*100&amp;"%"</f>
        <v>상기 급여의 과세급여 ₩767,360원 × 4.5%</v>
      </c>
      <c r="D41" s="1057"/>
      <c r="E41" s="1057"/>
      <c r="F41" s="1057"/>
      <c r="G41" s="1057"/>
      <c r="H41" s="1057"/>
      <c r="I41" s="770">
        <f>I13</f>
        <v>34530</v>
      </c>
      <c r="J41" s="770"/>
      <c r="K41" s="1044"/>
      <c r="N41" s="16"/>
    </row>
    <row r="42" spans="1:19">
      <c r="A42" s="1053" t="s">
        <v>27</v>
      </c>
      <c r="B42" s="906"/>
      <c r="C42" s="1054" t="str">
        <f>CHOOSE(U6,"상기 급여(임금) 과세총액기준 "&amp;TEXT(O29,"\#,##0원")&amp;"× "&amp;N16*100&amp;"%","고용보험 미대상")</f>
        <v>상기 급여(임금) 과세총액기준 ₩767,360원× 0.8%</v>
      </c>
      <c r="D42" s="1054"/>
      <c r="E42" s="1054"/>
      <c r="F42" s="1054"/>
      <c r="G42" s="1054"/>
      <c r="H42" s="1054"/>
      <c r="I42" s="728">
        <f>I16</f>
        <v>6130</v>
      </c>
      <c r="J42" s="728"/>
      <c r="K42" s="1045"/>
      <c r="N42" t="s">
        <v>1656</v>
      </c>
    </row>
    <row r="43" spans="1:19">
      <c r="A43" s="1053" t="s">
        <v>28</v>
      </c>
      <c r="B43" s="906"/>
      <c r="C43" s="1054" t="str">
        <f>"상기 급여의 과세급여 "&amp;TEXT(O29,"\#,##0원")&amp;" × "&amp;N14*100&amp;"%"</f>
        <v>상기 급여의 과세급여 ₩767,360원 × 3.43%</v>
      </c>
      <c r="D43" s="1054"/>
      <c r="E43" s="1054"/>
      <c r="F43" s="1054"/>
      <c r="G43" s="1054"/>
      <c r="H43" s="1054"/>
      <c r="I43" s="728">
        <f>SUM(I14,I18)</f>
        <v>26320</v>
      </c>
      <c r="J43" s="728"/>
      <c r="K43" s="1045"/>
    </row>
    <row r="44" spans="1:19">
      <c r="A44" s="1053" t="s">
        <v>29</v>
      </c>
      <c r="B44" s="906"/>
      <c r="C44" s="1054" t="str">
        <f>"상기 건강보험료 "&amp;TEXT(I43,"\#,##0원")&amp;"×"&amp;N15*100&amp;"%"</f>
        <v>상기 건강보험료 ₩26,320원×11.52%</v>
      </c>
      <c r="D44" s="1054"/>
      <c r="E44" s="1054"/>
      <c r="F44" s="1054"/>
      <c r="G44" s="1054"/>
      <c r="H44" s="1054"/>
      <c r="I44" s="728">
        <f>SUM(I15,I19)</f>
        <v>3030</v>
      </c>
      <c r="J44" s="728"/>
      <c r="K44" s="1045"/>
      <c r="O44" s="15" t="s">
        <v>1722</v>
      </c>
    </row>
    <row r="45" spans="1:19" ht="17.25" thickBot="1">
      <c r="A45" s="1050"/>
      <c r="B45" s="1051"/>
      <c r="C45" s="1052"/>
      <c r="D45" s="1052"/>
      <c r="E45" s="1052"/>
      <c r="F45" s="1052"/>
      <c r="G45" s="1052"/>
      <c r="H45" s="1052"/>
      <c r="I45" s="1063"/>
      <c r="J45" s="1063"/>
      <c r="K45" s="1064"/>
      <c r="N45" s="16"/>
    </row>
    <row r="46" spans="1:19">
      <c r="A46" s="19" t="s">
        <v>31</v>
      </c>
      <c r="J46" s="22" t="s">
        <v>653</v>
      </c>
      <c r="K46" s="22"/>
      <c r="N46" s="16"/>
    </row>
    <row r="47" spans="1:19">
      <c r="J47" s="4" t="s">
        <v>30</v>
      </c>
      <c r="K47" s="4"/>
    </row>
    <row r="49" spans="4:14">
      <c r="D49" t="s">
        <v>1150</v>
      </c>
    </row>
    <row r="50" spans="4:14">
      <c r="D50" t="s">
        <v>1152</v>
      </c>
      <c r="N50" s="17"/>
    </row>
    <row r="51" spans="4:14">
      <c r="D51" t="s">
        <v>1151</v>
      </c>
    </row>
    <row r="57" spans="4:14">
      <c r="N57" s="17"/>
    </row>
    <row r="65" spans="1:15">
      <c r="N65" s="17"/>
    </row>
    <row r="67" spans="1:15">
      <c r="A67" s="18"/>
      <c r="N67" s="18"/>
    </row>
    <row r="68" spans="1:15">
      <c r="A68" s="18"/>
      <c r="N68" s="18"/>
    </row>
    <row r="69" spans="1:15">
      <c r="A69" s="18"/>
    </row>
    <row r="71" spans="1:15">
      <c r="A71" s="18"/>
    </row>
    <row r="76" spans="1:15">
      <c r="O76" s="18"/>
    </row>
    <row r="77" spans="1:15">
      <c r="O77" s="18"/>
    </row>
    <row r="78" spans="1:15">
      <c r="O78" s="18"/>
    </row>
    <row r="79" spans="1:15">
      <c r="O79" s="18"/>
    </row>
    <row r="81" spans="15:15">
      <c r="O81" s="18"/>
    </row>
    <row r="87" spans="15:15">
      <c r="O87" s="18"/>
    </row>
    <row r="88" spans="15:15">
      <c r="O88" s="18"/>
    </row>
    <row r="89" spans="15:15">
      <c r="O89" s="18"/>
    </row>
    <row r="90" spans="15:15">
      <c r="O90" s="18"/>
    </row>
    <row r="92" spans="15:15">
      <c r="O92" s="18"/>
    </row>
    <row r="94" spans="15:15">
      <c r="O94" s="18"/>
    </row>
  </sheetData>
  <mergeCells count="140">
    <mergeCell ref="A45:B45"/>
    <mergeCell ref="C45:H45"/>
    <mergeCell ref="I45:K45"/>
    <mergeCell ref="A43:B43"/>
    <mergeCell ref="C43:H43"/>
    <mergeCell ref="I43:K43"/>
    <mergeCell ref="A44:B44"/>
    <mergeCell ref="C44:H44"/>
    <mergeCell ref="I44:K44"/>
    <mergeCell ref="C40:H40"/>
    <mergeCell ref="I40:K40"/>
    <mergeCell ref="A41:B41"/>
    <mergeCell ref="C41:H41"/>
    <mergeCell ref="I41:K41"/>
    <mergeCell ref="A42:B42"/>
    <mergeCell ref="C42:H42"/>
    <mergeCell ref="I42:K42"/>
    <mergeCell ref="A38:B38"/>
    <mergeCell ref="C38:D38"/>
    <mergeCell ref="I38:K38"/>
    <mergeCell ref="A39:B39"/>
    <mergeCell ref="C39:H39"/>
    <mergeCell ref="I39:K39"/>
    <mergeCell ref="A36:B36"/>
    <mergeCell ref="C36:D36"/>
    <mergeCell ref="I36:K36"/>
    <mergeCell ref="A37:B37"/>
    <mergeCell ref="C37:D37"/>
    <mergeCell ref="I37:K37"/>
    <mergeCell ref="A33:K33"/>
    <mergeCell ref="A34:B34"/>
    <mergeCell ref="C34:H34"/>
    <mergeCell ref="I34:K34"/>
    <mergeCell ref="A35:B35"/>
    <mergeCell ref="C35:D35"/>
    <mergeCell ref="I35:K35"/>
    <mergeCell ref="A30:B30"/>
    <mergeCell ref="C30:E30"/>
    <mergeCell ref="F30:G30"/>
    <mergeCell ref="H30:I30"/>
    <mergeCell ref="J30:K30"/>
    <mergeCell ref="A31:B31"/>
    <mergeCell ref="C31:E31"/>
    <mergeCell ref="F31:G31"/>
    <mergeCell ref="H31:I31"/>
    <mergeCell ref="J31:K31"/>
    <mergeCell ref="A28:B28"/>
    <mergeCell ref="C28:E28"/>
    <mergeCell ref="H28:I28"/>
    <mergeCell ref="A29:B29"/>
    <mergeCell ref="C29:E29"/>
    <mergeCell ref="H29:I29"/>
    <mergeCell ref="A26:B26"/>
    <mergeCell ref="C26:E26"/>
    <mergeCell ref="G26:H26"/>
    <mergeCell ref="I26:K26"/>
    <mergeCell ref="A27:B27"/>
    <mergeCell ref="C27:F27"/>
    <mergeCell ref="G27:H27"/>
    <mergeCell ref="I27:K27"/>
    <mergeCell ref="B24:D24"/>
    <mergeCell ref="E24:F24"/>
    <mergeCell ref="G24:H24"/>
    <mergeCell ref="I24:K24"/>
    <mergeCell ref="A25:D25"/>
    <mergeCell ref="E25:F25"/>
    <mergeCell ref="G25:H25"/>
    <mergeCell ref="I25:K25"/>
    <mergeCell ref="E22:F22"/>
    <mergeCell ref="G22:H22"/>
    <mergeCell ref="I22:K22"/>
    <mergeCell ref="B23:D23"/>
    <mergeCell ref="E23:F23"/>
    <mergeCell ref="G23:H23"/>
    <mergeCell ref="I23:K23"/>
    <mergeCell ref="A20:A24"/>
    <mergeCell ref="B20:D20"/>
    <mergeCell ref="E20:F20"/>
    <mergeCell ref="G20:H20"/>
    <mergeCell ref="I20:K20"/>
    <mergeCell ref="B21:D21"/>
    <mergeCell ref="E21:F21"/>
    <mergeCell ref="G21:H21"/>
    <mergeCell ref="I21:K21"/>
    <mergeCell ref="I15:K15"/>
    <mergeCell ref="B22:D22"/>
    <mergeCell ref="B18:D18"/>
    <mergeCell ref="E18:F18"/>
    <mergeCell ref="G18:H18"/>
    <mergeCell ref="I18:K18"/>
    <mergeCell ref="B19:D19"/>
    <mergeCell ref="E19:F19"/>
    <mergeCell ref="G19:H19"/>
    <mergeCell ref="I19:K19"/>
    <mergeCell ref="A12:D12"/>
    <mergeCell ref="E12:F12"/>
    <mergeCell ref="G12:H12"/>
    <mergeCell ref="I12:K12"/>
    <mergeCell ref="A13:A19"/>
    <mergeCell ref="B13:D13"/>
    <mergeCell ref="E13:F13"/>
    <mergeCell ref="G13:H13"/>
    <mergeCell ref="I13:K13"/>
    <mergeCell ref="B14:D14"/>
    <mergeCell ref="B16:D16"/>
    <mergeCell ref="E16:F16"/>
    <mergeCell ref="G16:H16"/>
    <mergeCell ref="I16:K16"/>
    <mergeCell ref="B17:D17"/>
    <mergeCell ref="E17:F17"/>
    <mergeCell ref="G17:H17"/>
    <mergeCell ref="I17:K17"/>
    <mergeCell ref="E14:F14"/>
    <mergeCell ref="G14:H14"/>
    <mergeCell ref="I14:K14"/>
    <mergeCell ref="B15:D15"/>
    <mergeCell ref="E15:F15"/>
    <mergeCell ref="G15:H15"/>
    <mergeCell ref="A10:K10"/>
    <mergeCell ref="A11:F11"/>
    <mergeCell ref="G11:K11"/>
    <mergeCell ref="B7:D7"/>
    <mergeCell ref="E7:F7"/>
    <mergeCell ref="G7:H7"/>
    <mergeCell ref="I7:K7"/>
    <mergeCell ref="B8:D8"/>
    <mergeCell ref="E8:F8"/>
    <mergeCell ref="G8:H8"/>
    <mergeCell ref="I8:K8"/>
    <mergeCell ref="D3:F3"/>
    <mergeCell ref="B5:F5"/>
    <mergeCell ref="G5:H5"/>
    <mergeCell ref="I5:J5"/>
    <mergeCell ref="B6:D6"/>
    <mergeCell ref="E6:F6"/>
    <mergeCell ref="G6:H6"/>
    <mergeCell ref="I6:K6"/>
    <mergeCell ref="B9:E9"/>
    <mergeCell ref="F9:G9"/>
    <mergeCell ref="H9:K9"/>
  </mergeCells>
  <phoneticPr fontId="2" type="noConversion"/>
  <conditionalFormatting sqref="F31:G31">
    <cfRule type="cellIs" dxfId="35" priority="11" operator="greaterThan">
      <formula>52</formula>
    </cfRule>
  </conditionalFormatting>
  <conditionalFormatting sqref="C31:E31">
    <cfRule type="cellIs" dxfId="34" priority="10" operator="greaterThan">
      <formula>261</formula>
    </cfRule>
  </conditionalFormatting>
  <conditionalFormatting sqref="M13">
    <cfRule type="cellIs" dxfId="33" priority="9" operator="greaterThan">
      <formula>59</formula>
    </cfRule>
  </conditionalFormatting>
  <conditionalFormatting sqref="M16">
    <cfRule type="cellIs" dxfId="32" priority="8" operator="greaterThan">
      <formula>64</formula>
    </cfRule>
  </conditionalFormatting>
  <conditionalFormatting sqref="F29">
    <cfRule type="cellIs" dxfId="31" priority="6" operator="equal">
      <formula>9160</formula>
    </cfRule>
  </conditionalFormatting>
  <conditionalFormatting sqref="J29">
    <cfRule type="cellIs" dxfId="30" priority="5" operator="greaterThan">
      <formula>8</formula>
    </cfRule>
  </conditionalFormatting>
  <conditionalFormatting sqref="B8:D8">
    <cfRule type="cellIs" dxfId="29" priority="4" operator="lessThan">
      <formula>$B$7</formula>
    </cfRule>
  </conditionalFormatting>
  <conditionalFormatting sqref="C29:E29">
    <cfRule type="cellIs" dxfId="28" priority="2" operator="lessThan">
      <formula>9160</formula>
    </cfRule>
  </conditionalFormatting>
  <conditionalFormatting sqref="C35:D38">
    <cfRule type="cellIs" dxfId="27" priority="1" operator="lessThan">
      <formula>0</formula>
    </cfRule>
  </conditionalFormatting>
  <dataValidations count="8">
    <dataValidation allowBlank="1" showInputMessage="1" showErrorMessage="1" promptTitle="귀속월" prompt="귀속월의 실제 근무일수 기재" sqref="A31:B31" xr:uid="{5429297C-07E0-45FF-8A2A-4CF6AAF52906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8" xr:uid="{81F60440-DBFA-4680-AE69-6CB005452B05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B49ECEF5-A980-4C32-8F22-1DFFF642F83D}"/>
    <dataValidation allowBlank="1" showInputMessage="1" showErrorMessage="1" promptTitle="주40시간기준" prompt="52시간 초과금지_x000a_근로기준법 제53조(연장 근로의 제한)" sqref="F31:G31" xr:uid="{BD64544D-6251-4E37-B553-94BF008B9F44}"/>
    <dataValidation allowBlank="1" showInputMessage="1" showErrorMessage="1" promptTitle="주40시간 기준" prompt="주12시간 연장근로 초과 금지_x000a_225.952381시간 초과 금지?_x000a_261시간 초과 금지 ?" sqref="C31:E31" xr:uid="{BCF800E8-147F-46F7-B2FD-B9160804660D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K29" xr:uid="{9C258DA8-A31A-47FD-952E-D53E3F6C7A21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327137E3-997A-4902-A0A8-837C90766BB2}"/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0A1B20E8-49E2-4132-88D5-209F9D0FD7B9}"/>
  </dataValidations>
  <hyperlinks>
    <hyperlink ref="A29:B29" r:id="rId1" display="기본시간급 | 시급(주휴포함)" xr:uid="{858390E4-BE5F-4E48-9569-8BE5D2CBF155}"/>
    <hyperlink ref="A28:B28" r:id="rId2" display="통상시급" xr:uid="{E9A6BA0C-7553-4698-8A3A-C7F46B42A9AC}"/>
    <hyperlink ref="A33:J33" r:id="rId3" display="계산 방법" xr:uid="{0A4D3E92-F1BA-4EBC-B6E8-CDA9508EB0FF}"/>
    <hyperlink ref="G16:H16" r:id="rId4" display="고용보험료" xr:uid="{59BC3477-19FD-49B1-BD5A-45E5B3E89DC6}"/>
    <hyperlink ref="B9" r:id="rId5" xr:uid="{4C45F43F-691C-43C5-BE51-CEBE855EE599}"/>
    <hyperlink ref="N16" r:id="rId6" display="https://blog.naver.com/hope-pys/222547604214" xr:uid="{1B36059B-02FE-44F6-B905-F2B5EA66FC75}"/>
    <hyperlink ref="M3" r:id="rId7" xr:uid="{1CE42F2F-3B80-476B-9003-75D430492943}"/>
    <hyperlink ref="O16" r:id="rId8" xr:uid="{E0BCB3BD-CC95-4AB0-9858-CA74D064D761}"/>
    <hyperlink ref="N6" r:id="rId9" xr:uid="{A66BF465-A3EA-45E4-BB91-27CFE1A1DAFC}"/>
    <hyperlink ref="Q26" location="최저임금!A1" display="최저임금은" xr:uid="{25B6AAEA-FDF9-4DC2-A8D5-6B793C73028C}"/>
    <hyperlink ref="M10" r:id="rId10" xr:uid="{9001B6BB-6144-4062-9C37-46A5FCF685D6}"/>
    <hyperlink ref="M9" r:id="rId11" display="상시근로자 5인이상 연차수당 " xr:uid="{4B75BBEE-4EEB-4BF2-8CC6-EC00E3E2287C}"/>
    <hyperlink ref="B14:D14" r:id="rId12" display="★주휴수당★ (별도표기)" xr:uid="{2C6CF1B2-6DAC-4D7C-B6C9-C19784E0391D}"/>
    <hyperlink ref="B20:D20" r:id="rId13" display="연차휴가수당" xr:uid="{E31FBACC-3284-46F5-84F4-AC7BA779B482}"/>
    <hyperlink ref="H28:I28" r:id="rId14" display="주소정법정근로일수한도" xr:uid="{07BA5502-64F5-4634-9B00-65E57C301B9D}"/>
    <hyperlink ref="O44" r:id="rId15" display="1년 계약직 연차 11일 (대법원2021다227100)" xr:uid="{5B10DE68-0350-4E6D-8F96-D9D738CD0F54}"/>
    <hyperlink ref="O37" r:id="rId16" xr:uid="{FFD05C89-54DD-4654-8370-469213537389}"/>
    <hyperlink ref="M16" r:id="rId17" display="https://cafe.daum.net/transtax/FWkz/224" xr:uid="{1882CF4C-5888-4D60-B69D-2FD22B7DBF6D}"/>
    <hyperlink ref="O8" r:id="rId18" xr:uid="{BB849BEE-8F1E-401B-81C5-7C6E680B9857}"/>
    <hyperlink ref="G12:H12" r:id="rId19" display="공제 항목" xr:uid="{99273A38-689B-43FC-9652-6EC4A8770404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98" orientation="portrait" verticalDpi="0" r:id="rId20"/>
  <drawing r:id="rId21"/>
  <legacyDrawing r:id="rId2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4129" r:id="rId23" name="Group Box 1">
              <controlPr defaultSize="0" autoFill="0" autoPict="0">
                <anchor moveWithCells="1">
                  <from>
                    <xdr:col>15</xdr:col>
                    <xdr:colOff>0</xdr:colOff>
                    <xdr:row>2</xdr:row>
                    <xdr:rowOff>0</xdr:rowOff>
                  </from>
                  <to>
                    <xdr:col>17</xdr:col>
                    <xdr:colOff>590550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0" r:id="rId24" name="Option Button 2">
              <controlPr defaultSize="0" autoFill="0" autoLine="0" autoPict="0">
                <anchor moveWithCells="1">
                  <from>
                    <xdr:col>15</xdr:col>
                    <xdr:colOff>76200</xdr:colOff>
                    <xdr:row>2</xdr:row>
                    <xdr:rowOff>104775</xdr:rowOff>
                  </from>
                  <to>
                    <xdr:col>15</xdr:col>
                    <xdr:colOff>885825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1" r:id="rId25" name="Option Button 3">
              <controlPr defaultSize="0" autoFill="0" autoLine="0" autoPict="0">
                <anchor moveWithCells="1">
                  <from>
                    <xdr:col>16</xdr:col>
                    <xdr:colOff>219075</xdr:colOff>
                    <xdr:row>2</xdr:row>
                    <xdr:rowOff>104775</xdr:rowOff>
                  </from>
                  <to>
                    <xdr:col>17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2" r:id="rId26" name="Group Box 4">
              <controlPr defaultSize="0" autoFill="0" autoPict="0">
                <anchor moveWithCells="1">
                  <from>
                    <xdr:col>19</xdr:col>
                    <xdr:colOff>257175</xdr:colOff>
                    <xdr:row>1</xdr:row>
                    <xdr:rowOff>9525</xdr:rowOff>
                  </from>
                  <to>
                    <xdr:col>23</xdr:col>
                    <xdr:colOff>66675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3" r:id="rId27" name="Option Button 5">
              <controlPr defaultSize="0" autoFill="0" autoLine="0" autoPict="0">
                <anchor moveWithCells="1">
                  <from>
                    <xdr:col>19</xdr:col>
                    <xdr:colOff>381000</xdr:colOff>
                    <xdr:row>2</xdr:row>
                    <xdr:rowOff>133350</xdr:rowOff>
                  </from>
                  <to>
                    <xdr:col>20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4" r:id="rId28" name="Option Button 6">
              <controlPr defaultSize="0" autoFill="0" autoLine="0" autoPict="0">
                <anchor moveWithCells="1">
                  <from>
                    <xdr:col>21</xdr:col>
                    <xdr:colOff>190500</xdr:colOff>
                    <xdr:row>2</xdr:row>
                    <xdr:rowOff>161925</xdr:rowOff>
                  </from>
                  <to>
                    <xdr:col>22</xdr:col>
                    <xdr:colOff>533400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5" r:id="rId29" name="Group Box 7">
              <controlPr defaultSize="0" autoFill="0" autoPict="0">
                <anchor moveWithCells="1">
                  <from>
                    <xdr:col>0</xdr:col>
                    <xdr:colOff>76200</xdr:colOff>
                    <xdr:row>1</xdr:row>
                    <xdr:rowOff>28575</xdr:rowOff>
                  </from>
                  <to>
                    <xdr:col>3</xdr:col>
                    <xdr:colOff>57150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6" r:id="rId30" name="Option Button 8">
              <controlPr defaultSize="0" autoFill="0" autoLine="0" autoPict="0">
                <anchor moveWithCells="1">
                  <from>
                    <xdr:col>0</xdr:col>
                    <xdr:colOff>142875</xdr:colOff>
                    <xdr:row>2</xdr:row>
                    <xdr:rowOff>57150</xdr:rowOff>
                  </from>
                  <to>
                    <xdr:col>1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7" r:id="rId31" name="Option Button 9">
              <controlPr defaultSize="0" autoFill="0" autoLine="0" autoPict="0">
                <anchor moveWithCells="1">
                  <from>
                    <xdr:col>1</xdr:col>
                    <xdr:colOff>304800</xdr:colOff>
                    <xdr:row>2</xdr:row>
                    <xdr:rowOff>66675</xdr:rowOff>
                  </from>
                  <to>
                    <xdr:col>2</xdr:col>
                    <xdr:colOff>257175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8" r:id="rId32" name="Group Box 10">
              <controlPr defaultSize="0" autoFill="0" autoPict="0">
                <anchor moveWithCells="1">
                  <from>
                    <xdr:col>17</xdr:col>
                    <xdr:colOff>466725</xdr:colOff>
                    <xdr:row>9</xdr:row>
                    <xdr:rowOff>66675</xdr:rowOff>
                  </from>
                  <to>
                    <xdr:col>20</xdr:col>
                    <xdr:colOff>361950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39" r:id="rId33" name="Option Button 11">
              <controlPr defaultSize="0" autoFill="0" autoLine="0" autoPict="0">
                <anchor moveWithCells="1">
                  <from>
                    <xdr:col>17</xdr:col>
                    <xdr:colOff>628650</xdr:colOff>
                    <xdr:row>9</xdr:row>
                    <xdr:rowOff>209550</xdr:rowOff>
                  </from>
                  <to>
                    <xdr:col>18</xdr:col>
                    <xdr:colOff>628650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0" r:id="rId34" name="Option Button 12">
              <controlPr defaultSize="0" autoFill="0" autoLine="0" autoPict="0">
                <anchor moveWithCells="1">
                  <from>
                    <xdr:col>19</xdr:col>
                    <xdr:colOff>314325</xdr:colOff>
                    <xdr:row>9</xdr:row>
                    <xdr:rowOff>209550</xdr:rowOff>
                  </from>
                  <to>
                    <xdr:col>20</xdr:col>
                    <xdr:colOff>76200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1" r:id="rId35" name="Group Box 13">
              <controlPr defaultSize="0" autoFill="0" autoPict="0">
                <anchor moveWithCells="1">
                  <from>
                    <xdr:col>17</xdr:col>
                    <xdr:colOff>466725</xdr:colOff>
                    <xdr:row>13</xdr:row>
                    <xdr:rowOff>95250</xdr:rowOff>
                  </from>
                  <to>
                    <xdr:col>20</xdr:col>
                    <xdr:colOff>381000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2" r:id="rId36" name="Option Button 14">
              <controlPr defaultSize="0" autoFill="0" autoLine="0" autoPict="0">
                <anchor moveWithCells="1">
                  <from>
                    <xdr:col>17</xdr:col>
                    <xdr:colOff>628650</xdr:colOff>
                    <xdr:row>14</xdr:row>
                    <xdr:rowOff>161925</xdr:rowOff>
                  </from>
                  <to>
                    <xdr:col>18</xdr:col>
                    <xdr:colOff>647700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3" r:id="rId37" name="Option Button 15">
              <controlPr defaultSize="0" autoFill="0" autoLine="0" autoPict="0">
                <anchor moveWithCells="1">
                  <from>
                    <xdr:col>19</xdr:col>
                    <xdr:colOff>295275</xdr:colOff>
                    <xdr:row>14</xdr:row>
                    <xdr:rowOff>161925</xdr:rowOff>
                  </from>
                  <to>
                    <xdr:col>20</xdr:col>
                    <xdr:colOff>123825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4" r:id="rId38" name="Group Box 16">
              <controlPr defaultSize="0" autoFill="0" autoPict="0">
                <anchor moveWithCells="1">
                  <from>
                    <xdr:col>17</xdr:col>
                    <xdr:colOff>447675</xdr:colOff>
                    <xdr:row>6</xdr:row>
                    <xdr:rowOff>57150</xdr:rowOff>
                  </from>
                  <to>
                    <xdr:col>20</xdr:col>
                    <xdr:colOff>390525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5" r:id="rId39" name="Option Button 17">
              <controlPr defaultSize="0" autoFill="0" autoLine="0" autoPict="0">
                <anchor moveWithCells="1">
                  <from>
                    <xdr:col>17</xdr:col>
                    <xdr:colOff>581025</xdr:colOff>
                    <xdr:row>7</xdr:row>
                    <xdr:rowOff>28575</xdr:rowOff>
                  </from>
                  <to>
                    <xdr:col>18</xdr:col>
                    <xdr:colOff>590550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46" r:id="rId40" name="Option Button 18">
              <controlPr defaultSize="0" autoFill="0" autoLine="0" autoPict="0">
                <anchor moveWithCells="1">
                  <from>
                    <xdr:col>19</xdr:col>
                    <xdr:colOff>28575</xdr:colOff>
                    <xdr:row>7</xdr:row>
                    <xdr:rowOff>38100</xdr:rowOff>
                  </from>
                  <to>
                    <xdr:col>20</xdr:col>
                    <xdr:colOff>180975</xdr:colOff>
                    <xdr:row>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E2D1-0C26-4833-A5B0-E14E86424DBD}">
  <sheetPr codeName="Sheet17">
    <tabColor rgb="FF00B050"/>
    <pageSetUpPr fitToPage="1"/>
  </sheetPr>
  <dimension ref="A1:U94"/>
  <sheetViews>
    <sheetView showGridLines="0" workbookViewId="0">
      <selection activeCell="D3" sqref="D3:F3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0" width="18.125" customWidth="1"/>
    <col min="11" max="11" width="8.125" customWidth="1"/>
    <col min="12" max="12" width="11" customWidth="1"/>
    <col min="13" max="13" width="16.875" customWidth="1"/>
    <col min="14" max="14" width="14.25" customWidth="1"/>
    <col min="15" max="15" width="12.625" customWidth="1"/>
    <col min="16" max="16" width="13.5" bestFit="1" customWidth="1"/>
    <col min="18" max="18" width="10.875" bestFit="1" customWidth="1"/>
    <col min="19" max="19" width="12.75" customWidth="1"/>
    <col min="20" max="20" width="9.375" bestFit="1" customWidth="1"/>
  </cols>
  <sheetData>
    <row r="1" spans="1:21">
      <c r="A1" s="3" t="s">
        <v>0</v>
      </c>
      <c r="L1" s="510">
        <f>IF($B$7&gt;EOMONTH($D$3,-1)+1,$B$7,EOMONTH($D$3,-1)+1)</f>
        <v>44501</v>
      </c>
      <c r="M1" s="511">
        <f>IF(AND($B$8&lt;&gt;"",$B$8&lt;EOMONTH($D$3,0)),$B$8,EOMONTH($D$3,0))</f>
        <v>44530</v>
      </c>
      <c r="O1" s="269">
        <v>1</v>
      </c>
      <c r="Q1" s="289"/>
    </row>
    <row r="2" spans="1:21" ht="8.25" customHeight="1">
      <c r="L2" s="432">
        <v>2</v>
      </c>
    </row>
    <row r="3" spans="1:21" ht="20.25">
      <c r="D3" s="888">
        <v>44530</v>
      </c>
      <c r="E3" s="888"/>
      <c r="F3" s="888"/>
      <c r="G3" s="5" t="s">
        <v>1159</v>
      </c>
      <c r="I3" s="2"/>
      <c r="L3" s="15" t="s">
        <v>1388</v>
      </c>
      <c r="M3" s="15"/>
      <c r="R3" s="383">
        <v>2.7E-2</v>
      </c>
    </row>
    <row r="4" spans="1:21" ht="8.25" customHeight="1"/>
    <row r="5" spans="1:21">
      <c r="A5" t="s">
        <v>12</v>
      </c>
      <c r="B5" s="889" t="s">
        <v>47</v>
      </c>
      <c r="C5" s="889"/>
      <c r="D5" s="889"/>
      <c r="E5" s="889"/>
      <c r="F5" s="889"/>
      <c r="G5" s="714" t="s">
        <v>11</v>
      </c>
      <c r="H5" s="714"/>
      <c r="I5" s="890">
        <v>44530</v>
      </c>
      <c r="J5" s="890"/>
      <c r="M5" s="430">
        <f>DATEDIF($B$7,$M$1,"y")</f>
        <v>0</v>
      </c>
      <c r="O5" s="270">
        <v>187030</v>
      </c>
      <c r="P5" s="270">
        <v>150000</v>
      </c>
      <c r="R5" s="272"/>
    </row>
    <row r="6" spans="1:21">
      <c r="A6" s="436" t="s">
        <v>2</v>
      </c>
      <c r="B6" s="881" t="s">
        <v>19</v>
      </c>
      <c r="C6" s="884"/>
      <c r="D6" s="885"/>
      <c r="E6" s="891" t="s">
        <v>652</v>
      </c>
      <c r="F6" s="880"/>
      <c r="G6" s="892">
        <v>26961</v>
      </c>
      <c r="H6" s="893"/>
      <c r="I6" s="933">
        <v>1</v>
      </c>
      <c r="J6" s="935"/>
      <c r="L6" s="420" t="s">
        <v>1459</v>
      </c>
      <c r="M6" s="431" t="s">
        <v>1510</v>
      </c>
      <c r="R6" s="273"/>
      <c r="T6" s="382">
        <v>1</v>
      </c>
    </row>
    <row r="7" spans="1:21">
      <c r="A7" s="436" t="s">
        <v>33</v>
      </c>
      <c r="B7" s="878">
        <v>44501</v>
      </c>
      <c r="C7" s="878"/>
      <c r="D7" s="878"/>
      <c r="E7" s="879" t="s">
        <v>1259</v>
      </c>
      <c r="F7" s="880"/>
      <c r="G7" s="881" t="s">
        <v>1258</v>
      </c>
      <c r="H7" s="882"/>
      <c r="I7" s="884" t="s">
        <v>1257</v>
      </c>
      <c r="J7" s="885"/>
      <c r="L7" s="502" t="str">
        <f>IF($D$3="","",DATEDIF($B$7,$M$1+1,"Y") &amp; "년 " &amp; DATEDIF($B$7,$M$1+1,"YM") &amp; "개월 "&amp; IF(OR(VALUE(TEXT($B$7,"dd"))-1=VALUE(TEXT($M$1,"dd")),TEXT($B$7,"dd")="01"),"",DATEDIF($B$7,$M$1,"MD")+1 &amp; "일"))</f>
        <v xml:space="preserve">0년 1개월 </v>
      </c>
      <c r="M7" s="429">
        <f>IF(M5=0,1,VLOOKUP(M5,연차,2))</f>
        <v>1</v>
      </c>
    </row>
    <row r="8" spans="1:21" ht="16.5" customHeight="1">
      <c r="A8" s="482" t="s">
        <v>1655</v>
      </c>
      <c r="B8" s="878"/>
      <c r="C8" s="878"/>
      <c r="D8" s="878"/>
      <c r="E8" s="897" t="s">
        <v>1653</v>
      </c>
      <c r="F8" s="898"/>
      <c r="G8" s="881"/>
      <c r="H8" s="882"/>
      <c r="I8" s="884" t="s">
        <v>1260</v>
      </c>
      <c r="J8" s="885"/>
      <c r="L8" s="491" t="str">
        <f>IF(B8-B7&gt;=355,"퇴직금(연차정산)대상 check","")</f>
        <v/>
      </c>
      <c r="M8" s="465" t="str">
        <f>IF(M5=0,"입사후 근무월 개수","")</f>
        <v>입사후 근무월 개수</v>
      </c>
      <c r="N8" s="15" t="s">
        <v>1804</v>
      </c>
      <c r="S8" s="15"/>
    </row>
    <row r="9" spans="1:21" ht="16.5" customHeight="1" thickBot="1">
      <c r="A9" s="337" t="s">
        <v>383</v>
      </c>
      <c r="B9" s="865" t="s">
        <v>1254</v>
      </c>
      <c r="C9" s="866"/>
      <c r="D9" s="866"/>
      <c r="E9" s="867"/>
      <c r="F9" s="868" t="s">
        <v>651</v>
      </c>
      <c r="G9" s="869"/>
      <c r="H9" s="870" t="s">
        <v>456</v>
      </c>
      <c r="I9" s="871"/>
      <c r="J9" s="872"/>
      <c r="L9" s="15" t="s">
        <v>1568</v>
      </c>
      <c r="M9" s="16"/>
    </row>
    <row r="10" spans="1:21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L10" s="433" t="s">
        <v>1567</v>
      </c>
      <c r="M10" s="69"/>
      <c r="U10" s="445">
        <v>1</v>
      </c>
    </row>
    <row r="11" spans="1:21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7"/>
      <c r="M11" s="174"/>
      <c r="R11" s="177"/>
      <c r="S11" s="9"/>
    </row>
    <row r="12" spans="1:21" s="437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7"/>
      <c r="I12" s="858" t="s">
        <v>10</v>
      </c>
      <c r="J12" s="860"/>
      <c r="M12" s="629" t="s">
        <v>1805</v>
      </c>
      <c r="P12" s="274"/>
    </row>
    <row r="13" spans="1:21" ht="16.5" customHeight="1">
      <c r="A13" s="936" t="s">
        <v>5</v>
      </c>
      <c r="B13" s="970" t="s">
        <v>32</v>
      </c>
      <c r="C13" s="838"/>
      <c r="D13" s="839"/>
      <c r="E13" s="942">
        <f>TRUNC(C28*A31,-1)</f>
        <v>707360</v>
      </c>
      <c r="F13" s="943"/>
      <c r="G13" s="828" t="s">
        <v>26</v>
      </c>
      <c r="H13" s="830"/>
      <c r="I13" s="787">
        <f>IF(L13&gt;=60,0,TRUNC(E25*M13,-1))</f>
        <v>38170</v>
      </c>
      <c r="J13" s="789"/>
      <c r="K13" s="65">
        <f>I13/($E$25-IF($E$18&gt;100000,$E$18-100000,0)-IF($E$19&gt;100000,$E$19-100000,0)-IF($E$20&gt;100000,$E$20-100000,0))</f>
        <v>4.4999056870696975E-2</v>
      </c>
      <c r="L13" s="351">
        <f>DATEDIF($G$6,$D$3,"y")</f>
        <v>48</v>
      </c>
      <c r="M13" s="299">
        <v>4.4999999999999998E-2</v>
      </c>
      <c r="N13" t="s">
        <v>459</v>
      </c>
      <c r="P13" s="221" t="s">
        <v>1170</v>
      </c>
      <c r="R13" s="9"/>
      <c r="S13" s="177"/>
      <c r="T13" s="9"/>
    </row>
    <row r="14" spans="1:21">
      <c r="A14" s="937"/>
      <c r="B14" s="976" t="s">
        <v>1571</v>
      </c>
      <c r="C14" s="977"/>
      <c r="D14" s="978"/>
      <c r="E14" s="942">
        <f>N20</f>
        <v>102880</v>
      </c>
      <c r="F14" s="943"/>
      <c r="G14" s="828" t="s">
        <v>28</v>
      </c>
      <c r="H14" s="830"/>
      <c r="I14" s="787">
        <f>TRUNC($E$25*M14,-1)</f>
        <v>29090</v>
      </c>
      <c r="J14" s="789"/>
      <c r="K14" s="65">
        <f>I14/($E$25-IF($E$18&gt;100000,$E$18-100000,0)-IF($E$19&gt;100000,$E$19-100000,0)-IF($E$20&gt;100000,$E$20-100000,0))</f>
        <v>3.4294539281335468E-2</v>
      </c>
      <c r="L14" s="65"/>
      <c r="M14" s="698">
        <f>IF(AND(D3&gt;=44197,D3&lt;=44561),6.86%/2,6.99%/2)</f>
        <v>3.4300000000000004E-2</v>
      </c>
      <c r="N14" t="s">
        <v>459</v>
      </c>
    </row>
    <row r="15" spans="1:21">
      <c r="A15" s="937"/>
      <c r="B15" s="970"/>
      <c r="C15" s="838"/>
      <c r="D15" s="839"/>
      <c r="E15" s="942"/>
      <c r="F15" s="943"/>
      <c r="G15" s="828" t="s">
        <v>36</v>
      </c>
      <c r="H15" s="830"/>
      <c r="I15" s="787">
        <f>TRUNC(I14*M15,-1)</f>
        <v>3350</v>
      </c>
      <c r="J15" s="789"/>
      <c r="K15" s="65">
        <f>I15/($E$25-IF($E$18&gt;100000,$E$18-100000,0)-IF($E$19&gt;100000,$E$19-100000,0)-IF($E$20&gt;100000,$E$20-100000,0))</f>
        <v>3.949353956427426E-3</v>
      </c>
      <c r="L15" s="294">
        <f>I15/I14</f>
        <v>0.1151598487452733</v>
      </c>
      <c r="M15" s="299">
        <f>IF(AND(D3&gt;=44197,D3&lt;=44561),11.52%,12.27%)</f>
        <v>0.1152</v>
      </c>
      <c r="N15" t="s">
        <v>459</v>
      </c>
      <c r="P15" s="390">
        <f>SUM(K14:K15)</f>
        <v>3.8243893237762894E-2</v>
      </c>
      <c r="U15" s="445">
        <v>2</v>
      </c>
    </row>
    <row r="16" spans="1:21">
      <c r="A16" s="937"/>
      <c r="B16" s="970"/>
      <c r="C16" s="838"/>
      <c r="D16" s="839"/>
      <c r="E16" s="942"/>
      <c r="F16" s="943"/>
      <c r="G16" s="849" t="s">
        <v>37</v>
      </c>
      <c r="H16" s="851"/>
      <c r="I16" s="787">
        <f>CHOOSE(T6,IF(L16&gt;=65,0,TRUNC($E$25*M16,-1)),0)</f>
        <v>6780</v>
      </c>
      <c r="J16" s="789"/>
      <c r="K16" s="65">
        <f>I16/($E$25-IF($E$18&gt;100000,$E$18-100000,0)-IF($E$19&gt;100000,$E$19-100000,0)-IF($E$20&gt;100000,$E$20-100000,0))</f>
        <v>7.9930208431575975E-3</v>
      </c>
      <c r="L16" s="617">
        <f>DATEDIF($G$6,B7,"y")</f>
        <v>48</v>
      </c>
      <c r="M16" s="366">
        <v>8.0000000000000002E-3</v>
      </c>
      <c r="N16" s="15" t="s">
        <v>1390</v>
      </c>
      <c r="P16" t="s">
        <v>1723</v>
      </c>
    </row>
    <row r="17" spans="1:21">
      <c r="A17" s="937"/>
      <c r="B17" s="979" t="s">
        <v>1265</v>
      </c>
      <c r="C17" s="980"/>
      <c r="D17" s="981"/>
      <c r="E17" s="942"/>
      <c r="F17" s="943"/>
      <c r="G17" s="828" t="s">
        <v>38</v>
      </c>
      <c r="H17" s="830"/>
      <c r="I17" s="787"/>
      <c r="J17" s="789"/>
      <c r="K17" s="293">
        <f>SUM(K13:K16)</f>
        <v>9.1235970951617465E-2</v>
      </c>
      <c r="M17" s="66" t="s">
        <v>593</v>
      </c>
      <c r="N17" s="389">
        <f>C28</f>
        <v>32153</v>
      </c>
    </row>
    <row r="18" spans="1:21">
      <c r="A18" s="937"/>
      <c r="B18" s="979" t="s">
        <v>1266</v>
      </c>
      <c r="C18" s="980"/>
      <c r="D18" s="981"/>
      <c r="E18" s="942"/>
      <c r="F18" s="943"/>
      <c r="G18" s="862" t="s">
        <v>43</v>
      </c>
      <c r="H18" s="967"/>
      <c r="I18" s="787"/>
      <c r="J18" s="789"/>
      <c r="M18" s="66" t="s">
        <v>460</v>
      </c>
      <c r="N18" s="389">
        <f>C29</f>
        <v>16076</v>
      </c>
    </row>
    <row r="19" spans="1:21">
      <c r="A19" s="938"/>
      <c r="B19" s="979" t="s">
        <v>1267</v>
      </c>
      <c r="C19" s="980"/>
      <c r="D19" s="981"/>
      <c r="E19" s="942"/>
      <c r="F19" s="943"/>
      <c r="G19" s="862" t="s">
        <v>44</v>
      </c>
      <c r="H19" s="967"/>
      <c r="I19" s="787"/>
      <c r="J19" s="789"/>
      <c r="M19" s="66" t="s">
        <v>63</v>
      </c>
      <c r="N19" s="389">
        <f>N18*8*(J28*J29/40)</f>
        <v>25721.600000000002</v>
      </c>
      <c r="P19" s="380">
        <f>365/12</f>
        <v>30.416666666666668</v>
      </c>
    </row>
    <row r="20" spans="1:21">
      <c r="A20" s="936" t="s">
        <v>1272</v>
      </c>
      <c r="B20" s="834" t="s">
        <v>1362</v>
      </c>
      <c r="C20" s="835"/>
      <c r="D20" s="836"/>
      <c r="E20" s="942">
        <f>TRUNC(IF(AND(U15=2,U21=1,OR(T27="",T27=0)),(T28-C26)*F28,(T27-C26)*F28),0)</f>
        <v>38000</v>
      </c>
      <c r="F20" s="943"/>
      <c r="G20" s="828" t="s">
        <v>41</v>
      </c>
      <c r="H20" s="830"/>
      <c r="I20" s="787"/>
      <c r="J20" s="789"/>
      <c r="M20" s="66" t="s">
        <v>1156</v>
      </c>
      <c r="N20" s="389">
        <f>TRUNC(N19*G29,-1)</f>
        <v>102880</v>
      </c>
      <c r="O20" t="s">
        <v>461</v>
      </c>
      <c r="P20" s="284">
        <f>P19/7</f>
        <v>4.3452380952380958</v>
      </c>
      <c r="Q20" t="s">
        <v>1154</v>
      </c>
    </row>
    <row r="21" spans="1:21" ht="16.5" customHeight="1">
      <c r="A21" s="937"/>
      <c r="B21" s="1009" t="s">
        <v>1577</v>
      </c>
      <c r="C21" s="1010"/>
      <c r="D21" s="1011"/>
      <c r="E21" s="942">
        <f>I35</f>
        <v>0</v>
      </c>
      <c r="F21" s="943"/>
      <c r="G21" s="828"/>
      <c r="H21" s="830"/>
      <c r="I21" s="787"/>
      <c r="J21" s="789"/>
      <c r="M21" s="66" t="s">
        <v>1574</v>
      </c>
      <c r="N21" s="389">
        <f>E20</f>
        <v>38000</v>
      </c>
      <c r="P21" s="284"/>
      <c r="U21" s="298">
        <v>1</v>
      </c>
    </row>
    <row r="22" spans="1:21">
      <c r="A22" s="937"/>
      <c r="B22" s="1009" t="s">
        <v>1578</v>
      </c>
      <c r="C22" s="1010"/>
      <c r="D22" s="1011"/>
      <c r="E22" s="942">
        <f>I36</f>
        <v>0</v>
      </c>
      <c r="F22" s="943"/>
      <c r="G22" s="828" t="s">
        <v>40</v>
      </c>
      <c r="H22" s="830"/>
      <c r="I22" s="787"/>
      <c r="J22" s="789"/>
      <c r="M22" s="66" t="s">
        <v>22</v>
      </c>
      <c r="N22" s="388">
        <f>SUM(N20,E13)</f>
        <v>810240</v>
      </c>
      <c r="O22" s="272">
        <f>SUM(E13:F23)</f>
        <v>848240</v>
      </c>
      <c r="P22" s="177"/>
    </row>
    <row r="23" spans="1:21">
      <c r="A23" s="937"/>
      <c r="B23" s="1009" t="s">
        <v>1579</v>
      </c>
      <c r="C23" s="1010"/>
      <c r="D23" s="1011"/>
      <c r="E23" s="942">
        <f>I38</f>
        <v>0</v>
      </c>
      <c r="F23" s="943"/>
      <c r="G23" s="828"/>
      <c r="H23" s="842"/>
      <c r="I23" s="787"/>
      <c r="J23" s="789"/>
      <c r="M23" s="66" t="s">
        <v>1157</v>
      </c>
      <c r="N23" s="285">
        <v>3300000</v>
      </c>
      <c r="O23" s="272">
        <f>F28*A31</f>
        <v>836000</v>
      </c>
      <c r="P23" s="9">
        <f>N23-O23</f>
        <v>2464000</v>
      </c>
    </row>
    <row r="24" spans="1:21">
      <c r="A24" s="938"/>
      <c r="B24" s="970" t="s">
        <v>42</v>
      </c>
      <c r="C24" s="838"/>
      <c r="D24" s="839"/>
      <c r="E24" s="942">
        <v>0</v>
      </c>
      <c r="F24" s="943"/>
      <c r="G24" s="828" t="s">
        <v>25</v>
      </c>
      <c r="H24" s="842"/>
      <c r="I24" s="846">
        <f>CHOOSE(L2,IF(N29&lt;=10000000,VLOOKUP(N29/1000,간이세액표2021,A40+B40+2),VLOOKUP(N29/1000,간이세액표2021,A40+B40+2)+VLOOKUP(N29,근로세율,3)+(N29-VLOOKUP(N29,근로세율,4))*VLOOKUP(N29,근로세율,5)*VLOOKUP(N29,근로세율,6)),CHOOSE(O1,IF(C28&gt;O5,TRUNC((C28-O5)*A31*R3,-1),0),IF(C28&gt;P5,TRUNC((C28-P5)*A31*R3,-1),0)))</f>
        <v>0</v>
      </c>
      <c r="J24" s="848"/>
      <c r="M24" s="66" t="s">
        <v>1155</v>
      </c>
      <c r="N24" s="384">
        <f>N23-E26</f>
        <v>3300000</v>
      </c>
      <c r="P24" s="9"/>
    </row>
    <row r="25" spans="1:21" ht="17.25" thickBot="1">
      <c r="A25" s="802" t="s">
        <v>7</v>
      </c>
      <c r="B25" s="803"/>
      <c r="C25" s="803"/>
      <c r="D25" s="804"/>
      <c r="E25" s="805">
        <f>SUM(E13:F24)</f>
        <v>848240</v>
      </c>
      <c r="F25" s="806"/>
      <c r="G25" s="840" t="s">
        <v>35</v>
      </c>
      <c r="H25" s="842"/>
      <c r="I25" s="846">
        <f>CHOOSE(L2,TRUNC(I24*10%,-1),CHOOSE(O1,IF(F28&gt;O5,TRUNC((F28-O5)*R3*10%,-1)*A31,0),IF(F28&gt;P5,TRUNC((F28-P5)*A31*R3*10%,-1),0)))</f>
        <v>0</v>
      </c>
      <c r="J25" s="848"/>
      <c r="P25" s="236"/>
    </row>
    <row r="26" spans="1:21">
      <c r="A26" s="810" t="s">
        <v>1389</v>
      </c>
      <c r="B26" s="811"/>
      <c r="C26" s="1047">
        <f>O38-A31</f>
        <v>0</v>
      </c>
      <c r="D26" s="1048"/>
      <c r="E26" s="1049"/>
      <c r="F26" s="446"/>
      <c r="G26" s="807" t="s">
        <v>15</v>
      </c>
      <c r="H26" s="809"/>
      <c r="I26" s="787">
        <f>SUM(I13:J25)</f>
        <v>77390</v>
      </c>
      <c r="J26" s="789"/>
      <c r="M26" s="66" t="s">
        <v>462</v>
      </c>
      <c r="N26" s="386">
        <f>E13/A31/J29</f>
        <v>16076.363636363636</v>
      </c>
      <c r="O26" s="387">
        <f>N26*A31*J29</f>
        <v>707360</v>
      </c>
      <c r="P26" s="15" t="s">
        <v>1566</v>
      </c>
    </row>
    <row r="27" spans="1:21" ht="17.25" thickBot="1">
      <c r="A27" s="1030" t="s">
        <v>1255</v>
      </c>
      <c r="B27" s="1031"/>
      <c r="C27" s="1032"/>
      <c r="D27" s="1033"/>
      <c r="E27" s="1033"/>
      <c r="F27" s="1034"/>
      <c r="G27" s="817" t="s">
        <v>16</v>
      </c>
      <c r="H27" s="969"/>
      <c r="I27" s="818">
        <f>E25-I26</f>
        <v>770850</v>
      </c>
      <c r="J27" s="820"/>
      <c r="K27" s="15"/>
      <c r="P27" s="10"/>
      <c r="R27" t="s">
        <v>1572</v>
      </c>
      <c r="T27" s="438">
        <v>0</v>
      </c>
    </row>
    <row r="28" spans="1:21" ht="16.5" customHeight="1" outlineLevel="1">
      <c r="A28" s="1017" t="s">
        <v>1455</v>
      </c>
      <c r="B28" s="1017"/>
      <c r="C28" s="799">
        <f>TRUNC(F28*(F28*A31)/(F28*(A31+G29))/P34,0)</f>
        <v>32153</v>
      </c>
      <c r="D28" s="799"/>
      <c r="E28" s="799"/>
      <c r="F28" s="267">
        <f>F29*J29</f>
        <v>38000</v>
      </c>
      <c r="G28" s="440" t="s">
        <v>1153</v>
      </c>
      <c r="H28" s="985" t="s">
        <v>1158</v>
      </c>
      <c r="I28" s="984"/>
      <c r="J28" s="338">
        <v>4</v>
      </c>
      <c r="L28" s="672">
        <f>E13/C31*J29</f>
        <v>32152.727272727272</v>
      </c>
      <c r="N28" s="10"/>
      <c r="P28" s="236"/>
      <c r="R28" t="s">
        <v>1573</v>
      </c>
      <c r="T28" s="443">
        <f>IF(M7=1,1,M7/12)</f>
        <v>1</v>
      </c>
    </row>
    <row r="29" spans="1:21" ht="16.5" customHeight="1" outlineLevel="1">
      <c r="A29" s="1021" t="s">
        <v>1456</v>
      </c>
      <c r="B29" s="1021"/>
      <c r="C29" s="799">
        <f>TRUNC(C28/J29,0)</f>
        <v>16076</v>
      </c>
      <c r="D29" s="799"/>
      <c r="E29" s="799"/>
      <c r="F29" s="288">
        <v>19000</v>
      </c>
      <c r="G29" s="439">
        <f>CHOOSE(U10,CEILING((DAY(EOMONTH(D3,0))-MOD(8-WEEKDAY(D3),7))/7,1),(EOMONTH(D3,0)-EOMONTH(D3,-1))/7)</f>
        <v>4</v>
      </c>
      <c r="H29" s="963" t="s">
        <v>458</v>
      </c>
      <c r="I29" s="963"/>
      <c r="J29" s="8">
        <v>2</v>
      </c>
      <c r="L29" s="672">
        <f>L28/J29</f>
        <v>16076.363636363636</v>
      </c>
      <c r="M29" s="268" t="s">
        <v>1146</v>
      </c>
      <c r="N29" s="283">
        <f>N31-N30</f>
        <v>848240</v>
      </c>
    </row>
    <row r="30" spans="1:21">
      <c r="A30" s="963" t="s">
        <v>783</v>
      </c>
      <c r="B30" s="963"/>
      <c r="C30" s="771" t="s">
        <v>686</v>
      </c>
      <c r="D30" s="1014"/>
      <c r="E30" s="772"/>
      <c r="F30" s="776" t="s">
        <v>684</v>
      </c>
      <c r="G30" s="776"/>
      <c r="H30" s="776" t="s">
        <v>17</v>
      </c>
      <c r="I30" s="776"/>
      <c r="J30" s="484" t="s">
        <v>685</v>
      </c>
      <c r="M30" s="268" t="s">
        <v>1147</v>
      </c>
      <c r="N30" s="283">
        <f>MIN(IF(E17="",0,E17),100000)+MIN(IF(E18="",0,E18),200000)+MIN(IF(E19="",0,E19),100000)</f>
        <v>0</v>
      </c>
      <c r="R30" s="15" t="s">
        <v>1722</v>
      </c>
    </row>
    <row r="31" spans="1:21" ht="17.25" thickBot="1">
      <c r="A31" s="1015">
        <f>O38</f>
        <v>22</v>
      </c>
      <c r="B31" s="1015"/>
      <c r="C31" s="779">
        <f>A31*J29</f>
        <v>44</v>
      </c>
      <c r="D31" s="780"/>
      <c r="E31" s="781"/>
      <c r="F31" s="1016">
        <v>0</v>
      </c>
      <c r="G31" s="1016"/>
      <c r="H31" s="1016">
        <v>0</v>
      </c>
      <c r="I31" s="1016"/>
      <c r="J31" s="453">
        <v>0</v>
      </c>
      <c r="M31" s="268" t="s">
        <v>1148</v>
      </c>
      <c r="N31" s="283">
        <f>E25</f>
        <v>848240</v>
      </c>
    </row>
    <row r="32" spans="1:21" ht="8.25" customHeight="1" thickBot="1">
      <c r="A32" s="339"/>
      <c r="B32" s="339"/>
      <c r="C32" s="339"/>
      <c r="D32" s="339"/>
      <c r="E32" s="339"/>
      <c r="F32" s="339"/>
      <c r="G32" s="339"/>
      <c r="H32" s="339"/>
      <c r="I32" s="339"/>
      <c r="J32" s="340"/>
      <c r="M32" s="16"/>
    </row>
    <row r="33" spans="1:16" ht="17.25" thickBot="1">
      <c r="A33" s="919" t="s">
        <v>18</v>
      </c>
      <c r="B33" s="920"/>
      <c r="C33" s="920"/>
      <c r="D33" s="920"/>
      <c r="E33" s="920"/>
      <c r="F33" s="920"/>
      <c r="G33" s="920"/>
      <c r="H33" s="920"/>
      <c r="I33" s="920"/>
      <c r="J33" s="920"/>
    </row>
    <row r="34" spans="1:16">
      <c r="A34" s="766" t="s">
        <v>20</v>
      </c>
      <c r="B34" s="766"/>
      <c r="C34" s="766" t="s">
        <v>21</v>
      </c>
      <c r="D34" s="766"/>
      <c r="E34" s="766"/>
      <c r="F34" s="766"/>
      <c r="G34" s="766"/>
      <c r="H34" s="766"/>
      <c r="I34" s="766" t="s">
        <v>22</v>
      </c>
      <c r="J34" s="766"/>
      <c r="N34" s="472" t="s">
        <v>1622</v>
      </c>
      <c r="O34" s="471">
        <f>M1-L1+1</f>
        <v>30</v>
      </c>
      <c r="P34" s="512">
        <f>O34/(EOMONTH($D$3,0)-EOMONTH($D$3,-1))</f>
        <v>1</v>
      </c>
    </row>
    <row r="35" spans="1:16">
      <c r="A35" s="910" t="s">
        <v>23</v>
      </c>
      <c r="B35" s="910"/>
      <c r="C35" s="768">
        <f>F31</f>
        <v>0</v>
      </c>
      <c r="D35" s="769"/>
      <c r="E35" s="6" t="s">
        <v>48</v>
      </c>
      <c r="F35" s="23">
        <f>F29</f>
        <v>19000</v>
      </c>
      <c r="G35" s="6" t="s">
        <v>48</v>
      </c>
      <c r="H35" s="450">
        <f>CHOOSE(U15,1,1.5)</f>
        <v>1.5</v>
      </c>
      <c r="I35" s="770">
        <f>C35*F35*H35</f>
        <v>0</v>
      </c>
      <c r="J35" s="770"/>
      <c r="M35" s="420" t="s">
        <v>1628</v>
      </c>
      <c r="N35" s="473" t="s">
        <v>1623</v>
      </c>
      <c r="O35" s="310">
        <f>IF(OR($L$1&gt;EOMONTH($D$3,-1)+1,$M$1&lt;EOMONTH($D$3,0)),CEILING((O34-MOD(8-WEEKDAY($L$1),7))/7,1),CEILING((DAY(EOMONTH($D$3,0))-MOD(8-WEEKDAY($D$3),7))/7,1))</f>
        <v>4</v>
      </c>
      <c r="P35" s="474" t="s">
        <v>1627</v>
      </c>
    </row>
    <row r="36" spans="1:16" ht="17.25" thickBot="1">
      <c r="A36" s="906" t="s">
        <v>1018</v>
      </c>
      <c r="B36" s="906"/>
      <c r="C36" s="758">
        <f>CHOOSE(U15,0,H31)</f>
        <v>0</v>
      </c>
      <c r="D36" s="759"/>
      <c r="E36" s="11" t="s">
        <v>48</v>
      </c>
      <c r="F36" s="24">
        <f>F29</f>
        <v>19000</v>
      </c>
      <c r="G36" s="11" t="s">
        <v>48</v>
      </c>
      <c r="H36" s="451">
        <f>CHOOSE(U15,0,0.5)</f>
        <v>0.5</v>
      </c>
      <c r="I36" s="728">
        <f>C36*F36*H36</f>
        <v>0</v>
      </c>
      <c r="J36" s="728"/>
      <c r="M36" s="476">
        <f>SUM(O35,P36)</f>
        <v>8</v>
      </c>
      <c r="N36" s="473" t="s">
        <v>1624</v>
      </c>
      <c r="O36" s="477">
        <f>IF(OR($L$1&gt;EOMONTH($D$3,-1)+1,$M$1&lt;EOMONTH($D$3,0)),NETWORKDAYS($L$1,$M$1),NETWORKDAYS(EOMONTH($D$3,-1)+1,EOMONTH($D$3,0)))</f>
        <v>22</v>
      </c>
      <c r="P36" s="475">
        <f>O34-O36-O35</f>
        <v>4</v>
      </c>
    </row>
    <row r="37" spans="1:16" ht="17.25" thickBot="1">
      <c r="A37" s="1129" t="s">
        <v>65</v>
      </c>
      <c r="B37" s="1059"/>
      <c r="C37" s="761">
        <f>J31-C38</f>
        <v>0</v>
      </c>
      <c r="D37" s="762"/>
      <c r="E37" s="13" t="s">
        <v>48</v>
      </c>
      <c r="F37" s="25">
        <f>F29</f>
        <v>19000</v>
      </c>
      <c r="G37" s="13" t="s">
        <v>48</v>
      </c>
      <c r="H37" s="452">
        <f>CHOOSE(U15,1,1.5)</f>
        <v>1.5</v>
      </c>
      <c r="I37" s="763">
        <f>C37*F37*H37</f>
        <v>0</v>
      </c>
      <c r="J37" s="763"/>
      <c r="N37" s="616" t="s">
        <v>1625</v>
      </c>
      <c r="O37" s="490">
        <f>VLOOKUP(EOMONTH(D3,-1)+1,주40시간,6)</f>
        <v>0</v>
      </c>
    </row>
    <row r="38" spans="1:16">
      <c r="A38" s="1126" t="s">
        <v>66</v>
      </c>
      <c r="B38" s="1037"/>
      <c r="C38" s="1127">
        <v>0</v>
      </c>
      <c r="D38" s="1128"/>
      <c r="E38" s="13" t="s">
        <v>48</v>
      </c>
      <c r="F38" s="25">
        <f>F29</f>
        <v>19000</v>
      </c>
      <c r="G38" s="13" t="s">
        <v>48</v>
      </c>
      <c r="H38" s="452">
        <f>CHOOSE(U15,1,2)</f>
        <v>2</v>
      </c>
      <c r="I38" s="763">
        <f>C38*F38*H38</f>
        <v>0</v>
      </c>
      <c r="J38" s="763"/>
      <c r="N38" s="473" t="s">
        <v>1626</v>
      </c>
      <c r="O38" s="481">
        <f>O36-O37</f>
        <v>22</v>
      </c>
    </row>
    <row r="39" spans="1:16">
      <c r="A39" s="910" t="s">
        <v>25</v>
      </c>
      <c r="B39" s="910"/>
      <c r="C39" s="1055" t="str">
        <f>CHOOSE(O1,"매일지급 (지급일 금액) 근로소득공제 187,030원 초과분 2.7%의 누적금액","일정기간 지급 (지급일 금액)  근로소득공제 15만원 초과분 2.7%의 누적금액")</f>
        <v>매일지급 (지급일 금액) 근로소득공제 187,030원 초과분 2.7%의 누적금액</v>
      </c>
      <c r="D39" s="1055"/>
      <c r="E39" s="1055"/>
      <c r="F39" s="1055"/>
      <c r="G39" s="1055"/>
      <c r="H39" s="1055"/>
      <c r="I39" s="733">
        <f>I24</f>
        <v>0</v>
      </c>
      <c r="J39" s="735"/>
      <c r="M39" s="16"/>
      <c r="N39" s="473" t="s">
        <v>1629</v>
      </c>
      <c r="O39" s="481">
        <f>O38+P36</f>
        <v>26</v>
      </c>
    </row>
    <row r="40" spans="1:16">
      <c r="A40" s="434">
        <v>1</v>
      </c>
      <c r="B40" s="295">
        <v>0</v>
      </c>
      <c r="C40" s="958" t="s">
        <v>50</v>
      </c>
      <c r="D40" s="959"/>
      <c r="E40" s="959"/>
      <c r="F40" s="959"/>
      <c r="G40" s="959"/>
      <c r="H40" s="959"/>
      <c r="I40" s="739">
        <f>I25</f>
        <v>0</v>
      </c>
      <c r="J40" s="741"/>
      <c r="M40" s="16"/>
    </row>
    <row r="41" spans="1:16">
      <c r="A41" s="917" t="s">
        <v>26</v>
      </c>
      <c r="B41" s="917"/>
      <c r="C41" s="1057" t="str">
        <f>"상기 급여의 과세급여 "&amp;TEXT(E26,"\#,##0원")&amp;" × "&amp;M13*100&amp;"%"</f>
        <v>상기 급여의 과세급여 ₩0원 × 4.5%</v>
      </c>
      <c r="D41" s="1057"/>
      <c r="E41" s="1057"/>
      <c r="F41" s="1057"/>
      <c r="G41" s="1057"/>
      <c r="H41" s="1057"/>
      <c r="I41" s="746">
        <f>I13</f>
        <v>38170</v>
      </c>
      <c r="J41" s="746"/>
      <c r="M41" s="16"/>
    </row>
    <row r="42" spans="1:16">
      <c r="A42" s="906" t="s">
        <v>27</v>
      </c>
      <c r="B42" s="906"/>
      <c r="C42" s="1054" t="str">
        <f>CHOOSE(T6,"상기 급여(임금) 과세총액기준 "&amp;TEXT(E26,"\#,##0원")&amp;"× "&amp;M16*100&amp;"%","고용보험 미대상")</f>
        <v>상기 급여(임금) 과세총액기준 ₩0원× 0.8%</v>
      </c>
      <c r="D42" s="1054"/>
      <c r="E42" s="1054"/>
      <c r="F42" s="1054"/>
      <c r="G42" s="1054"/>
      <c r="H42" s="1054"/>
      <c r="I42" s="728">
        <f>I16</f>
        <v>6780</v>
      </c>
      <c r="J42" s="728"/>
    </row>
    <row r="43" spans="1:16">
      <c r="A43" s="906" t="s">
        <v>28</v>
      </c>
      <c r="B43" s="906"/>
      <c r="C43" s="1054" t="str">
        <f>"상기 급여의 과세급여 "&amp;TEXT(E26,"\#,##0원")&amp;" × "&amp;M14*100&amp;"%"</f>
        <v>상기 급여의 과세급여 ₩0원 × 3.43%</v>
      </c>
      <c r="D43" s="1054"/>
      <c r="E43" s="1054"/>
      <c r="F43" s="1054"/>
      <c r="G43" s="1054"/>
      <c r="H43" s="1054"/>
      <c r="I43" s="728">
        <f>SUM(I14,I18)</f>
        <v>29090</v>
      </c>
      <c r="J43" s="728"/>
      <c r="M43" t="s">
        <v>1656</v>
      </c>
    </row>
    <row r="44" spans="1:16">
      <c r="A44" s="906" t="s">
        <v>29</v>
      </c>
      <c r="B44" s="906"/>
      <c r="C44" s="1054" t="str">
        <f>"상기 건강보험료 "&amp;TEXT(I43,"\#,##0원")&amp;"×"&amp;M15*100&amp;"%"</f>
        <v>상기 건강보험료 ₩29,090원×11.52%</v>
      </c>
      <c r="D44" s="1054"/>
      <c r="E44" s="1054"/>
      <c r="F44" s="1054"/>
      <c r="G44" s="1054"/>
      <c r="H44" s="1054"/>
      <c r="I44" s="728">
        <f>SUM(I15,I19)</f>
        <v>3350</v>
      </c>
      <c r="J44" s="728"/>
    </row>
    <row r="45" spans="1:16">
      <c r="A45" s="902"/>
      <c r="B45" s="902"/>
      <c r="C45" s="953"/>
      <c r="D45" s="953"/>
      <c r="E45" s="953"/>
      <c r="F45" s="953"/>
      <c r="G45" s="953"/>
      <c r="H45" s="953"/>
      <c r="I45" s="723"/>
      <c r="J45" s="723"/>
      <c r="M45" s="16"/>
    </row>
    <row r="46" spans="1:16">
      <c r="A46" s="19" t="s">
        <v>31</v>
      </c>
      <c r="J46" s="22" t="s">
        <v>653</v>
      </c>
      <c r="M46" s="16"/>
    </row>
    <row r="47" spans="1:16">
      <c r="J47" s="4" t="s">
        <v>30</v>
      </c>
    </row>
    <row r="49" spans="4:13">
      <c r="D49" t="s">
        <v>1150</v>
      </c>
    </row>
    <row r="50" spans="4:13">
      <c r="D50" t="s">
        <v>1152</v>
      </c>
      <c r="M50" s="17"/>
    </row>
    <row r="51" spans="4:13">
      <c r="D51" t="s">
        <v>1151</v>
      </c>
    </row>
    <row r="57" spans="4:13">
      <c r="M57" s="17"/>
    </row>
    <row r="65" spans="1:14">
      <c r="M65" s="17"/>
    </row>
    <row r="67" spans="1:14">
      <c r="A67" s="18"/>
      <c r="M67" s="18"/>
    </row>
    <row r="68" spans="1:14">
      <c r="A68" s="18"/>
      <c r="M68" s="18"/>
    </row>
    <row r="69" spans="1:14">
      <c r="A69" s="18"/>
    </row>
    <row r="71" spans="1:14">
      <c r="A71" s="18"/>
    </row>
    <row r="76" spans="1:14">
      <c r="N76" s="18"/>
    </row>
    <row r="77" spans="1:14">
      <c r="N77" s="18"/>
    </row>
    <row r="78" spans="1:14">
      <c r="N78" s="18"/>
    </row>
    <row r="79" spans="1:14">
      <c r="N79" s="18"/>
    </row>
    <row r="81" spans="14:14">
      <c r="N81" s="18"/>
    </row>
    <row r="87" spans="14:14">
      <c r="N87" s="18"/>
    </row>
    <row r="88" spans="14:14">
      <c r="N88" s="18"/>
    </row>
    <row r="89" spans="14:14">
      <c r="N89" s="18"/>
    </row>
    <row r="90" spans="14:14">
      <c r="N90" s="18"/>
    </row>
    <row r="92" spans="14:14">
      <c r="N92" s="18"/>
    </row>
    <row r="94" spans="14:14">
      <c r="N94" s="18"/>
    </row>
  </sheetData>
  <mergeCells count="138">
    <mergeCell ref="D3:F3"/>
    <mergeCell ref="B5:F5"/>
    <mergeCell ref="G5:H5"/>
    <mergeCell ref="I5:J5"/>
    <mergeCell ref="B6:D6"/>
    <mergeCell ref="E6:F6"/>
    <mergeCell ref="G6:H6"/>
    <mergeCell ref="I6:J6"/>
    <mergeCell ref="B9:E9"/>
    <mergeCell ref="F9:G9"/>
    <mergeCell ref="H9:J9"/>
    <mergeCell ref="B8:D8"/>
    <mergeCell ref="E8:F8"/>
    <mergeCell ref="A10:J10"/>
    <mergeCell ref="A11:F11"/>
    <mergeCell ref="G11:J11"/>
    <mergeCell ref="B7:D7"/>
    <mergeCell ref="E7:F7"/>
    <mergeCell ref="G7:H7"/>
    <mergeCell ref="I7:J7"/>
    <mergeCell ref="G8:H8"/>
    <mergeCell ref="I8:J8"/>
    <mergeCell ref="E14:F14"/>
    <mergeCell ref="G14:H14"/>
    <mergeCell ref="I14:J14"/>
    <mergeCell ref="B15:D15"/>
    <mergeCell ref="E15:F15"/>
    <mergeCell ref="G15:H15"/>
    <mergeCell ref="I15:J15"/>
    <mergeCell ref="A12:D12"/>
    <mergeCell ref="E12:F12"/>
    <mergeCell ref="G12:H12"/>
    <mergeCell ref="I12:J12"/>
    <mergeCell ref="A13:A19"/>
    <mergeCell ref="B13:D13"/>
    <mergeCell ref="E13:F13"/>
    <mergeCell ref="G13:H13"/>
    <mergeCell ref="I13:J13"/>
    <mergeCell ref="B14:D14"/>
    <mergeCell ref="B18:D18"/>
    <mergeCell ref="E18:F18"/>
    <mergeCell ref="G18:H18"/>
    <mergeCell ref="I18:J18"/>
    <mergeCell ref="B19:D19"/>
    <mergeCell ref="E19:F19"/>
    <mergeCell ref="G19:H19"/>
    <mergeCell ref="I19:J19"/>
    <mergeCell ref="B16:D16"/>
    <mergeCell ref="E16:F16"/>
    <mergeCell ref="G16:H16"/>
    <mergeCell ref="I16:J16"/>
    <mergeCell ref="B17:D17"/>
    <mergeCell ref="E17:F17"/>
    <mergeCell ref="G17:H17"/>
    <mergeCell ref="I17:J17"/>
    <mergeCell ref="E22:F22"/>
    <mergeCell ref="G22:H22"/>
    <mergeCell ref="I22:J22"/>
    <mergeCell ref="B23:D23"/>
    <mergeCell ref="E23:F23"/>
    <mergeCell ref="G23:H23"/>
    <mergeCell ref="I23:J23"/>
    <mergeCell ref="A20:A24"/>
    <mergeCell ref="B20:D20"/>
    <mergeCell ref="E20:F20"/>
    <mergeCell ref="G20:H20"/>
    <mergeCell ref="I20:J20"/>
    <mergeCell ref="B21:D21"/>
    <mergeCell ref="E21:F21"/>
    <mergeCell ref="G21:H21"/>
    <mergeCell ref="I21:J21"/>
    <mergeCell ref="B22:D22"/>
    <mergeCell ref="A26:B26"/>
    <mergeCell ref="C26:E26"/>
    <mergeCell ref="G26:H26"/>
    <mergeCell ref="I26:J26"/>
    <mergeCell ref="A27:B27"/>
    <mergeCell ref="C27:F27"/>
    <mergeCell ref="G27:H27"/>
    <mergeCell ref="I27:J27"/>
    <mergeCell ref="B24:D24"/>
    <mergeCell ref="E24:F24"/>
    <mergeCell ref="G24:H24"/>
    <mergeCell ref="I24:J24"/>
    <mergeCell ref="A25:D25"/>
    <mergeCell ref="E25:F25"/>
    <mergeCell ref="G25:H25"/>
    <mergeCell ref="I25:J25"/>
    <mergeCell ref="A30:B30"/>
    <mergeCell ref="C30:E30"/>
    <mergeCell ref="F30:G30"/>
    <mergeCell ref="H30:I30"/>
    <mergeCell ref="A31:B31"/>
    <mergeCell ref="C31:E31"/>
    <mergeCell ref="F31:G31"/>
    <mergeCell ref="H31:I31"/>
    <mergeCell ref="A28:B28"/>
    <mergeCell ref="C28:E28"/>
    <mergeCell ref="H28:I28"/>
    <mergeCell ref="A29:B29"/>
    <mergeCell ref="C29:E29"/>
    <mergeCell ref="H29:I29"/>
    <mergeCell ref="A36:B36"/>
    <mergeCell ref="C36:D36"/>
    <mergeCell ref="I36:J36"/>
    <mergeCell ref="A37:B37"/>
    <mergeCell ref="C37:D37"/>
    <mergeCell ref="I37:J37"/>
    <mergeCell ref="A33:J33"/>
    <mergeCell ref="A34:B34"/>
    <mergeCell ref="C34:H34"/>
    <mergeCell ref="I34:J34"/>
    <mergeCell ref="A35:B35"/>
    <mergeCell ref="C35:D35"/>
    <mergeCell ref="I35:J35"/>
    <mergeCell ref="A38:B38"/>
    <mergeCell ref="C38:D38"/>
    <mergeCell ref="I38:J38"/>
    <mergeCell ref="A44:B44"/>
    <mergeCell ref="C44:H44"/>
    <mergeCell ref="I44:J44"/>
    <mergeCell ref="A45:B45"/>
    <mergeCell ref="C45:H45"/>
    <mergeCell ref="I45:J45"/>
    <mergeCell ref="A42:B42"/>
    <mergeCell ref="C42:H42"/>
    <mergeCell ref="I42:J42"/>
    <mergeCell ref="A43:B43"/>
    <mergeCell ref="C43:H43"/>
    <mergeCell ref="I43:J43"/>
    <mergeCell ref="A39:B39"/>
    <mergeCell ref="C39:H39"/>
    <mergeCell ref="I39:J39"/>
    <mergeCell ref="C40:H40"/>
    <mergeCell ref="I40:J40"/>
    <mergeCell ref="A41:B41"/>
    <mergeCell ref="C41:H41"/>
    <mergeCell ref="I41:J41"/>
  </mergeCells>
  <phoneticPr fontId="2" type="noConversion"/>
  <conditionalFormatting sqref="F31:G31">
    <cfRule type="cellIs" dxfId="26" priority="12" operator="greaterThan">
      <formula>52</formula>
    </cfRule>
  </conditionalFormatting>
  <conditionalFormatting sqref="C31:E31">
    <cfRule type="cellIs" dxfId="25" priority="11" operator="greaterThan">
      <formula>261</formula>
    </cfRule>
  </conditionalFormatting>
  <conditionalFormatting sqref="L13">
    <cfRule type="cellIs" dxfId="24" priority="10" operator="greaterThan">
      <formula>59</formula>
    </cfRule>
  </conditionalFormatting>
  <conditionalFormatting sqref="L16">
    <cfRule type="cellIs" dxfId="23" priority="9" operator="greaterThan">
      <formula>64</formula>
    </cfRule>
  </conditionalFormatting>
  <conditionalFormatting sqref="C29:E29">
    <cfRule type="cellIs" dxfId="22" priority="8" operator="lessThan">
      <formula>9160</formula>
    </cfRule>
  </conditionalFormatting>
  <conditionalFormatting sqref="F29">
    <cfRule type="cellIs" dxfId="21" priority="7" operator="equal">
      <formula>9160</formula>
    </cfRule>
  </conditionalFormatting>
  <conditionalFormatting sqref="B8:D8">
    <cfRule type="cellIs" dxfId="20" priority="3" operator="lessThan">
      <formula>$B$7</formula>
    </cfRule>
  </conditionalFormatting>
  <conditionalFormatting sqref="C26:E26">
    <cfRule type="cellIs" dxfId="19" priority="2" operator="lessThan">
      <formula>0</formula>
    </cfRule>
  </conditionalFormatting>
  <conditionalFormatting sqref="C35:D38">
    <cfRule type="cellIs" dxfId="18" priority="1" operator="lessThan">
      <formula>0</formula>
    </cfRule>
  </conditionalFormatting>
  <dataValidations count="8">
    <dataValidation allowBlank="1" showInputMessage="1" showErrorMessage="1" promptTitle="귀속월" prompt="귀속월의 실제 근무일수 기재" sqref="A31:B31" xr:uid="{42EBFE12-5113-43C2-BDD4-84A19ED3E704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8" xr:uid="{D07457DE-30A2-44BE-B16D-0B4FF27BB0F9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C74D4824-36D1-4BA5-9B4D-E39974A245BD}"/>
    <dataValidation allowBlank="1" showInputMessage="1" showErrorMessage="1" promptTitle="주40시간기준" prompt="52시간 초과금지_x000a_근로기준법 제53조(연장 근로의 제한)" sqref="F31:G31" xr:uid="{FA72011D-3B05-497F-8E0D-C1C19844DE13}"/>
    <dataValidation allowBlank="1" showInputMessage="1" showErrorMessage="1" promptTitle="주40시간 기준" prompt="주12시간 연장근로 초과 금지_x000a_225.952381시간 초과 금지?_x000a_261시간 초과 금지 ?" sqref="C31:E31" xr:uid="{DC22AF2E-2AAB-4071-9554-97522F07F941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J29" xr:uid="{07FEB220-9A4B-4999-907C-FFEA02DB3590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F4CE5283-6E7E-4909-849A-CB454C5F5C74}"/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479456CB-BE62-4CD0-B2F0-DE88DDA67E47}"/>
  </dataValidations>
  <hyperlinks>
    <hyperlink ref="A29:B29" r:id="rId1" display="기본시간급 | 시급(주휴포함)" xr:uid="{B3BB301D-CCCC-47A9-B9CC-FE0A51EFDA73}"/>
    <hyperlink ref="A28:B28" r:id="rId2" display="통상시급" xr:uid="{82C48FC8-DE42-4A8D-8710-95F201D4D8D4}"/>
    <hyperlink ref="A33:J33" r:id="rId3" display="계산 방법" xr:uid="{C68835CB-CB30-4CB4-B2B8-20465F1923C4}"/>
    <hyperlink ref="G16:H16" r:id="rId4" display="고용보험료" xr:uid="{BA0A428F-9451-41D7-92CD-837AA813BFB2}"/>
    <hyperlink ref="B9" r:id="rId5" xr:uid="{D6D96A35-962E-40AE-9876-08BB8CE8C538}"/>
    <hyperlink ref="M16" r:id="rId6" display="https://blog.naver.com/hope-pys/222547604214" xr:uid="{9D38965D-AED7-4407-9F54-6A7844882DD6}"/>
    <hyperlink ref="L3" r:id="rId7" xr:uid="{058E28BE-CFD7-4C06-8CB4-83B08C462493}"/>
    <hyperlink ref="N16" r:id="rId8" xr:uid="{8AED4E2F-3513-4298-9A5A-56932C4A1172}"/>
    <hyperlink ref="M6" r:id="rId9" xr:uid="{6E705158-F92D-4D01-A0F6-C1873751BDE0}"/>
    <hyperlink ref="P26" location="최저임금!A1" display="최저임금은" xr:uid="{CCFCEB5A-92DB-49E3-BD04-215213BCEC1A}"/>
    <hyperlink ref="L10" r:id="rId10" xr:uid="{7BD2AABB-2ACF-4C25-A2FA-4C63602101B9}"/>
    <hyperlink ref="L9" r:id="rId11" display="상시근로자 5인이상 연차수당 " xr:uid="{603D989B-119A-438D-918A-E733929782E6}"/>
    <hyperlink ref="B14:D14" r:id="rId12" display="★주휴수당★ (별도표기)" xr:uid="{70476293-4D24-4B69-961A-D2B2722DE952}"/>
    <hyperlink ref="B20:D20" r:id="rId13" display="연차휴가수당" xr:uid="{A0E48B19-2F8D-4C44-BE85-9A0397780C47}"/>
    <hyperlink ref="R30" r:id="rId14" display="1년 계약직 연차 11일 (대법원2021다227100)" xr:uid="{E023601C-2CCF-4895-BD0E-0BAA157C7B9A}"/>
    <hyperlink ref="N37" r:id="rId15" xr:uid="{3630CEA7-6D63-42D9-9AA1-A058E7D890AE}"/>
    <hyperlink ref="L16" r:id="rId16" display="https://cafe.daum.net/transtax/FWkz/224" xr:uid="{F40412CA-1156-4DFD-B217-A6A179E49C9A}"/>
    <hyperlink ref="N8" r:id="rId17" xr:uid="{E1497F48-4C1B-466A-AE19-6191EB27EF3A}"/>
    <hyperlink ref="G12:H12" r:id="rId18" display="공제 항목" xr:uid="{E78C4066-16DE-4951-AAB9-525093CAF147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portrait" verticalDpi="0" r:id="rId19"/>
  <drawing r:id="rId20"/>
  <legacyDrawing r:id="rId2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8049" r:id="rId22" name="Group Box 1">
              <controlPr defaultSize="0" autoFill="0" autoPict="0">
                <anchor moveWithCells="1">
                  <from>
                    <xdr:col>14</xdr:col>
                    <xdr:colOff>0</xdr:colOff>
                    <xdr:row>2</xdr:row>
                    <xdr:rowOff>0</xdr:rowOff>
                  </from>
                  <to>
                    <xdr:col>16</xdr:col>
                    <xdr:colOff>590550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0" r:id="rId23" name="Option Button 2">
              <controlPr defaultSize="0" autoFill="0" autoLine="0" autoPict="0">
                <anchor moveWithCells="1">
                  <from>
                    <xdr:col>14</xdr:col>
                    <xdr:colOff>76200</xdr:colOff>
                    <xdr:row>2</xdr:row>
                    <xdr:rowOff>104775</xdr:rowOff>
                  </from>
                  <to>
                    <xdr:col>14</xdr:col>
                    <xdr:colOff>885825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1" r:id="rId24" name="Option Button 3">
              <controlPr defaultSize="0" autoFill="0" autoLine="0" autoPict="0">
                <anchor moveWithCells="1">
                  <from>
                    <xdr:col>15</xdr:col>
                    <xdr:colOff>219075</xdr:colOff>
                    <xdr:row>2</xdr:row>
                    <xdr:rowOff>104775</xdr:rowOff>
                  </from>
                  <to>
                    <xdr:col>16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2" r:id="rId25" name="Group Box 4">
              <controlPr defaultSize="0" autoFill="0" autoPict="0">
                <anchor moveWithCells="1">
                  <from>
                    <xdr:col>18</xdr:col>
                    <xdr:colOff>257175</xdr:colOff>
                    <xdr:row>1</xdr:row>
                    <xdr:rowOff>9525</xdr:rowOff>
                  </from>
                  <to>
                    <xdr:col>22</xdr:col>
                    <xdr:colOff>66675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3" r:id="rId26" name="Option Button 5">
              <controlPr defaultSize="0" autoFill="0" autoLine="0" autoPict="0">
                <anchor moveWithCells="1">
                  <from>
                    <xdr:col>18</xdr:col>
                    <xdr:colOff>381000</xdr:colOff>
                    <xdr:row>2</xdr:row>
                    <xdr:rowOff>133350</xdr:rowOff>
                  </from>
                  <to>
                    <xdr:col>19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4" r:id="rId27" name="Option Button 6">
              <controlPr defaultSize="0" autoFill="0" autoLine="0" autoPict="0">
                <anchor moveWithCells="1">
                  <from>
                    <xdr:col>20</xdr:col>
                    <xdr:colOff>190500</xdr:colOff>
                    <xdr:row>2</xdr:row>
                    <xdr:rowOff>161925</xdr:rowOff>
                  </from>
                  <to>
                    <xdr:col>21</xdr:col>
                    <xdr:colOff>533400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5" r:id="rId28" name="Group Box 7">
              <controlPr defaultSize="0" autoFill="0" autoPict="0">
                <anchor moveWithCells="1">
                  <from>
                    <xdr:col>0</xdr:col>
                    <xdr:colOff>76200</xdr:colOff>
                    <xdr:row>1</xdr:row>
                    <xdr:rowOff>28575</xdr:rowOff>
                  </from>
                  <to>
                    <xdr:col>3</xdr:col>
                    <xdr:colOff>57150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6" r:id="rId29" name="Option Button 8">
              <controlPr defaultSize="0" autoFill="0" autoLine="0" autoPict="0">
                <anchor moveWithCells="1">
                  <from>
                    <xdr:col>0</xdr:col>
                    <xdr:colOff>142875</xdr:colOff>
                    <xdr:row>2</xdr:row>
                    <xdr:rowOff>57150</xdr:rowOff>
                  </from>
                  <to>
                    <xdr:col>1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7" r:id="rId30" name="Option Button 9">
              <controlPr defaultSize="0" autoFill="0" autoLine="0" autoPict="0">
                <anchor moveWithCells="1">
                  <from>
                    <xdr:col>1</xdr:col>
                    <xdr:colOff>304800</xdr:colOff>
                    <xdr:row>2</xdr:row>
                    <xdr:rowOff>66675</xdr:rowOff>
                  </from>
                  <to>
                    <xdr:col>2</xdr:col>
                    <xdr:colOff>257175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88" r:id="rId31" name="Group Box 40">
              <controlPr defaultSize="0" autoFill="0" autoPict="0">
                <anchor moveWithCells="1">
                  <from>
                    <xdr:col>16</xdr:col>
                    <xdr:colOff>542925</xdr:colOff>
                    <xdr:row>11</xdr:row>
                    <xdr:rowOff>57150</xdr:rowOff>
                  </from>
                  <to>
                    <xdr:col>19</xdr:col>
                    <xdr:colOff>609600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89" r:id="rId32" name="Group Box 41">
              <controlPr defaultSize="0" autoFill="0" autoPict="0">
                <anchor moveWithCells="1">
                  <from>
                    <xdr:col>16</xdr:col>
                    <xdr:colOff>561975</xdr:colOff>
                    <xdr:row>17</xdr:row>
                    <xdr:rowOff>133350</xdr:rowOff>
                  </from>
                  <to>
                    <xdr:col>19</xdr:col>
                    <xdr:colOff>600075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0" r:id="rId33" name="Option Button 42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85725</xdr:rowOff>
                  </from>
                  <to>
                    <xdr:col>17</xdr:col>
                    <xdr:colOff>800100</xdr:colOff>
                    <xdr:row>14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1" r:id="rId34" name="Option Button 43">
              <controlPr defaultSize="0" autoFill="0" autoLine="0" autoPict="0">
                <anchor moveWithCells="1">
                  <from>
                    <xdr:col>18</xdr:col>
                    <xdr:colOff>352425</xdr:colOff>
                    <xdr:row>13</xdr:row>
                    <xdr:rowOff>95250</xdr:rowOff>
                  </from>
                  <to>
                    <xdr:col>19</xdr:col>
                    <xdr:colOff>180975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2" r:id="rId35" name="Option Button 44">
              <controlPr defaultSize="0" autoFill="0" autoLine="0" autoPict="0">
                <anchor moveWithCells="1">
                  <from>
                    <xdr:col>16</xdr:col>
                    <xdr:colOff>657225</xdr:colOff>
                    <xdr:row>19</xdr:row>
                    <xdr:rowOff>161925</xdr:rowOff>
                  </from>
                  <to>
                    <xdr:col>17</xdr:col>
                    <xdr:colOff>800100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3" r:id="rId36" name="Option Button 45">
              <controlPr defaultSize="0" autoFill="0" autoLine="0" autoPict="0">
                <anchor moveWithCells="1">
                  <from>
                    <xdr:col>18</xdr:col>
                    <xdr:colOff>428625</xdr:colOff>
                    <xdr:row>19</xdr:row>
                    <xdr:rowOff>180975</xdr:rowOff>
                  </from>
                  <to>
                    <xdr:col>19</xdr:col>
                    <xdr:colOff>219075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6" r:id="rId37" name="Group Box 48">
              <controlPr defaultSize="0" autoFill="0" autoPict="0">
                <anchor moveWithCells="1">
                  <from>
                    <xdr:col>16</xdr:col>
                    <xdr:colOff>466725</xdr:colOff>
                    <xdr:row>7</xdr:row>
                    <xdr:rowOff>76200</xdr:rowOff>
                  </from>
                  <to>
                    <xdr:col>19</xdr:col>
                    <xdr:colOff>600075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7" r:id="rId38" name="Option Button 49">
              <controlPr defaultSize="0" autoFill="0" autoLine="0" autoPict="0">
                <anchor moveWithCells="1">
                  <from>
                    <xdr:col>16</xdr:col>
                    <xdr:colOff>561975</xdr:colOff>
                    <xdr:row>8</xdr:row>
                    <xdr:rowOff>104775</xdr:rowOff>
                  </from>
                  <to>
                    <xdr:col>17</xdr:col>
                    <xdr:colOff>695325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8" r:id="rId39" name="Option Button 50">
              <controlPr defaultSize="0" autoFill="0" autoLine="0" autoPict="0">
                <anchor moveWithCells="1">
                  <from>
                    <xdr:col>17</xdr:col>
                    <xdr:colOff>790575</xdr:colOff>
                    <xdr:row>8</xdr:row>
                    <xdr:rowOff>114300</xdr:rowOff>
                  </from>
                  <to>
                    <xdr:col>19</xdr:col>
                    <xdr:colOff>476250</xdr:colOff>
                    <xdr:row>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D11B-53EE-4C58-8A25-1AB21741D0E3}">
  <sheetPr codeName="Sheet18">
    <tabColor rgb="FF00B050"/>
    <pageSetUpPr fitToPage="1"/>
  </sheetPr>
  <dimension ref="A1:U94"/>
  <sheetViews>
    <sheetView showGridLines="0" workbookViewId="0">
      <selection activeCell="D3" sqref="D3:F3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0" width="18.125" customWidth="1"/>
    <col min="11" max="11" width="8.125" customWidth="1"/>
    <col min="12" max="12" width="11" customWidth="1"/>
    <col min="13" max="13" width="16.875" customWidth="1"/>
    <col min="14" max="14" width="14.25" customWidth="1"/>
    <col min="15" max="15" width="12.625" customWidth="1"/>
    <col min="16" max="16" width="13.5" bestFit="1" customWidth="1"/>
    <col min="18" max="18" width="10.875" bestFit="1" customWidth="1"/>
    <col min="19" max="19" width="12.75" customWidth="1"/>
    <col min="20" max="20" width="9.375" bestFit="1" customWidth="1"/>
  </cols>
  <sheetData>
    <row r="1" spans="1:21">
      <c r="A1" s="3" t="s">
        <v>0</v>
      </c>
      <c r="L1" s="510">
        <f>IF($B$7&gt;EOMONTH($D$3,-1)+1,$B$7,EOMONTH($D$3,-1)+1)</f>
        <v>44501</v>
      </c>
      <c r="M1" s="511">
        <f>IF(AND($B$8&lt;&gt;"",$B$8&lt;EOMONTH($D$3,0)),$B$8,EOMONTH($D$3,0))</f>
        <v>44530</v>
      </c>
      <c r="O1" s="269">
        <v>1</v>
      </c>
      <c r="Q1" s="289"/>
    </row>
    <row r="2" spans="1:21" ht="8.25" customHeight="1">
      <c r="L2" s="432">
        <v>2</v>
      </c>
    </row>
    <row r="3" spans="1:21" ht="20.25">
      <c r="D3" s="888">
        <v>44501</v>
      </c>
      <c r="E3" s="888"/>
      <c r="F3" s="888"/>
      <c r="G3" s="5" t="s">
        <v>1159</v>
      </c>
      <c r="I3" s="2"/>
      <c r="L3" s="15" t="s">
        <v>1388</v>
      </c>
      <c r="M3" s="15"/>
      <c r="R3" s="383">
        <v>2.7E-2</v>
      </c>
    </row>
    <row r="4" spans="1:21" ht="8.25" customHeight="1"/>
    <row r="5" spans="1:21">
      <c r="A5" t="s">
        <v>12</v>
      </c>
      <c r="B5" s="889" t="s">
        <v>1372</v>
      </c>
      <c r="C5" s="889"/>
      <c r="D5" s="889"/>
      <c r="E5" s="889"/>
      <c r="F5" s="889"/>
      <c r="G5" s="714" t="s">
        <v>11</v>
      </c>
      <c r="H5" s="714"/>
      <c r="I5" s="890">
        <v>44530</v>
      </c>
      <c r="J5" s="890"/>
      <c r="M5" s="430">
        <f>DATEDIF($B$7,$M$1,"y")</f>
        <v>0</v>
      </c>
      <c r="O5" s="270">
        <v>187030</v>
      </c>
      <c r="P5" s="270">
        <v>150000</v>
      </c>
      <c r="R5" s="272"/>
    </row>
    <row r="6" spans="1:21">
      <c r="A6" s="504" t="s">
        <v>2</v>
      </c>
      <c r="B6" s="881" t="s">
        <v>1708</v>
      </c>
      <c r="C6" s="884"/>
      <c r="D6" s="885"/>
      <c r="E6" s="891" t="s">
        <v>652</v>
      </c>
      <c r="F6" s="880"/>
      <c r="G6" s="892">
        <v>35345</v>
      </c>
      <c r="H6" s="893"/>
      <c r="I6" s="933">
        <v>32</v>
      </c>
      <c r="J6" s="935"/>
      <c r="L6" s="420" t="s">
        <v>1459</v>
      </c>
      <c r="M6" s="431" t="s">
        <v>1510</v>
      </c>
      <c r="R6" s="273"/>
      <c r="T6" s="382">
        <v>1</v>
      </c>
    </row>
    <row r="7" spans="1:21">
      <c r="A7" s="504" t="s">
        <v>33</v>
      </c>
      <c r="B7" s="878">
        <v>44501</v>
      </c>
      <c r="C7" s="878"/>
      <c r="D7" s="878"/>
      <c r="E7" s="879" t="s">
        <v>1259</v>
      </c>
      <c r="F7" s="880"/>
      <c r="G7" s="881"/>
      <c r="H7" s="882"/>
      <c r="I7" s="884"/>
      <c r="J7" s="885"/>
      <c r="L7" s="506" t="str">
        <f>IF($D$3="","",DATEDIF($B$7,$M$1+1,"Y") &amp; "년 " &amp; DATEDIF($B$7,$M$1+1,"YM") &amp; "개월 "&amp; IF(OR(VALUE(TEXT($B$7,"dd"))-1=VALUE(TEXT($M$1,"dd")),TEXT($B$7,"dd")="01"),"",DATEDIF($B$7,$M$1,"MD")+1 &amp; "일"))</f>
        <v xml:space="preserve">0년 1개월 </v>
      </c>
      <c r="M7" s="429">
        <f>IF(M5=0,1,VLOOKUP(M5,연차,2))</f>
        <v>1</v>
      </c>
    </row>
    <row r="8" spans="1:21" ht="16.5" customHeight="1">
      <c r="A8" s="504" t="s">
        <v>1655</v>
      </c>
      <c r="B8" s="878"/>
      <c r="C8" s="878"/>
      <c r="D8" s="878"/>
      <c r="E8" s="897" t="s">
        <v>1653</v>
      </c>
      <c r="F8" s="898"/>
      <c r="G8" s="881"/>
      <c r="H8" s="882"/>
      <c r="I8" s="884"/>
      <c r="J8" s="885"/>
      <c r="L8" s="491" t="str">
        <f>IF(B8-B7&gt;=355,"퇴직금(연차정산)대상 check","")</f>
        <v/>
      </c>
      <c r="M8" s="465" t="str">
        <f>IF(M5=0,"입사후 근무월 개수","")</f>
        <v>입사후 근무월 개수</v>
      </c>
      <c r="N8" s="15" t="s">
        <v>1804</v>
      </c>
      <c r="S8" s="15"/>
    </row>
    <row r="9" spans="1:21" ht="16.5" customHeight="1" thickBot="1">
      <c r="A9" s="337" t="s">
        <v>383</v>
      </c>
      <c r="B9" s="865"/>
      <c r="C9" s="866"/>
      <c r="D9" s="866"/>
      <c r="E9" s="867"/>
      <c r="F9" s="868" t="s">
        <v>651</v>
      </c>
      <c r="G9" s="869"/>
      <c r="H9" s="870"/>
      <c r="I9" s="871"/>
      <c r="J9" s="872"/>
      <c r="L9" s="15" t="s">
        <v>1568</v>
      </c>
      <c r="M9" s="16"/>
    </row>
    <row r="10" spans="1:21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L10" s="433" t="s">
        <v>1567</v>
      </c>
      <c r="M10" s="69"/>
      <c r="U10" s="445">
        <v>1</v>
      </c>
    </row>
    <row r="11" spans="1:21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7"/>
      <c r="M11" s="174"/>
      <c r="R11" s="177"/>
      <c r="S11" s="9"/>
    </row>
    <row r="12" spans="1:21" s="503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7"/>
      <c r="I12" s="858" t="s">
        <v>10</v>
      </c>
      <c r="J12" s="860"/>
      <c r="M12" s="629" t="s">
        <v>1805</v>
      </c>
      <c r="P12" s="274"/>
    </row>
    <row r="13" spans="1:21" ht="16.5" customHeight="1">
      <c r="A13" s="936" t="s">
        <v>5</v>
      </c>
      <c r="B13" s="970" t="s">
        <v>32</v>
      </c>
      <c r="C13" s="838"/>
      <c r="D13" s="839"/>
      <c r="E13" s="942">
        <f>TRUNC((C31-F31-H31-J31)*C29,-1)</f>
        <v>1201210</v>
      </c>
      <c r="F13" s="943"/>
      <c r="G13" s="828" t="s">
        <v>26</v>
      </c>
      <c r="H13" s="830"/>
      <c r="I13" s="787">
        <f>IF(L13&gt;=60,0,TRUNC(E25*M13,-1))</f>
        <v>72730</v>
      </c>
      <c r="J13" s="789"/>
      <c r="K13" s="65">
        <f>I13/($E$25-IF($E$18&gt;100000,$E$18-100000,0)-IF($E$19&gt;100000,$E$19-100000,0)-IF($E$20&gt;100000,$E$20-100000,0))</f>
        <v>4.4995060018012553E-2</v>
      </c>
      <c r="L13" s="351">
        <f>DATEDIF($G$6,$D$3,"y")</f>
        <v>25</v>
      </c>
      <c r="M13" s="299">
        <v>4.4999999999999998E-2</v>
      </c>
      <c r="N13" t="s">
        <v>459</v>
      </c>
      <c r="P13" s="221" t="s">
        <v>1170</v>
      </c>
      <c r="R13" s="9"/>
      <c r="S13" s="177"/>
      <c r="T13" s="9"/>
    </row>
    <row r="14" spans="1:21">
      <c r="A14" s="937"/>
      <c r="B14" s="976" t="s">
        <v>63</v>
      </c>
      <c r="C14" s="977"/>
      <c r="D14" s="978"/>
      <c r="E14" s="942">
        <f>N20</f>
        <v>304760</v>
      </c>
      <c r="F14" s="943"/>
      <c r="G14" s="828" t="s">
        <v>28</v>
      </c>
      <c r="H14" s="830"/>
      <c r="I14" s="787">
        <f>TRUNC($E$25*M14,-1)</f>
        <v>55440</v>
      </c>
      <c r="J14" s="789"/>
      <c r="K14" s="65">
        <f>I14/($E$25-IF($E$18&gt;100000,$E$18-100000,0)-IF($E$19&gt;100000,$E$19-100000,0)-IF($E$20&gt;100000,$E$20-100000,0))</f>
        <v>3.4298448059928724E-2</v>
      </c>
      <c r="L14" s="65"/>
      <c r="M14" s="698">
        <f>IF(AND(D3&gt;=44197,D3&lt;=44561),6.86%/2,6.99%/2)</f>
        <v>3.4300000000000004E-2</v>
      </c>
      <c r="N14" t="s">
        <v>459</v>
      </c>
    </row>
    <row r="15" spans="1:21">
      <c r="A15" s="937"/>
      <c r="B15" s="970"/>
      <c r="C15" s="838"/>
      <c r="D15" s="839"/>
      <c r="E15" s="942"/>
      <c r="F15" s="943"/>
      <c r="G15" s="828" t="s">
        <v>36</v>
      </c>
      <c r="H15" s="830"/>
      <c r="I15" s="787">
        <f>TRUNC(I14*M15,-1)</f>
        <v>6380</v>
      </c>
      <c r="J15" s="789"/>
      <c r="K15" s="65">
        <f>I15/($E$25-IF($E$18&gt;100000,$E$18-100000,0)-IF($E$19&gt;100000,$E$19-100000,0)-IF($E$20&gt;100000,$E$20-100000,0))</f>
        <v>3.9470436259441783E-3</v>
      </c>
      <c r="L15" s="294">
        <f>I15/I14</f>
        <v>0.11507936507936507</v>
      </c>
      <c r="M15" s="299">
        <f>IF(AND(D3&gt;=44197,D3&lt;=44561),11.52%,12.27%)</f>
        <v>0.1152</v>
      </c>
      <c r="N15" t="s">
        <v>459</v>
      </c>
      <c r="P15" s="390">
        <f>SUM(K14:K15)</f>
        <v>3.82454916858729E-2</v>
      </c>
      <c r="U15" s="445">
        <v>2</v>
      </c>
    </row>
    <row r="16" spans="1:21">
      <c r="A16" s="937"/>
      <c r="B16" s="970"/>
      <c r="C16" s="838"/>
      <c r="D16" s="839"/>
      <c r="E16" s="942"/>
      <c r="F16" s="943"/>
      <c r="G16" s="849" t="s">
        <v>37</v>
      </c>
      <c r="H16" s="851"/>
      <c r="I16" s="787">
        <f>CHOOSE(T6,IF(L16&gt;=64,0,TRUNC($E$25*M16,-1)),0)</f>
        <v>12930</v>
      </c>
      <c r="J16" s="789"/>
      <c r="K16" s="65">
        <f>I16/($E$25-IF($E$18&gt;100000,$E$18-100000,0)-IF($E$19&gt;100000,$E$19-100000,0)-IF($E$20&gt;100000,$E$20-100000,0))</f>
        <v>7.9992592607301301E-3</v>
      </c>
      <c r="L16" s="617">
        <f>DATEDIF($G$6,B7,"y")</f>
        <v>25</v>
      </c>
      <c r="M16" s="366">
        <v>8.0000000000000002E-3</v>
      </c>
      <c r="N16" s="15" t="s">
        <v>1390</v>
      </c>
      <c r="P16" t="s">
        <v>1723</v>
      </c>
    </row>
    <row r="17" spans="1:21">
      <c r="A17" s="937"/>
      <c r="B17" s="979" t="s">
        <v>1265</v>
      </c>
      <c r="C17" s="980"/>
      <c r="D17" s="981"/>
      <c r="E17" s="942"/>
      <c r="F17" s="943"/>
      <c r="G17" s="828" t="s">
        <v>38</v>
      </c>
      <c r="H17" s="830"/>
      <c r="I17" s="787"/>
      <c r="J17" s="789"/>
      <c r="K17" s="293">
        <f>SUM(K13:K16)</f>
        <v>9.1239810964615586E-2</v>
      </c>
      <c r="M17" s="66" t="s">
        <v>593</v>
      </c>
      <c r="N17" s="389">
        <f>C28</f>
        <v>76192</v>
      </c>
    </row>
    <row r="18" spans="1:21">
      <c r="A18" s="937"/>
      <c r="B18" s="979" t="s">
        <v>1266</v>
      </c>
      <c r="C18" s="980"/>
      <c r="D18" s="981"/>
      <c r="E18" s="942"/>
      <c r="F18" s="943"/>
      <c r="G18" s="862" t="s">
        <v>43</v>
      </c>
      <c r="H18" s="967"/>
      <c r="I18" s="787"/>
      <c r="J18" s="789"/>
      <c r="M18" s="66" t="s">
        <v>460</v>
      </c>
      <c r="N18" s="389">
        <f>C29</f>
        <v>9524</v>
      </c>
    </row>
    <row r="19" spans="1:21">
      <c r="A19" s="938"/>
      <c r="B19" s="979" t="s">
        <v>1267</v>
      </c>
      <c r="C19" s="980"/>
      <c r="D19" s="981"/>
      <c r="E19" s="942"/>
      <c r="F19" s="943"/>
      <c r="G19" s="862" t="s">
        <v>44</v>
      </c>
      <c r="H19" s="967"/>
      <c r="I19" s="787"/>
      <c r="J19" s="789"/>
      <c r="M19" s="66" t="s">
        <v>63</v>
      </c>
      <c r="N19" s="389">
        <f>C29*J29</f>
        <v>76192</v>
      </c>
      <c r="P19" s="380">
        <f>365/12</f>
        <v>30.416666666666668</v>
      </c>
    </row>
    <row r="20" spans="1:21">
      <c r="A20" s="936" t="s">
        <v>1272</v>
      </c>
      <c r="B20" s="834" t="s">
        <v>1362</v>
      </c>
      <c r="C20" s="835"/>
      <c r="D20" s="836"/>
      <c r="E20" s="942">
        <f>TRUNC(IF(AND(U15=2,U21=1,OR(T27="",T27=0)),(T28-C26)*F28,(T27-C26)*F28),0)</f>
        <v>94864</v>
      </c>
      <c r="F20" s="943"/>
      <c r="G20" s="828" t="s">
        <v>41</v>
      </c>
      <c r="H20" s="830"/>
      <c r="I20" s="787"/>
      <c r="J20" s="789"/>
      <c r="M20" s="66" t="s">
        <v>1156</v>
      </c>
      <c r="N20" s="389">
        <f>TRUNC(N19*G29,-1)</f>
        <v>304760</v>
      </c>
      <c r="O20" t="s">
        <v>461</v>
      </c>
      <c r="P20" s="284">
        <f>P19/7</f>
        <v>4.3452380952380958</v>
      </c>
      <c r="Q20" t="s">
        <v>1154</v>
      </c>
    </row>
    <row r="21" spans="1:21" ht="16.5" customHeight="1">
      <c r="A21" s="937"/>
      <c r="B21" s="1009" t="s">
        <v>23</v>
      </c>
      <c r="C21" s="1010"/>
      <c r="D21" s="1011"/>
      <c r="E21" s="942">
        <f>I35</f>
        <v>15563.66633858268</v>
      </c>
      <c r="F21" s="943"/>
      <c r="G21" s="828"/>
      <c r="H21" s="830"/>
      <c r="I21" s="787"/>
      <c r="J21" s="789"/>
      <c r="M21" s="66" t="s">
        <v>1362</v>
      </c>
      <c r="N21" s="389">
        <f>E20</f>
        <v>94864</v>
      </c>
      <c r="P21" s="284"/>
      <c r="U21" s="298">
        <v>1</v>
      </c>
    </row>
    <row r="22" spans="1:21">
      <c r="A22" s="937"/>
      <c r="B22" s="1009" t="s">
        <v>1578</v>
      </c>
      <c r="C22" s="1010"/>
      <c r="D22" s="1011"/>
      <c r="E22" s="942">
        <f>I36</f>
        <v>0</v>
      </c>
      <c r="F22" s="943"/>
      <c r="G22" s="828" t="s">
        <v>40</v>
      </c>
      <c r="H22" s="830"/>
      <c r="I22" s="787"/>
      <c r="J22" s="789"/>
      <c r="M22" s="66" t="s">
        <v>22</v>
      </c>
      <c r="N22" s="388">
        <f>SUM(N20,E13)</f>
        <v>1505970</v>
      </c>
      <c r="O22" s="272">
        <f>SUM(E13:F23)</f>
        <v>1616397.6663385828</v>
      </c>
      <c r="P22" s="177"/>
    </row>
    <row r="23" spans="1:21">
      <c r="A23" s="937"/>
      <c r="B23" s="1009" t="s">
        <v>24</v>
      </c>
      <c r="C23" s="1010"/>
      <c r="D23" s="1011"/>
      <c r="E23" s="942">
        <f>I38</f>
        <v>0</v>
      </c>
      <c r="F23" s="943"/>
      <c r="G23" s="828"/>
      <c r="H23" s="842"/>
      <c r="I23" s="787"/>
      <c r="J23" s="789"/>
      <c r="M23" s="66" t="s">
        <v>1157</v>
      </c>
      <c r="N23" s="285">
        <v>1464500</v>
      </c>
      <c r="O23" s="272">
        <f>F28*A31</f>
        <v>1422963.7795275592</v>
      </c>
      <c r="P23" s="9">
        <f>N23-O23</f>
        <v>41536.220472440822</v>
      </c>
    </row>
    <row r="24" spans="1:21">
      <c r="A24" s="938"/>
      <c r="B24" s="970" t="s">
        <v>42</v>
      </c>
      <c r="C24" s="838"/>
      <c r="D24" s="839"/>
      <c r="E24" s="974">
        <v>2</v>
      </c>
      <c r="F24" s="975"/>
      <c r="G24" s="828" t="s">
        <v>25</v>
      </c>
      <c r="H24" s="842"/>
      <c r="I24" s="846">
        <f>CHOOSE(L2,IF(N29&lt;=10000000,VLOOKUP(N29/1000,간이세액표2021,A40+B40+2),VLOOKUP(N29/1000,간이세액표2021,A40+B40+2)+VLOOKUP(N29,근로세율,3)+(N29-VLOOKUP(N29,근로세율,4))*VLOOKUP(N29,근로세율,5)*VLOOKUP(N29,근로세율,6)),CHOOSE(O1,IF(C28&gt;O5,TRUNC((C28-O5)*A31*R3,-1),0),IF(C28&gt;P5,TRUNC((C28-P5)*A31*R3,-1),0)))</f>
        <v>0</v>
      </c>
      <c r="J24" s="848"/>
      <c r="M24" s="66" t="s">
        <v>1155</v>
      </c>
      <c r="N24" s="384">
        <f>I27-N23</f>
        <v>4419.666338582756</v>
      </c>
      <c r="P24" s="9"/>
    </row>
    <row r="25" spans="1:21" ht="17.25" thickBot="1">
      <c r="A25" s="802" t="s">
        <v>7</v>
      </c>
      <c r="B25" s="803"/>
      <c r="C25" s="803"/>
      <c r="D25" s="804"/>
      <c r="E25" s="805">
        <f>SUM(E13:F24)</f>
        <v>1616399.6663385828</v>
      </c>
      <c r="F25" s="806"/>
      <c r="G25" s="840" t="s">
        <v>35</v>
      </c>
      <c r="H25" s="842"/>
      <c r="I25" s="846">
        <f>CHOOSE(L2,TRUNC(I24*10%,-1),CHOOSE(O1,IF(F28&gt;O5,TRUNC((F28-O5)*R3*10%,-1)*A31,0),IF(F28&gt;P5,TRUNC((F28-P5)*A31*R3*10%,-1),0)))</f>
        <v>0</v>
      </c>
      <c r="J25" s="848"/>
      <c r="P25" s="236"/>
    </row>
    <row r="26" spans="1:21">
      <c r="A26" s="810" t="s">
        <v>1389</v>
      </c>
      <c r="B26" s="811"/>
      <c r="C26" s="1047">
        <v>0</v>
      </c>
      <c r="D26" s="1048"/>
      <c r="E26" s="1049"/>
      <c r="F26" s="446"/>
      <c r="G26" s="807" t="s">
        <v>15</v>
      </c>
      <c r="H26" s="809"/>
      <c r="I26" s="787">
        <f>SUM(I13:J25)</f>
        <v>147480</v>
      </c>
      <c r="J26" s="789"/>
      <c r="M26" s="66" t="s">
        <v>462</v>
      </c>
      <c r="N26" s="386">
        <f>E13/A31/J29</f>
        <v>10010.083333333334</v>
      </c>
      <c r="O26" s="387">
        <f>N26*A31*J29</f>
        <v>1201210</v>
      </c>
      <c r="P26" s="15" t="s">
        <v>1566</v>
      </c>
    </row>
    <row r="27" spans="1:21" ht="17.25" thickBot="1">
      <c r="A27" s="1030" t="s">
        <v>1255</v>
      </c>
      <c r="B27" s="1031"/>
      <c r="C27" s="1032"/>
      <c r="D27" s="1033"/>
      <c r="E27" s="1033"/>
      <c r="F27" s="1034"/>
      <c r="G27" s="817" t="s">
        <v>16</v>
      </c>
      <c r="H27" s="969"/>
      <c r="I27" s="1143">
        <f>E25-I26</f>
        <v>1468919.6663385828</v>
      </c>
      <c r="J27" s="1144"/>
      <c r="K27" s="15"/>
      <c r="P27" s="10"/>
      <c r="R27" t="s">
        <v>1572</v>
      </c>
      <c r="T27" s="508">
        <v>0</v>
      </c>
    </row>
    <row r="28" spans="1:21" ht="16.5" customHeight="1" outlineLevel="1" thickBot="1">
      <c r="A28" s="1017" t="s">
        <v>1455</v>
      </c>
      <c r="B28" s="1017"/>
      <c r="C28" s="1138">
        <f>J29*C29</f>
        <v>76192</v>
      </c>
      <c r="D28" s="1138"/>
      <c r="E28" s="1138"/>
      <c r="F28" s="267">
        <f>F29*J29</f>
        <v>94864.251968503944</v>
      </c>
      <c r="G28" s="440" t="s">
        <v>1153</v>
      </c>
      <c r="H28" s="985" t="s">
        <v>1158</v>
      </c>
      <c r="I28" s="984"/>
      <c r="J28" s="454">
        <f>(C31/J29)/K28</f>
        <v>3.6534246575342459</v>
      </c>
      <c r="K28" s="297">
        <f>(365/12/7)</f>
        <v>4.3452380952380958</v>
      </c>
      <c r="L28" s="673">
        <f>E13/(C31-F31-J31)</f>
        <v>9523.9643211100101</v>
      </c>
      <c r="N28" s="10"/>
      <c r="P28" s="236"/>
      <c r="R28" t="s">
        <v>1573</v>
      </c>
      <c r="T28" s="443">
        <f>IF(M7=1,1,M7/12)</f>
        <v>1</v>
      </c>
    </row>
    <row r="29" spans="1:21" ht="16.5" customHeight="1" outlineLevel="1" thickBot="1">
      <c r="A29" s="1021" t="s">
        <v>1456</v>
      </c>
      <c r="B29" s="1139"/>
      <c r="C29" s="1140">
        <v>9524</v>
      </c>
      <c r="D29" s="1141"/>
      <c r="E29" s="1142"/>
      <c r="F29" s="513">
        <f>SUM(E13:F19)/C31</f>
        <v>11858.031496062993</v>
      </c>
      <c r="G29" s="439">
        <f>CHOOSE(U10,CEILING((DAY(EOMONTH(D3,0))-MOD(8-WEEKDAY(D3),7))/7,1),(EOMONTH(D3,0)-EOMONTH(D3,-1))/7)</f>
        <v>4</v>
      </c>
      <c r="H29" s="963" t="s">
        <v>458</v>
      </c>
      <c r="I29" s="963"/>
      <c r="J29" s="8">
        <v>8</v>
      </c>
      <c r="M29" s="268" t="s">
        <v>1146</v>
      </c>
      <c r="N29" s="283">
        <f>N31-N30</f>
        <v>1616399.6663385828</v>
      </c>
    </row>
    <row r="30" spans="1:21" ht="17.25" thickBot="1">
      <c r="A30" s="963" t="s">
        <v>783</v>
      </c>
      <c r="B30" s="963"/>
      <c r="C30" s="1130" t="s">
        <v>686</v>
      </c>
      <c r="D30" s="1131"/>
      <c r="E30" s="1132"/>
      <c r="F30" s="776" t="s">
        <v>684</v>
      </c>
      <c r="G30" s="776"/>
      <c r="H30" s="776" t="s">
        <v>17</v>
      </c>
      <c r="I30" s="776"/>
      <c r="J30" s="505" t="s">
        <v>685</v>
      </c>
      <c r="M30" s="268" t="s">
        <v>1147</v>
      </c>
      <c r="N30" s="283">
        <f>MIN(IF(E17="",0,E17),100000)+MIN(IF(E18="",0,E18),200000)+MIN(IF(E19="",0,E19),100000)</f>
        <v>0</v>
      </c>
      <c r="R30" s="15" t="s">
        <v>1722</v>
      </c>
    </row>
    <row r="31" spans="1:21" ht="17.25" thickBot="1">
      <c r="A31" s="1133">
        <f>MIN(TRUNC(C31/J29,0),O34)</f>
        <v>15</v>
      </c>
      <c r="B31" s="1134"/>
      <c r="C31" s="1135">
        <v>127</v>
      </c>
      <c r="D31" s="1136"/>
      <c r="E31" s="1137"/>
      <c r="F31" s="781">
        <f>C31/J29-TRUNC(C31/J29,0)</f>
        <v>0.875</v>
      </c>
      <c r="G31" s="782"/>
      <c r="H31" s="1016">
        <v>0</v>
      </c>
      <c r="I31" s="1016"/>
      <c r="J31" s="507">
        <v>0</v>
      </c>
      <c r="M31" s="268" t="s">
        <v>1148</v>
      </c>
      <c r="N31" s="283">
        <f>E25</f>
        <v>1616399.6663385828</v>
      </c>
    </row>
    <row r="32" spans="1:21" ht="8.25" customHeight="1" thickBot="1">
      <c r="A32" s="339"/>
      <c r="B32" s="339"/>
      <c r="C32" s="339"/>
      <c r="D32" s="339"/>
      <c r="E32" s="339"/>
      <c r="F32" s="339"/>
      <c r="G32" s="339"/>
      <c r="H32" s="339"/>
      <c r="I32" s="339"/>
      <c r="J32" s="340"/>
      <c r="M32" s="16"/>
    </row>
    <row r="33" spans="1:16" ht="17.25" thickBot="1">
      <c r="A33" s="919" t="s">
        <v>18</v>
      </c>
      <c r="B33" s="920"/>
      <c r="C33" s="920"/>
      <c r="D33" s="920"/>
      <c r="E33" s="920"/>
      <c r="F33" s="920"/>
      <c r="G33" s="920"/>
      <c r="H33" s="920"/>
      <c r="I33" s="920"/>
      <c r="J33" s="920"/>
    </row>
    <row r="34" spans="1:16">
      <c r="A34" s="766" t="s">
        <v>20</v>
      </c>
      <c r="B34" s="766"/>
      <c r="C34" s="766" t="s">
        <v>21</v>
      </c>
      <c r="D34" s="766"/>
      <c r="E34" s="766"/>
      <c r="F34" s="766"/>
      <c r="G34" s="766"/>
      <c r="H34" s="766"/>
      <c r="I34" s="766" t="s">
        <v>22</v>
      </c>
      <c r="J34" s="766"/>
      <c r="N34" s="472" t="s">
        <v>1622</v>
      </c>
      <c r="O34" s="471">
        <f>M1-L1+1</f>
        <v>30</v>
      </c>
      <c r="P34" s="512">
        <f>O34/(EOMONTH($D$3,0)-EOMONTH($D$3,-1))</f>
        <v>1</v>
      </c>
    </row>
    <row r="35" spans="1:16">
      <c r="A35" s="910" t="s">
        <v>23</v>
      </c>
      <c r="B35" s="910"/>
      <c r="C35" s="768">
        <f>F31</f>
        <v>0.875</v>
      </c>
      <c r="D35" s="769"/>
      <c r="E35" s="6" t="s">
        <v>48</v>
      </c>
      <c r="F35" s="23">
        <f>F29</f>
        <v>11858.031496062993</v>
      </c>
      <c r="G35" s="6" t="s">
        <v>48</v>
      </c>
      <c r="H35" s="450">
        <f>CHOOSE(U15,1,1.5)</f>
        <v>1.5</v>
      </c>
      <c r="I35" s="770">
        <f>C35*F35*H35</f>
        <v>15563.66633858268</v>
      </c>
      <c r="J35" s="770"/>
      <c r="M35" s="420" t="s">
        <v>1628</v>
      </c>
      <c r="N35" s="473" t="s">
        <v>1623</v>
      </c>
      <c r="O35" s="310">
        <f>IF(OR($L$1&gt;EOMONTH($D$3,-1)+1,$M$1&lt;EOMONTH($D$3,0)),CEILING((O34-MOD(8-WEEKDAY($L$1),7))/7,1),CEILING((DAY(EOMONTH($D$3,0))-MOD(8-WEEKDAY($D$3),7))/7,1))</f>
        <v>4</v>
      </c>
      <c r="P35" s="474" t="s">
        <v>1627</v>
      </c>
    </row>
    <row r="36" spans="1:16" ht="17.25" thickBot="1">
      <c r="A36" s="906" t="s">
        <v>1018</v>
      </c>
      <c r="B36" s="906"/>
      <c r="C36" s="758">
        <f>CHOOSE(U15,0,H31)</f>
        <v>0</v>
      </c>
      <c r="D36" s="759"/>
      <c r="E36" s="11" t="s">
        <v>48</v>
      </c>
      <c r="F36" s="24">
        <f>F29</f>
        <v>11858.031496062993</v>
      </c>
      <c r="G36" s="11" t="s">
        <v>48</v>
      </c>
      <c r="H36" s="451">
        <f>CHOOSE(U15,0,0.5)</f>
        <v>0.5</v>
      </c>
      <c r="I36" s="728">
        <f>C36*F36*H36</f>
        <v>0</v>
      </c>
      <c r="J36" s="728"/>
      <c r="M36" s="476">
        <f>SUM(O35,P36)</f>
        <v>8</v>
      </c>
      <c r="N36" s="473" t="s">
        <v>1624</v>
      </c>
      <c r="O36" s="477">
        <f>IF(OR($L$1&gt;EOMONTH($D$3,-1)+1,$M$1&lt;EOMONTH($D$3,0)),NETWORKDAYS($L$1,$M$1),NETWORKDAYS(EOMONTH($D$3,-1)+1,EOMONTH($D$3,0)))</f>
        <v>22</v>
      </c>
      <c r="P36" s="475">
        <f>O34-O36-O35</f>
        <v>4</v>
      </c>
    </row>
    <row r="37" spans="1:16" ht="17.25" thickBot="1">
      <c r="A37" s="1129" t="s">
        <v>65</v>
      </c>
      <c r="B37" s="1059"/>
      <c r="C37" s="761">
        <f>J31-C38</f>
        <v>0</v>
      </c>
      <c r="D37" s="762"/>
      <c r="E37" s="13" t="s">
        <v>48</v>
      </c>
      <c r="F37" s="25">
        <f>F29</f>
        <v>11858.031496062993</v>
      </c>
      <c r="G37" s="13" t="s">
        <v>48</v>
      </c>
      <c r="H37" s="452">
        <f>CHOOSE(U15,1,1.5)</f>
        <v>1.5</v>
      </c>
      <c r="I37" s="763">
        <f>C37*F37*H37</f>
        <v>0</v>
      </c>
      <c r="J37" s="763"/>
      <c r="N37" s="616" t="s">
        <v>1625</v>
      </c>
      <c r="O37" s="490">
        <f>VLOOKUP(EOMONTH(D3,-1)+1,주40시간,6)</f>
        <v>0</v>
      </c>
    </row>
    <row r="38" spans="1:16">
      <c r="A38" s="1126" t="s">
        <v>66</v>
      </c>
      <c r="B38" s="1037"/>
      <c r="C38" s="1127">
        <v>0</v>
      </c>
      <c r="D38" s="1128"/>
      <c r="E38" s="13" t="s">
        <v>48</v>
      </c>
      <c r="F38" s="25">
        <f>F29</f>
        <v>11858.031496062993</v>
      </c>
      <c r="G38" s="13" t="s">
        <v>48</v>
      </c>
      <c r="H38" s="452">
        <f>CHOOSE(U15,1,2)</f>
        <v>2</v>
      </c>
      <c r="I38" s="763">
        <f>C38*F38*H38</f>
        <v>0</v>
      </c>
      <c r="J38" s="763"/>
      <c r="N38" s="473" t="s">
        <v>1626</v>
      </c>
      <c r="O38" s="481">
        <f>O36-O37</f>
        <v>22</v>
      </c>
    </row>
    <row r="39" spans="1:16">
      <c r="A39" s="910" t="s">
        <v>25</v>
      </c>
      <c r="B39" s="910"/>
      <c r="C39" s="1055" t="str">
        <f>CHOOSE(O1,"매일지급 (지급일 금액) 근로소득공제 187,030원 초과분 2.7%의 누적금액","일정기간 지급 (지급일 금액)  근로소득공제 15만원 초과분 2.7%의 누적금액")</f>
        <v>매일지급 (지급일 금액) 근로소득공제 187,030원 초과분 2.7%의 누적금액</v>
      </c>
      <c r="D39" s="1055"/>
      <c r="E39" s="1055"/>
      <c r="F39" s="1055"/>
      <c r="G39" s="1055"/>
      <c r="H39" s="1055"/>
      <c r="I39" s="733">
        <f>I24</f>
        <v>0</v>
      </c>
      <c r="J39" s="735"/>
      <c r="M39" s="16"/>
      <c r="N39" s="473" t="s">
        <v>1629</v>
      </c>
      <c r="O39" s="481">
        <f>O38+P36</f>
        <v>26</v>
      </c>
    </row>
    <row r="40" spans="1:16">
      <c r="A40" s="434">
        <v>1</v>
      </c>
      <c r="B40" s="295">
        <v>0</v>
      </c>
      <c r="C40" s="958" t="s">
        <v>50</v>
      </c>
      <c r="D40" s="959"/>
      <c r="E40" s="959"/>
      <c r="F40" s="959"/>
      <c r="G40" s="959"/>
      <c r="H40" s="959"/>
      <c r="I40" s="739">
        <f>I25</f>
        <v>0</v>
      </c>
      <c r="J40" s="741"/>
      <c r="M40" s="16"/>
    </row>
    <row r="41" spans="1:16">
      <c r="A41" s="917" t="s">
        <v>26</v>
      </c>
      <c r="B41" s="917"/>
      <c r="C41" s="1057" t="str">
        <f>"상기 급여의 과세급여 "&amp;TEXT(E26,"\#,##0원")&amp;" × "&amp;M13*100&amp;"%"</f>
        <v>상기 급여의 과세급여 ₩0원 × 4.5%</v>
      </c>
      <c r="D41" s="1057"/>
      <c r="E41" s="1057"/>
      <c r="F41" s="1057"/>
      <c r="G41" s="1057"/>
      <c r="H41" s="1057"/>
      <c r="I41" s="746">
        <f>I13</f>
        <v>72730</v>
      </c>
      <c r="J41" s="746"/>
      <c r="M41" s="16"/>
    </row>
    <row r="42" spans="1:16">
      <c r="A42" s="906" t="s">
        <v>27</v>
      </c>
      <c r="B42" s="906"/>
      <c r="C42" s="1054" t="str">
        <f>CHOOSE(T6,"상기 급여(임금) 과세총액기준 "&amp;TEXT(E26,"\#,##0원")&amp;"× "&amp;M16*100&amp;"%","고용보험 미대상")</f>
        <v>상기 급여(임금) 과세총액기준 ₩0원× 0.8%</v>
      </c>
      <c r="D42" s="1054"/>
      <c r="E42" s="1054"/>
      <c r="F42" s="1054"/>
      <c r="G42" s="1054"/>
      <c r="H42" s="1054"/>
      <c r="I42" s="728">
        <f>I16</f>
        <v>12930</v>
      </c>
      <c r="J42" s="728"/>
      <c r="M42" t="s">
        <v>1656</v>
      </c>
    </row>
    <row r="43" spans="1:16">
      <c r="A43" s="906" t="s">
        <v>28</v>
      </c>
      <c r="B43" s="906"/>
      <c r="C43" s="1054" t="str">
        <f>"상기 급여의 과세급여 "&amp;TEXT(E26,"\#,##0원")&amp;" × "&amp;M14*100&amp;"%"</f>
        <v>상기 급여의 과세급여 ₩0원 × 3.43%</v>
      </c>
      <c r="D43" s="1054"/>
      <c r="E43" s="1054"/>
      <c r="F43" s="1054"/>
      <c r="G43" s="1054"/>
      <c r="H43" s="1054"/>
      <c r="I43" s="728">
        <f>SUM(I14,I18)</f>
        <v>55440</v>
      </c>
      <c r="J43" s="728"/>
    </row>
    <row r="44" spans="1:16">
      <c r="A44" s="906" t="s">
        <v>29</v>
      </c>
      <c r="B44" s="906"/>
      <c r="C44" s="1054" t="str">
        <f>"상기 건강보험료 "&amp;TEXT(I43,"\#,##0원")&amp;"×"&amp;M15*100&amp;"%"</f>
        <v>상기 건강보험료 ₩55,440원×11.52%</v>
      </c>
      <c r="D44" s="1054"/>
      <c r="E44" s="1054"/>
      <c r="F44" s="1054"/>
      <c r="G44" s="1054"/>
      <c r="H44" s="1054"/>
      <c r="I44" s="728">
        <f>SUM(I15,I19)</f>
        <v>6380</v>
      </c>
      <c r="J44" s="728"/>
    </row>
    <row r="45" spans="1:16">
      <c r="A45" s="902"/>
      <c r="B45" s="902"/>
      <c r="C45" s="953"/>
      <c r="D45" s="953"/>
      <c r="E45" s="953"/>
      <c r="F45" s="953"/>
      <c r="G45" s="953"/>
      <c r="H45" s="953"/>
      <c r="I45" s="723"/>
      <c r="J45" s="723"/>
      <c r="M45" s="16"/>
    </row>
    <row r="46" spans="1:16">
      <c r="A46" s="19" t="s">
        <v>31</v>
      </c>
      <c r="J46" s="22" t="s">
        <v>653</v>
      </c>
      <c r="M46" s="16"/>
    </row>
    <row r="47" spans="1:16">
      <c r="J47" s="4" t="s">
        <v>30</v>
      </c>
    </row>
    <row r="49" spans="4:13">
      <c r="D49" t="s">
        <v>1150</v>
      </c>
    </row>
    <row r="50" spans="4:13">
      <c r="D50" t="s">
        <v>1152</v>
      </c>
      <c r="M50" s="17"/>
    </row>
    <row r="51" spans="4:13">
      <c r="D51" t="s">
        <v>1151</v>
      </c>
    </row>
    <row r="57" spans="4:13">
      <c r="M57" s="17"/>
    </row>
    <row r="65" spans="1:14">
      <c r="M65" s="17"/>
    </row>
    <row r="67" spans="1:14">
      <c r="A67" s="18"/>
      <c r="M67" s="18"/>
    </row>
    <row r="68" spans="1:14">
      <c r="A68" s="18"/>
      <c r="M68" s="18"/>
    </row>
    <row r="69" spans="1:14">
      <c r="A69" s="18"/>
    </row>
    <row r="71" spans="1:14">
      <c r="A71" s="18"/>
    </row>
    <row r="76" spans="1:14">
      <c r="N76" s="18"/>
    </row>
    <row r="77" spans="1:14">
      <c r="N77" s="18"/>
    </row>
    <row r="78" spans="1:14">
      <c r="N78" s="18"/>
    </row>
    <row r="79" spans="1:14">
      <c r="N79" s="18"/>
    </row>
    <row r="81" spans="14:14">
      <c r="N81" s="18"/>
    </row>
    <row r="87" spans="14:14">
      <c r="N87" s="18"/>
    </row>
    <row r="88" spans="14:14">
      <c r="N88" s="18"/>
    </row>
    <row r="89" spans="14:14">
      <c r="N89" s="18"/>
    </row>
    <row r="90" spans="14:14">
      <c r="N90" s="18"/>
    </row>
    <row r="92" spans="14:14">
      <c r="N92" s="18"/>
    </row>
    <row r="94" spans="14:14">
      <c r="N94" s="18"/>
    </row>
  </sheetData>
  <mergeCells count="138">
    <mergeCell ref="D3:F3"/>
    <mergeCell ref="B5:F5"/>
    <mergeCell ref="G5:H5"/>
    <mergeCell ref="I5:J5"/>
    <mergeCell ref="B6:D6"/>
    <mergeCell ref="E6:F6"/>
    <mergeCell ref="G6:H6"/>
    <mergeCell ref="I6:J6"/>
    <mergeCell ref="B9:E9"/>
    <mergeCell ref="F9:G9"/>
    <mergeCell ref="H9:J9"/>
    <mergeCell ref="A10:J10"/>
    <mergeCell ref="A11:F11"/>
    <mergeCell ref="G11:J11"/>
    <mergeCell ref="B7:D7"/>
    <mergeCell ref="E7:F7"/>
    <mergeCell ref="G7:H7"/>
    <mergeCell ref="I7:J7"/>
    <mergeCell ref="B8:D8"/>
    <mergeCell ref="E8:F8"/>
    <mergeCell ref="G8:H8"/>
    <mergeCell ref="I8:J8"/>
    <mergeCell ref="E14:F14"/>
    <mergeCell ref="G14:H14"/>
    <mergeCell ref="I14:J14"/>
    <mergeCell ref="B15:D15"/>
    <mergeCell ref="E15:F15"/>
    <mergeCell ref="G15:H15"/>
    <mergeCell ref="I15:J15"/>
    <mergeCell ref="A12:D12"/>
    <mergeCell ref="E12:F12"/>
    <mergeCell ref="G12:H12"/>
    <mergeCell ref="I12:J12"/>
    <mergeCell ref="A13:A19"/>
    <mergeCell ref="B13:D13"/>
    <mergeCell ref="E13:F13"/>
    <mergeCell ref="G13:H13"/>
    <mergeCell ref="I13:J13"/>
    <mergeCell ref="B14:D14"/>
    <mergeCell ref="B18:D18"/>
    <mergeCell ref="E18:F18"/>
    <mergeCell ref="G18:H18"/>
    <mergeCell ref="I18:J18"/>
    <mergeCell ref="B19:D19"/>
    <mergeCell ref="E19:F19"/>
    <mergeCell ref="G19:H19"/>
    <mergeCell ref="I19:J19"/>
    <mergeCell ref="B16:D16"/>
    <mergeCell ref="E16:F16"/>
    <mergeCell ref="G16:H16"/>
    <mergeCell ref="I16:J16"/>
    <mergeCell ref="B17:D17"/>
    <mergeCell ref="E17:F17"/>
    <mergeCell ref="G17:H17"/>
    <mergeCell ref="I17:J17"/>
    <mergeCell ref="E22:F22"/>
    <mergeCell ref="G22:H22"/>
    <mergeCell ref="I22:J22"/>
    <mergeCell ref="B23:D23"/>
    <mergeCell ref="E23:F23"/>
    <mergeCell ref="G23:H23"/>
    <mergeCell ref="I23:J23"/>
    <mergeCell ref="A20:A24"/>
    <mergeCell ref="B20:D20"/>
    <mergeCell ref="E20:F20"/>
    <mergeCell ref="G20:H20"/>
    <mergeCell ref="I20:J20"/>
    <mergeCell ref="B21:D21"/>
    <mergeCell ref="E21:F21"/>
    <mergeCell ref="G21:H21"/>
    <mergeCell ref="I21:J21"/>
    <mergeCell ref="B22:D22"/>
    <mergeCell ref="A26:B26"/>
    <mergeCell ref="C26:E26"/>
    <mergeCell ref="G26:H26"/>
    <mergeCell ref="I26:J26"/>
    <mergeCell ref="A27:B27"/>
    <mergeCell ref="C27:F27"/>
    <mergeCell ref="G27:H27"/>
    <mergeCell ref="I27:J27"/>
    <mergeCell ref="B24:D24"/>
    <mergeCell ref="E24:F24"/>
    <mergeCell ref="G24:H24"/>
    <mergeCell ref="I24:J24"/>
    <mergeCell ref="A25:D25"/>
    <mergeCell ref="E25:F25"/>
    <mergeCell ref="G25:H25"/>
    <mergeCell ref="I25:J25"/>
    <mergeCell ref="A30:B30"/>
    <mergeCell ref="C30:E30"/>
    <mergeCell ref="F30:G30"/>
    <mergeCell ref="H30:I30"/>
    <mergeCell ref="A31:B31"/>
    <mergeCell ref="C31:E31"/>
    <mergeCell ref="F31:G31"/>
    <mergeCell ref="H31:I31"/>
    <mergeCell ref="A28:B28"/>
    <mergeCell ref="C28:E28"/>
    <mergeCell ref="H28:I28"/>
    <mergeCell ref="A29:B29"/>
    <mergeCell ref="C29:E29"/>
    <mergeCell ref="H29:I29"/>
    <mergeCell ref="A36:B36"/>
    <mergeCell ref="C36:D36"/>
    <mergeCell ref="I36:J36"/>
    <mergeCell ref="A37:B37"/>
    <mergeCell ref="C37:D37"/>
    <mergeCell ref="I37:J37"/>
    <mergeCell ref="A33:J33"/>
    <mergeCell ref="A34:B34"/>
    <mergeCell ref="C34:H34"/>
    <mergeCell ref="I34:J34"/>
    <mergeCell ref="A35:B35"/>
    <mergeCell ref="C35:D35"/>
    <mergeCell ref="I35:J35"/>
    <mergeCell ref="C40:H40"/>
    <mergeCell ref="I40:J40"/>
    <mergeCell ref="A41:B41"/>
    <mergeCell ref="C41:H41"/>
    <mergeCell ref="I41:J41"/>
    <mergeCell ref="A42:B42"/>
    <mergeCell ref="C42:H42"/>
    <mergeCell ref="I42:J42"/>
    <mergeCell ref="A38:B38"/>
    <mergeCell ref="C38:D38"/>
    <mergeCell ref="I38:J38"/>
    <mergeCell ref="A39:B39"/>
    <mergeCell ref="C39:H39"/>
    <mergeCell ref="I39:J39"/>
    <mergeCell ref="A45:B45"/>
    <mergeCell ref="C45:H45"/>
    <mergeCell ref="I45:J45"/>
    <mergeCell ref="A43:B43"/>
    <mergeCell ref="C43:H43"/>
    <mergeCell ref="I43:J43"/>
    <mergeCell ref="A44:B44"/>
    <mergeCell ref="C44:H44"/>
    <mergeCell ref="I44:J44"/>
  </mergeCells>
  <phoneticPr fontId="2" type="noConversion"/>
  <conditionalFormatting sqref="F31:G31">
    <cfRule type="cellIs" dxfId="17" priority="13" operator="greaterThan">
      <formula>52</formula>
    </cfRule>
  </conditionalFormatting>
  <conditionalFormatting sqref="C31:E31">
    <cfRule type="cellIs" dxfId="16" priority="12" operator="greaterThan">
      <formula>261</formula>
    </cfRule>
  </conditionalFormatting>
  <conditionalFormatting sqref="L13">
    <cfRule type="cellIs" dxfId="15" priority="11" operator="greaterThan">
      <formula>59</formula>
    </cfRule>
  </conditionalFormatting>
  <conditionalFormatting sqref="L16">
    <cfRule type="cellIs" dxfId="14" priority="10" operator="greaterThan">
      <formula>64</formula>
    </cfRule>
  </conditionalFormatting>
  <conditionalFormatting sqref="C29:E29">
    <cfRule type="cellIs" dxfId="13" priority="9" operator="lessThan">
      <formula>9160</formula>
    </cfRule>
  </conditionalFormatting>
  <conditionalFormatting sqref="F29">
    <cfRule type="cellIs" dxfId="12" priority="8" operator="equal">
      <formula>9160</formula>
    </cfRule>
  </conditionalFormatting>
  <conditionalFormatting sqref="B8:D8">
    <cfRule type="cellIs" dxfId="11" priority="4" operator="lessThan">
      <formula>$B$7</formula>
    </cfRule>
  </conditionalFormatting>
  <conditionalFormatting sqref="C26:E26">
    <cfRule type="cellIs" dxfId="10" priority="2" operator="lessThan">
      <formula>0</formula>
    </cfRule>
  </conditionalFormatting>
  <conditionalFormatting sqref="C35:D38">
    <cfRule type="cellIs" dxfId="9" priority="1" operator="lessThan">
      <formula>0</formula>
    </cfRule>
  </conditionalFormatting>
  <dataValidations count="8"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9E67DF38-FD31-4B0A-AEAA-3657B2F454FB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1DDADBF4-B455-42A6-905E-F09A4B4F0482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J29" xr:uid="{D643DEBB-91DB-4C3A-906F-B95F05794D01}"/>
    <dataValidation allowBlank="1" showInputMessage="1" showErrorMessage="1" promptTitle="주40시간 기준" prompt="주12시간 연장근로 초과 금지_x000a_225.952381시간 초과 금지?_x000a_261시간 초과 금지 ?" sqref="C31:E31" xr:uid="{46D01459-1BDE-4F12-8AE0-AB575C9A14C2}"/>
    <dataValidation allowBlank="1" showInputMessage="1" showErrorMessage="1" promptTitle="주40시간기준" prompt="52시간 초과금지_x000a_근로기준법 제53조(연장 근로의 제한)" sqref="F31:G31" xr:uid="{C026839C-8A5A-460D-A327-8272E88821F1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63DCD190-0000-4F4C-B5DD-CADDB94D3884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8" xr:uid="{0C89BD1B-7FA6-4DBC-AA3A-5A8E7454667D}"/>
    <dataValidation allowBlank="1" showInputMessage="1" showErrorMessage="1" promptTitle="귀속월" prompt="귀속월의 실제 근무일수 기재" sqref="A31:B31" xr:uid="{3E683A1D-A344-4FE7-96A0-EE95194A767B}"/>
  </dataValidations>
  <hyperlinks>
    <hyperlink ref="A29:B29" r:id="rId1" display="기본시간급 | 시급(주휴포함)" xr:uid="{87383929-B866-4A5D-8DD7-E25F06825BDA}"/>
    <hyperlink ref="A28:B28" r:id="rId2" display="통상시급" xr:uid="{F6AB75E2-5F46-4433-8573-81DF83B64D32}"/>
    <hyperlink ref="A33:J33" r:id="rId3" display="계산 방법" xr:uid="{562C1C55-7FD5-475D-BA97-73262F64C219}"/>
    <hyperlink ref="G16:H16" r:id="rId4" display="고용보험료" xr:uid="{710FD1DC-BA02-4E99-B0B9-09E956646E15}"/>
    <hyperlink ref="M16" r:id="rId5" display="https://blog.naver.com/hope-pys/222547604214" xr:uid="{5590870F-D41E-4510-8435-C11DFB41D34E}"/>
    <hyperlink ref="L3" r:id="rId6" xr:uid="{BD4F5AA0-0220-465F-BF61-CD1A6C8B0BFE}"/>
    <hyperlink ref="N16" r:id="rId7" xr:uid="{641335C9-5728-4D78-9E2C-3DC5BE60F3E7}"/>
    <hyperlink ref="M6" r:id="rId8" xr:uid="{45926744-0AAB-463F-AF4D-96C9DC905203}"/>
    <hyperlink ref="P26" location="최저임금!A1" display="최저임금은" xr:uid="{541639F8-F3B4-44FB-8EC9-503B8BAB2959}"/>
    <hyperlink ref="L10" r:id="rId9" xr:uid="{BA059258-4328-49BE-A9F0-3EBF0BB6701F}"/>
    <hyperlink ref="L9" r:id="rId10" display="상시근로자 5인이상 연차수당 " xr:uid="{DD45AFA6-D9B5-4535-BBE0-67638CFFDCDA}"/>
    <hyperlink ref="B14:D14" r:id="rId11" display="★주휴수당★ (별도표기)" xr:uid="{F2830F7C-2667-4B9A-B596-5CA376801E17}"/>
    <hyperlink ref="B20:D20" r:id="rId12" display="연차휴가수당" xr:uid="{6ED4014D-64B5-4118-AF2F-E90BF154B3E8}"/>
    <hyperlink ref="R30" r:id="rId13" display="1년 계약직 연차 11일 (대법원2021다227100)" xr:uid="{3F30A67C-77A5-4274-ADF7-2A836EC28C05}"/>
    <hyperlink ref="N37" r:id="rId14" xr:uid="{C89705B1-85E5-4555-8880-19BE863E9062}"/>
    <hyperlink ref="L16" r:id="rId15" display="https://cafe.daum.net/transtax/FWkz/224" xr:uid="{7AF01FB4-129F-45B5-AB60-B0564D633E5B}"/>
    <hyperlink ref="N8" r:id="rId16" xr:uid="{16AAA240-251D-465B-96A3-601B1317332F}"/>
    <hyperlink ref="G12:H12" r:id="rId17" display="공제 항목" xr:uid="{6B86A4A1-4DBC-4203-AF69-D99B13627FEE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portrait" verticalDpi="0" r:id="rId18"/>
  <drawing r:id="rId19"/>
  <legacyDrawing r:id="rId2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4913" r:id="rId21" name="Group Box 1">
              <controlPr defaultSize="0" autoFill="0" autoPict="0">
                <anchor moveWithCells="1">
                  <from>
                    <xdr:col>14</xdr:col>
                    <xdr:colOff>0</xdr:colOff>
                    <xdr:row>2</xdr:row>
                    <xdr:rowOff>0</xdr:rowOff>
                  </from>
                  <to>
                    <xdr:col>16</xdr:col>
                    <xdr:colOff>590550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4" r:id="rId22" name="Option Button 2">
              <controlPr defaultSize="0" autoFill="0" autoLine="0" autoPict="0">
                <anchor moveWithCells="1">
                  <from>
                    <xdr:col>14</xdr:col>
                    <xdr:colOff>76200</xdr:colOff>
                    <xdr:row>2</xdr:row>
                    <xdr:rowOff>104775</xdr:rowOff>
                  </from>
                  <to>
                    <xdr:col>14</xdr:col>
                    <xdr:colOff>885825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5" r:id="rId23" name="Option Button 3">
              <controlPr defaultSize="0" autoFill="0" autoLine="0" autoPict="0">
                <anchor moveWithCells="1">
                  <from>
                    <xdr:col>15</xdr:col>
                    <xdr:colOff>219075</xdr:colOff>
                    <xdr:row>2</xdr:row>
                    <xdr:rowOff>104775</xdr:rowOff>
                  </from>
                  <to>
                    <xdr:col>16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6" r:id="rId24" name="Group Box 4">
              <controlPr defaultSize="0" autoFill="0" autoPict="0">
                <anchor moveWithCells="1">
                  <from>
                    <xdr:col>18</xdr:col>
                    <xdr:colOff>257175</xdr:colOff>
                    <xdr:row>1</xdr:row>
                    <xdr:rowOff>9525</xdr:rowOff>
                  </from>
                  <to>
                    <xdr:col>22</xdr:col>
                    <xdr:colOff>66675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7" r:id="rId25" name="Option Button 5">
              <controlPr defaultSize="0" autoFill="0" autoLine="0" autoPict="0">
                <anchor moveWithCells="1">
                  <from>
                    <xdr:col>18</xdr:col>
                    <xdr:colOff>381000</xdr:colOff>
                    <xdr:row>2</xdr:row>
                    <xdr:rowOff>133350</xdr:rowOff>
                  </from>
                  <to>
                    <xdr:col>19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8" r:id="rId26" name="Option Button 6">
              <controlPr defaultSize="0" autoFill="0" autoLine="0" autoPict="0">
                <anchor moveWithCells="1">
                  <from>
                    <xdr:col>20</xdr:col>
                    <xdr:colOff>190500</xdr:colOff>
                    <xdr:row>2</xdr:row>
                    <xdr:rowOff>161925</xdr:rowOff>
                  </from>
                  <to>
                    <xdr:col>21</xdr:col>
                    <xdr:colOff>533400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9" r:id="rId27" name="Group Box 7">
              <controlPr defaultSize="0" autoFill="0" autoPict="0">
                <anchor moveWithCells="1">
                  <from>
                    <xdr:col>0</xdr:col>
                    <xdr:colOff>76200</xdr:colOff>
                    <xdr:row>1</xdr:row>
                    <xdr:rowOff>28575</xdr:rowOff>
                  </from>
                  <to>
                    <xdr:col>3</xdr:col>
                    <xdr:colOff>57150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0" r:id="rId28" name="Option Button 8">
              <controlPr defaultSize="0" autoFill="0" autoLine="0" autoPict="0">
                <anchor moveWithCells="1">
                  <from>
                    <xdr:col>0</xdr:col>
                    <xdr:colOff>142875</xdr:colOff>
                    <xdr:row>2</xdr:row>
                    <xdr:rowOff>57150</xdr:rowOff>
                  </from>
                  <to>
                    <xdr:col>1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1" r:id="rId29" name="Option Button 9">
              <controlPr defaultSize="0" autoFill="0" autoLine="0" autoPict="0">
                <anchor moveWithCells="1">
                  <from>
                    <xdr:col>1</xdr:col>
                    <xdr:colOff>304800</xdr:colOff>
                    <xdr:row>2</xdr:row>
                    <xdr:rowOff>66675</xdr:rowOff>
                  </from>
                  <to>
                    <xdr:col>2</xdr:col>
                    <xdr:colOff>257175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2" r:id="rId30" name="Group Box 10">
              <controlPr defaultSize="0" autoFill="0" autoPict="0">
                <anchor moveWithCells="1">
                  <from>
                    <xdr:col>16</xdr:col>
                    <xdr:colOff>542925</xdr:colOff>
                    <xdr:row>11</xdr:row>
                    <xdr:rowOff>57150</xdr:rowOff>
                  </from>
                  <to>
                    <xdr:col>19</xdr:col>
                    <xdr:colOff>609600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3" r:id="rId31" name="Group Box 11">
              <controlPr defaultSize="0" autoFill="0" autoPict="0">
                <anchor moveWithCells="1">
                  <from>
                    <xdr:col>16</xdr:col>
                    <xdr:colOff>561975</xdr:colOff>
                    <xdr:row>17</xdr:row>
                    <xdr:rowOff>133350</xdr:rowOff>
                  </from>
                  <to>
                    <xdr:col>19</xdr:col>
                    <xdr:colOff>600075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4" r:id="rId32" name="Option Button 12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85725</xdr:rowOff>
                  </from>
                  <to>
                    <xdr:col>17</xdr:col>
                    <xdr:colOff>800100</xdr:colOff>
                    <xdr:row>14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5" r:id="rId33" name="Option Button 13">
              <controlPr defaultSize="0" autoFill="0" autoLine="0" autoPict="0">
                <anchor moveWithCells="1">
                  <from>
                    <xdr:col>18</xdr:col>
                    <xdr:colOff>352425</xdr:colOff>
                    <xdr:row>13</xdr:row>
                    <xdr:rowOff>95250</xdr:rowOff>
                  </from>
                  <to>
                    <xdr:col>19</xdr:col>
                    <xdr:colOff>180975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6" r:id="rId34" name="Option Button 14">
              <controlPr defaultSize="0" autoFill="0" autoLine="0" autoPict="0">
                <anchor moveWithCells="1">
                  <from>
                    <xdr:col>16</xdr:col>
                    <xdr:colOff>657225</xdr:colOff>
                    <xdr:row>19</xdr:row>
                    <xdr:rowOff>161925</xdr:rowOff>
                  </from>
                  <to>
                    <xdr:col>17</xdr:col>
                    <xdr:colOff>800100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7" r:id="rId35" name="Option Button 15">
              <controlPr defaultSize="0" autoFill="0" autoLine="0" autoPict="0">
                <anchor moveWithCells="1">
                  <from>
                    <xdr:col>18</xdr:col>
                    <xdr:colOff>428625</xdr:colOff>
                    <xdr:row>19</xdr:row>
                    <xdr:rowOff>180975</xdr:rowOff>
                  </from>
                  <to>
                    <xdr:col>19</xdr:col>
                    <xdr:colOff>219075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8" r:id="rId36" name="Group Box 16">
              <controlPr defaultSize="0" autoFill="0" autoPict="0">
                <anchor moveWithCells="1">
                  <from>
                    <xdr:col>16</xdr:col>
                    <xdr:colOff>542925</xdr:colOff>
                    <xdr:row>7</xdr:row>
                    <xdr:rowOff>66675</xdr:rowOff>
                  </from>
                  <to>
                    <xdr:col>19</xdr:col>
                    <xdr:colOff>609600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9" r:id="rId37" name="Option Button 17">
              <controlPr defaultSize="0" autoFill="0" autoLine="0" autoPict="0">
                <anchor moveWithCells="1">
                  <from>
                    <xdr:col>17</xdr:col>
                    <xdr:colOff>19050</xdr:colOff>
                    <xdr:row>8</xdr:row>
                    <xdr:rowOff>133350</xdr:rowOff>
                  </from>
                  <to>
                    <xdr:col>17</xdr:col>
                    <xdr:colOff>752475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30" r:id="rId38" name="Option Button 18">
              <controlPr defaultSize="0" autoFill="0" autoLine="0" autoPict="0">
                <anchor moveWithCells="1">
                  <from>
                    <xdr:col>18</xdr:col>
                    <xdr:colOff>95250</xdr:colOff>
                    <xdr:row>8</xdr:row>
                    <xdr:rowOff>133350</xdr:rowOff>
                  </from>
                  <to>
                    <xdr:col>19</xdr:col>
                    <xdr:colOff>485775</xdr:colOff>
                    <xdr:row>9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BDD18-095F-4655-A9FA-AA48EE5355D9}">
  <sheetPr codeName="Sheet2"/>
  <dimension ref="A2:M29"/>
  <sheetViews>
    <sheetView showGridLines="0" workbookViewId="0">
      <selection activeCell="F7" sqref="F7"/>
    </sheetView>
  </sheetViews>
  <sheetFormatPr defaultRowHeight="16.5"/>
  <cols>
    <col min="5" max="5" width="11" bestFit="1" customWidth="1"/>
    <col min="11" max="11" width="13.875" customWidth="1"/>
  </cols>
  <sheetData>
    <row r="2" spans="1:13" ht="38.25" customHeight="1">
      <c r="B2" s="364" t="s">
        <v>1374</v>
      </c>
      <c r="C2" s="364" t="s">
        <v>1377</v>
      </c>
      <c r="D2" s="364" t="s">
        <v>1378</v>
      </c>
      <c r="E2" s="364" t="s">
        <v>1382</v>
      </c>
      <c r="F2" s="363" t="s">
        <v>1384</v>
      </c>
      <c r="G2" s="364" t="s">
        <v>1383</v>
      </c>
      <c r="J2" t="s">
        <v>1379</v>
      </c>
    </row>
    <row r="3" spans="1:13">
      <c r="B3" s="371" t="s">
        <v>1375</v>
      </c>
      <c r="C3" s="370">
        <v>0.375</v>
      </c>
      <c r="D3" s="370">
        <v>0.75</v>
      </c>
      <c r="E3" s="367">
        <f>(IF(C3&lt;D3,(D3-C3)*1440,IF(OR(C3="",D3=""),"",IF(C3&gt;D3,(1+D3-C3)*1440)))/60)</f>
        <v>9</v>
      </c>
      <c r="F3" s="368">
        <f>IF(AND(E3&gt;4,E3&lt;8),0.5,IF(E3&gt;=8,1,IF(E3&lt;4,0)))</f>
        <v>1</v>
      </c>
      <c r="G3" s="369">
        <f>E3-F3</f>
        <v>8</v>
      </c>
      <c r="J3" t="s">
        <v>1380</v>
      </c>
    </row>
    <row r="4" spans="1:13">
      <c r="B4" s="372" t="s">
        <v>1376</v>
      </c>
      <c r="C4" s="370">
        <v>0.5</v>
      </c>
      <c r="D4" s="370">
        <v>0.75</v>
      </c>
      <c r="E4" s="367">
        <f>(IF(C4&lt;D4,(D4-C4)*1440,IF(OR(C4="",D4=""),"",IF(C4&gt;D4,(1+D4-C4)*1440)))/60)</f>
        <v>6</v>
      </c>
      <c r="F4" s="368">
        <f>IF(AND(E4&gt;4,E4&lt;8),0.5,IF(E4&gt;=8,1,IF(E4&lt;4,0)))</f>
        <v>0.5</v>
      </c>
      <c r="G4" s="369">
        <f t="shared" ref="G4:G5" si="0">E4-F4</f>
        <v>5.5</v>
      </c>
      <c r="J4" t="s">
        <v>1381</v>
      </c>
    </row>
    <row r="5" spans="1:13">
      <c r="B5" s="372" t="s">
        <v>1376</v>
      </c>
      <c r="C5" s="370">
        <v>0.41666666666666669</v>
      </c>
      <c r="D5" s="370">
        <v>0.75</v>
      </c>
      <c r="E5" s="367">
        <f>(IF(C5&lt;D5,(D5-C5)*1440,IF(OR(C5="",D5=""),"",IF(C5&gt;D5,(1+D5-C5)*1440)))/60)</f>
        <v>8</v>
      </c>
      <c r="F5" s="368">
        <f>IF(AND(E5&gt;4,E5&lt;8),0.5,IF(E5&gt;=8,1,IF(E5&lt;4,0)))</f>
        <v>1</v>
      </c>
      <c r="G5" s="369">
        <f t="shared" si="0"/>
        <v>7</v>
      </c>
      <c r="I5" s="27" t="s">
        <v>1385</v>
      </c>
      <c r="K5" t="s">
        <v>1386</v>
      </c>
    </row>
    <row r="6" spans="1:13">
      <c r="B6" s="372" t="s">
        <v>1376</v>
      </c>
      <c r="C6" s="370">
        <v>0.5</v>
      </c>
      <c r="D6" s="370">
        <v>0.91666666666666663</v>
      </c>
      <c r="E6" s="367">
        <f>(IF(C6&lt;D6,(D6-C6)*1440,IF(OR(C6="",D6=""),"",IF(C6&gt;D6,(1+D6-C6)*1440)))/60)</f>
        <v>10</v>
      </c>
      <c r="F6" s="368">
        <f>IF(AND(E6&gt;4,E6&lt;8),0.5,IF(E6&gt;=8,1,IF(E6&lt;4,0)))</f>
        <v>1</v>
      </c>
      <c r="G6" s="369">
        <f>E6-F6</f>
        <v>9</v>
      </c>
      <c r="I6" s="376">
        <v>6</v>
      </c>
      <c r="K6" s="378">
        <f>G6*I6</f>
        <v>54</v>
      </c>
    </row>
    <row r="7" spans="1:13">
      <c r="A7" t="s">
        <v>1716</v>
      </c>
      <c r="B7" s="372" t="s">
        <v>1376</v>
      </c>
      <c r="C7" s="370">
        <v>0.41666666666666669</v>
      </c>
      <c r="D7" s="370">
        <v>0.91666666666666663</v>
      </c>
      <c r="E7" s="367">
        <f>(IF(C7&lt;D7,(D7-C7)*1440,IF(OR(C7="",D7=""),"",IF(C7&gt;D7,(1+D7-C7)*1440)))/60)</f>
        <v>11.999999999999998</v>
      </c>
      <c r="F7" s="368">
        <f>IF(AND(E7&gt;4,E7&lt;8),0.5,IF(E7&gt;=8,1,IF(E7&lt;4,0)))</f>
        <v>1</v>
      </c>
      <c r="G7" s="369">
        <f>E7-F7</f>
        <v>10.999999999999998</v>
      </c>
    </row>
    <row r="8" spans="1:13">
      <c r="K8" s="379">
        <v>40</v>
      </c>
    </row>
    <row r="10" spans="1:13">
      <c r="K10" s="378">
        <f>K6-K8</f>
        <v>14</v>
      </c>
      <c r="L10" t="s">
        <v>1387</v>
      </c>
    </row>
    <row r="12" spans="1:13">
      <c r="K12" s="375">
        <v>4</v>
      </c>
      <c r="M12" s="373">
        <f>K12*K10</f>
        <v>56</v>
      </c>
    </row>
    <row r="13" spans="1:13" ht="17.25" thickBot="1">
      <c r="K13" s="376">
        <v>2</v>
      </c>
      <c r="M13" s="374">
        <f>(G6*K13)-(K13*8)</f>
        <v>2</v>
      </c>
    </row>
    <row r="14" spans="1:13">
      <c r="M14" s="377">
        <f>SUM(M12:M13)</f>
        <v>58</v>
      </c>
    </row>
    <row r="16" spans="1:13" ht="17.25">
      <c r="B16" s="35" t="s">
        <v>226</v>
      </c>
    </row>
    <row r="18" spans="2:2">
      <c r="B18" t="s">
        <v>1161</v>
      </c>
    </row>
    <row r="20" spans="2:2">
      <c r="B20" t="s">
        <v>227</v>
      </c>
    </row>
    <row r="23" spans="2:2" ht="17.25">
      <c r="B23" s="35" t="s">
        <v>228</v>
      </c>
    </row>
    <row r="25" spans="2:2">
      <c r="B25" t="s">
        <v>1162</v>
      </c>
    </row>
    <row r="27" spans="2:2">
      <c r="B27" t="s">
        <v>229</v>
      </c>
    </row>
    <row r="28" spans="2:2">
      <c r="B28" t="s">
        <v>230</v>
      </c>
    </row>
    <row r="29" spans="2:2">
      <c r="B29" t="s">
        <v>231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1E948-45AF-430A-A989-7372D8C77B48}">
  <sheetPr codeName="Sheet19">
    <tabColor rgb="FF00B050"/>
    <pageSetUpPr fitToPage="1"/>
  </sheetPr>
  <dimension ref="A1:U94"/>
  <sheetViews>
    <sheetView showGridLines="0" workbookViewId="0">
      <selection activeCell="D3" sqref="D3:F3"/>
    </sheetView>
  </sheetViews>
  <sheetFormatPr defaultRowHeight="16.5" outlineLevelRow="1"/>
  <cols>
    <col min="2" max="2" width="9" customWidth="1"/>
    <col min="3" max="3" width="5.125" customWidth="1"/>
    <col min="4" max="5" width="6.25" customWidth="1"/>
    <col min="6" max="6" width="13.375" customWidth="1"/>
    <col min="7" max="7" width="4.125" customWidth="1"/>
    <col min="8" max="8" width="16.375" customWidth="1"/>
    <col min="9" max="9" width="1.625" customWidth="1"/>
    <col min="10" max="10" width="18.125" customWidth="1"/>
    <col min="11" max="11" width="8.125" customWidth="1"/>
    <col min="12" max="12" width="11" customWidth="1"/>
    <col min="13" max="13" width="16.875" customWidth="1"/>
    <col min="14" max="14" width="14.25" customWidth="1"/>
    <col min="15" max="15" width="12.625" customWidth="1"/>
    <col min="16" max="16" width="13.5" bestFit="1" customWidth="1"/>
    <col min="18" max="18" width="10.875" bestFit="1" customWidth="1"/>
    <col min="19" max="19" width="12.75" customWidth="1"/>
    <col min="20" max="20" width="9.375" bestFit="1" customWidth="1"/>
  </cols>
  <sheetData>
    <row r="1" spans="1:21">
      <c r="A1" s="3" t="s">
        <v>0</v>
      </c>
      <c r="L1" s="510">
        <f>IF($B$7&gt;EOMONTH($D$3,-1)+1,$B$7,EOMONTH($D$3,-1)+1)</f>
        <v>44501</v>
      </c>
      <c r="M1" s="511">
        <f>IF(AND($B$8&lt;&gt;"",$B$8&lt;EOMONTH($D$3,0)),$B$8,EOMONTH($D$3,0))</f>
        <v>44530</v>
      </c>
      <c r="O1" s="269">
        <v>1</v>
      </c>
      <c r="Q1" s="289"/>
    </row>
    <row r="2" spans="1:21" ht="8.25" customHeight="1">
      <c r="L2" s="432">
        <v>2</v>
      </c>
    </row>
    <row r="3" spans="1:21" ht="20.25">
      <c r="D3" s="888">
        <v>44501</v>
      </c>
      <c r="E3" s="888"/>
      <c r="F3" s="888"/>
      <c r="G3" s="5" t="s">
        <v>1159</v>
      </c>
      <c r="I3" s="2"/>
      <c r="L3" s="15" t="s">
        <v>1388</v>
      </c>
      <c r="M3" s="15"/>
      <c r="R3" s="383">
        <v>2.7E-2</v>
      </c>
    </row>
    <row r="4" spans="1:21" ht="8.25" customHeight="1"/>
    <row r="5" spans="1:21">
      <c r="A5" t="s">
        <v>12</v>
      </c>
      <c r="B5" s="889" t="s">
        <v>47</v>
      </c>
      <c r="C5" s="889"/>
      <c r="D5" s="889"/>
      <c r="E5" s="889"/>
      <c r="F5" s="889"/>
      <c r="G5" s="714" t="s">
        <v>11</v>
      </c>
      <c r="H5" s="714"/>
      <c r="I5" s="890">
        <v>44530</v>
      </c>
      <c r="J5" s="890"/>
      <c r="M5" s="430">
        <f>DATEDIF($B$7,$M$1,"y")</f>
        <v>0</v>
      </c>
      <c r="O5" s="270">
        <v>187030</v>
      </c>
      <c r="P5" s="270">
        <v>150000</v>
      </c>
      <c r="R5" s="272"/>
    </row>
    <row r="6" spans="1:21">
      <c r="A6" s="436" t="s">
        <v>2</v>
      </c>
      <c r="B6" s="881" t="s">
        <v>19</v>
      </c>
      <c r="C6" s="884"/>
      <c r="D6" s="885"/>
      <c r="E6" s="891" t="s">
        <v>652</v>
      </c>
      <c r="F6" s="880"/>
      <c r="G6" s="892">
        <v>26961</v>
      </c>
      <c r="H6" s="893"/>
      <c r="I6" s="933">
        <v>1</v>
      </c>
      <c r="J6" s="935"/>
      <c r="L6" s="420" t="s">
        <v>1459</v>
      </c>
      <c r="M6" s="431" t="s">
        <v>1510</v>
      </c>
      <c r="R6" s="273"/>
      <c r="T6" s="382">
        <v>1</v>
      </c>
    </row>
    <row r="7" spans="1:21">
      <c r="A7" s="436" t="s">
        <v>33</v>
      </c>
      <c r="B7" s="878">
        <v>44501</v>
      </c>
      <c r="C7" s="878"/>
      <c r="D7" s="878"/>
      <c r="E7" s="879" t="s">
        <v>1259</v>
      </c>
      <c r="F7" s="880"/>
      <c r="G7" s="881" t="s">
        <v>1258</v>
      </c>
      <c r="H7" s="882"/>
      <c r="I7" s="884" t="s">
        <v>1257</v>
      </c>
      <c r="J7" s="885"/>
      <c r="L7" s="502" t="str">
        <f>IF($D$3="","",DATEDIF($B$7,$M$1+1,"Y") &amp; "년 " &amp; DATEDIF($B$7,$M$1+1,"YM") &amp; "개월 "&amp; IF(OR(VALUE(TEXT($B$7,"dd"))-1=VALUE(TEXT($M$1,"dd")),TEXT($B$7,"dd")="01"),"",DATEDIF($B$7,$M$1,"MD")+1 &amp; "일"))</f>
        <v xml:space="preserve">0년 1개월 </v>
      </c>
      <c r="M7" s="429">
        <f>IF(M5=0,1,VLOOKUP(M5,연차,2))</f>
        <v>1</v>
      </c>
    </row>
    <row r="8" spans="1:21" ht="16.5" customHeight="1">
      <c r="A8" s="482" t="s">
        <v>1655</v>
      </c>
      <c r="B8" s="878"/>
      <c r="C8" s="878"/>
      <c r="D8" s="878"/>
      <c r="E8" s="897" t="s">
        <v>1653</v>
      </c>
      <c r="F8" s="898"/>
      <c r="G8" s="881"/>
      <c r="H8" s="882"/>
      <c r="I8" s="884" t="s">
        <v>1260</v>
      </c>
      <c r="J8" s="885"/>
      <c r="L8" s="491" t="str">
        <f>IF(B8-B7&gt;=355,"퇴직금(연차정산)대상 check","")</f>
        <v/>
      </c>
      <c r="M8" s="465" t="str">
        <f>IF(M5=0,"입사후 근무월 개수","")</f>
        <v>입사후 근무월 개수</v>
      </c>
      <c r="N8" s="15" t="s">
        <v>1804</v>
      </c>
      <c r="S8" s="15"/>
    </row>
    <row r="9" spans="1:21" ht="16.5" customHeight="1" thickBot="1">
      <c r="A9" s="337" t="s">
        <v>383</v>
      </c>
      <c r="B9" s="865" t="s">
        <v>1254</v>
      </c>
      <c r="C9" s="866"/>
      <c r="D9" s="866"/>
      <c r="E9" s="867"/>
      <c r="F9" s="868" t="s">
        <v>651</v>
      </c>
      <c r="G9" s="869"/>
      <c r="H9" s="870" t="s">
        <v>456</v>
      </c>
      <c r="I9" s="871"/>
      <c r="J9" s="872"/>
      <c r="L9" s="15" t="s">
        <v>1568</v>
      </c>
      <c r="M9" s="16"/>
    </row>
    <row r="10" spans="1:21" ht="17.25" thickBot="1">
      <c r="A10" s="873" t="s">
        <v>3</v>
      </c>
      <c r="B10" s="873"/>
      <c r="C10" s="873"/>
      <c r="D10" s="873"/>
      <c r="E10" s="873"/>
      <c r="F10" s="873"/>
      <c r="G10" s="873"/>
      <c r="H10" s="873"/>
      <c r="I10" s="873"/>
      <c r="J10" s="873"/>
      <c r="L10" s="433" t="s">
        <v>1567</v>
      </c>
      <c r="M10" s="69"/>
      <c r="U10" s="445">
        <v>1</v>
      </c>
    </row>
    <row r="11" spans="1:21">
      <c r="A11" s="874" t="s">
        <v>14</v>
      </c>
      <c r="B11" s="874"/>
      <c r="C11" s="874"/>
      <c r="D11" s="874"/>
      <c r="E11" s="874"/>
      <c r="F11" s="874"/>
      <c r="G11" s="875" t="s">
        <v>13</v>
      </c>
      <c r="H11" s="876"/>
      <c r="I11" s="876"/>
      <c r="J11" s="877"/>
      <c r="M11" s="174"/>
      <c r="R11" s="177"/>
      <c r="S11" s="9"/>
    </row>
    <row r="12" spans="1:21" s="437" customFormat="1">
      <c r="A12" s="852" t="s">
        <v>4</v>
      </c>
      <c r="B12" s="853"/>
      <c r="C12" s="853"/>
      <c r="D12" s="854"/>
      <c r="E12" s="852" t="s">
        <v>8</v>
      </c>
      <c r="F12" s="854"/>
      <c r="G12" s="855" t="s">
        <v>9</v>
      </c>
      <c r="H12" s="857"/>
      <c r="I12" s="858" t="s">
        <v>10</v>
      </c>
      <c r="J12" s="860"/>
      <c r="M12" s="629" t="s">
        <v>1805</v>
      </c>
      <c r="P12" s="274"/>
    </row>
    <row r="13" spans="1:21" ht="16.5" customHeight="1">
      <c r="A13" s="936" t="s">
        <v>5</v>
      </c>
      <c r="B13" s="970" t="s">
        <v>32</v>
      </c>
      <c r="C13" s="838"/>
      <c r="D13" s="839"/>
      <c r="E13" s="942">
        <f>C29*C31</f>
        <v>1013419.7130957891</v>
      </c>
      <c r="F13" s="943"/>
      <c r="G13" s="828" t="s">
        <v>26</v>
      </c>
      <c r="H13" s="830"/>
      <c r="I13" s="787">
        <f>IF(L13&gt;=59,0,TRUNC(E25*M13,-1))</f>
        <v>54000</v>
      </c>
      <c r="J13" s="789"/>
      <c r="K13" s="65">
        <f>I13/($E$25-IF($E$18&gt;100000,$E$18-100000,0)-IF($E$19&gt;100000,$E$19-100000,0)-IF($E$20&gt;100000,$E$20-100000,0))</f>
        <v>4.4999999999999998E-2</v>
      </c>
      <c r="L13" s="351">
        <f>DATEDIF($G$6,$D$3,"y")</f>
        <v>48</v>
      </c>
      <c r="M13" s="299">
        <v>4.4999999999999998E-2</v>
      </c>
      <c r="N13" t="s">
        <v>459</v>
      </c>
      <c r="P13" s="221" t="s">
        <v>1170</v>
      </c>
      <c r="R13" s="9"/>
      <c r="S13" s="177"/>
      <c r="T13" s="9"/>
    </row>
    <row r="14" spans="1:21">
      <c r="A14" s="937"/>
      <c r="B14" s="976" t="s">
        <v>1571</v>
      </c>
      <c r="C14" s="977"/>
      <c r="D14" s="978"/>
      <c r="E14" s="942">
        <f>N20</f>
        <v>186580.28690421101</v>
      </c>
      <c r="F14" s="943"/>
      <c r="G14" s="828" t="s">
        <v>28</v>
      </c>
      <c r="H14" s="830"/>
      <c r="I14" s="787">
        <f>TRUNC($E$25*M14,-1)</f>
        <v>41160</v>
      </c>
      <c r="J14" s="789"/>
      <c r="K14" s="65">
        <f>I14/($E$25-IF($E$18&gt;100000,$E$18-100000,0)-IF($E$19&gt;100000,$E$19-100000,0)-IF($E$20&gt;100000,$E$20-100000,0))</f>
        <v>3.4299999999999997E-2</v>
      </c>
      <c r="L14" s="65"/>
      <c r="M14" s="698">
        <f>IF(AND(D3&gt;=44197,D3&lt;=44561),6.86%/2,6.99%/2)</f>
        <v>3.4300000000000004E-2</v>
      </c>
      <c r="N14" t="s">
        <v>459</v>
      </c>
    </row>
    <row r="15" spans="1:21">
      <c r="A15" s="937"/>
      <c r="B15" s="970"/>
      <c r="C15" s="838"/>
      <c r="D15" s="839"/>
      <c r="E15" s="942"/>
      <c r="F15" s="943"/>
      <c r="G15" s="828" t="s">
        <v>36</v>
      </c>
      <c r="H15" s="830"/>
      <c r="I15" s="787">
        <f>TRUNC(I14*M15,-1)</f>
        <v>4740</v>
      </c>
      <c r="J15" s="789"/>
      <c r="K15" s="65">
        <f>I15/($E$25-IF($E$18&gt;100000,$E$18-100000,0)-IF($E$19&gt;100000,$E$19-100000,0)-IF($E$20&gt;100000,$E$20-100000,0))</f>
        <v>3.9500000000000004E-3</v>
      </c>
      <c r="L15" s="294">
        <f>I15/I14</f>
        <v>0.11516034985422741</v>
      </c>
      <c r="M15" s="299">
        <f>IF(AND(D3&gt;=44197,D3&lt;=44561),11.52%,12.27%)</f>
        <v>0.1152</v>
      </c>
      <c r="N15" t="s">
        <v>459</v>
      </c>
      <c r="P15" s="390">
        <f>SUM(K14:K15)</f>
        <v>3.8249999999999999E-2</v>
      </c>
      <c r="U15" s="445">
        <v>2</v>
      </c>
    </row>
    <row r="16" spans="1:21">
      <c r="A16" s="937"/>
      <c r="B16" s="970"/>
      <c r="C16" s="838"/>
      <c r="D16" s="839"/>
      <c r="E16" s="942"/>
      <c r="F16" s="943"/>
      <c r="G16" s="849" t="s">
        <v>37</v>
      </c>
      <c r="H16" s="851"/>
      <c r="I16" s="787">
        <f>CHOOSE(T6,IF(L16&gt;=64,0,TRUNC($E$25*M16,-1)),0)</f>
        <v>9600</v>
      </c>
      <c r="J16" s="789"/>
      <c r="K16" s="65">
        <f>I16/($E$25-IF($E$18&gt;100000,$E$18-100000,0)-IF($E$19&gt;100000,$E$19-100000,0)-IF($E$20&gt;100000,$E$20-100000,0))</f>
        <v>8.0000000000000002E-3</v>
      </c>
      <c r="L16" s="617">
        <f>DATEDIF($G$6,B7,"y")</f>
        <v>48</v>
      </c>
      <c r="M16" s="366">
        <v>8.0000000000000002E-3</v>
      </c>
      <c r="N16" s="15" t="s">
        <v>1390</v>
      </c>
      <c r="P16" t="s">
        <v>1723</v>
      </c>
    </row>
    <row r="17" spans="1:21">
      <c r="A17" s="937"/>
      <c r="B17" s="979" t="s">
        <v>1265</v>
      </c>
      <c r="C17" s="980"/>
      <c r="D17" s="981"/>
      <c r="E17" s="942"/>
      <c r="F17" s="943"/>
      <c r="G17" s="828" t="s">
        <v>38</v>
      </c>
      <c r="H17" s="830"/>
      <c r="I17" s="787"/>
      <c r="J17" s="789"/>
      <c r="K17" s="293">
        <f>SUM(K13:K16)</f>
        <v>9.1249999999999998E-2</v>
      </c>
      <c r="M17" s="66" t="s">
        <v>593</v>
      </c>
      <c r="N17" s="389">
        <f>C28</f>
        <v>0</v>
      </c>
    </row>
    <row r="18" spans="1:21">
      <c r="A18" s="937"/>
      <c r="B18" s="979" t="s">
        <v>1266</v>
      </c>
      <c r="C18" s="980"/>
      <c r="D18" s="981"/>
      <c r="E18" s="942"/>
      <c r="F18" s="943"/>
      <c r="G18" s="862" t="s">
        <v>43</v>
      </c>
      <c r="H18" s="967"/>
      <c r="I18" s="787"/>
      <c r="J18" s="789"/>
      <c r="M18" s="66" t="s">
        <v>460</v>
      </c>
      <c r="N18" s="389">
        <f>C29</f>
        <v>8445.1642757982427</v>
      </c>
      <c r="O18" s="36" t="s">
        <v>1871</v>
      </c>
    </row>
    <row r="19" spans="1:21">
      <c r="A19" s="938"/>
      <c r="B19" s="979" t="s">
        <v>1267</v>
      </c>
      <c r="C19" s="980"/>
      <c r="D19" s="981"/>
      <c r="E19" s="942"/>
      <c r="F19" s="943"/>
      <c r="G19" s="862" t="s">
        <v>44</v>
      </c>
      <c r="H19" s="967"/>
      <c r="I19" s="787"/>
      <c r="J19" s="789"/>
      <c r="M19" s="66" t="s">
        <v>1575</v>
      </c>
      <c r="N19" s="389">
        <f>IF(J28&gt;=5,N18*J29,N18*8*(J28*J29/40))</f>
        <v>46645.071726052753</v>
      </c>
      <c r="P19" s="380">
        <f>365/12</f>
        <v>30.416666666666668</v>
      </c>
    </row>
    <row r="20" spans="1:21">
      <c r="A20" s="936" t="s">
        <v>1272</v>
      </c>
      <c r="B20" s="834" t="s">
        <v>1362</v>
      </c>
      <c r="C20" s="835"/>
      <c r="D20" s="836"/>
      <c r="E20" s="942">
        <f>TRUNC(IF(AND(U15=2,U21=1,OR(T27="",T27=0)),(T28-C26)*F28,(T27-C26)*F28),0)</f>
        <v>0</v>
      </c>
      <c r="F20" s="943"/>
      <c r="G20" s="828" t="s">
        <v>41</v>
      </c>
      <c r="H20" s="830"/>
      <c r="I20" s="787"/>
      <c r="J20" s="789"/>
      <c r="L20" s="675">
        <f>A31/(A31+G29)</f>
        <v>0.78947368421052633</v>
      </c>
      <c r="M20" s="66" t="s">
        <v>1156</v>
      </c>
      <c r="N20" s="389">
        <f>N19*G29</f>
        <v>186580.28690421101</v>
      </c>
      <c r="O20" t="s">
        <v>461</v>
      </c>
      <c r="P20" s="284">
        <f>P19/7</f>
        <v>4.3452380952380958</v>
      </c>
      <c r="Q20" t="s">
        <v>1154</v>
      </c>
    </row>
    <row r="21" spans="1:21" ht="16.5" customHeight="1">
      <c r="A21" s="937"/>
      <c r="B21" s="1009" t="s">
        <v>1577</v>
      </c>
      <c r="C21" s="1010"/>
      <c r="D21" s="1011"/>
      <c r="E21" s="942">
        <f>I35</f>
        <v>0</v>
      </c>
      <c r="F21" s="943"/>
      <c r="G21" s="828"/>
      <c r="H21" s="830"/>
      <c r="I21" s="787"/>
      <c r="J21" s="789"/>
      <c r="L21" s="444"/>
      <c r="M21" s="66" t="s">
        <v>1574</v>
      </c>
      <c r="N21" s="389">
        <f>E20</f>
        <v>0</v>
      </c>
      <c r="P21" s="284"/>
      <c r="U21" s="298">
        <v>2</v>
      </c>
    </row>
    <row r="22" spans="1:21">
      <c r="A22" s="937"/>
      <c r="B22" s="1009" t="s">
        <v>1578</v>
      </c>
      <c r="C22" s="1010"/>
      <c r="D22" s="1011"/>
      <c r="E22" s="942">
        <f>I36</f>
        <v>0</v>
      </c>
      <c r="F22" s="943"/>
      <c r="G22" s="828" t="s">
        <v>40</v>
      </c>
      <c r="H22" s="830"/>
      <c r="I22" s="787"/>
      <c r="J22" s="789"/>
      <c r="L22" s="10"/>
      <c r="M22" s="66" t="s">
        <v>22</v>
      </c>
      <c r="N22" s="388">
        <f>SUM(N20,E13)</f>
        <v>1200000</v>
      </c>
      <c r="O22" s="272">
        <f>SUM(E13:F23)</f>
        <v>1200000</v>
      </c>
      <c r="P22" s="177"/>
    </row>
    <row r="23" spans="1:21">
      <c r="A23" s="937"/>
      <c r="B23" s="1009" t="s">
        <v>1579</v>
      </c>
      <c r="C23" s="1010"/>
      <c r="D23" s="1011"/>
      <c r="E23" s="942">
        <f>I38</f>
        <v>0</v>
      </c>
      <c r="F23" s="943"/>
      <c r="G23" s="828"/>
      <c r="H23" s="842"/>
      <c r="I23" s="787"/>
      <c r="J23" s="789"/>
      <c r="L23" s="444">
        <f>SUM(E13:F19)/C31</f>
        <v>10000</v>
      </c>
      <c r="M23" s="66" t="s">
        <v>1157</v>
      </c>
      <c r="N23" s="285">
        <v>3300000</v>
      </c>
      <c r="O23" s="272">
        <f>F28*A31</f>
        <v>0</v>
      </c>
      <c r="P23" s="9">
        <f>N23-O23</f>
        <v>3300000</v>
      </c>
    </row>
    <row r="24" spans="1:21">
      <c r="A24" s="938"/>
      <c r="B24" s="970" t="s">
        <v>42</v>
      </c>
      <c r="C24" s="838"/>
      <c r="D24" s="839"/>
      <c r="E24" s="942">
        <v>0</v>
      </c>
      <c r="F24" s="943"/>
      <c r="G24" s="828" t="s">
        <v>25</v>
      </c>
      <c r="H24" s="842"/>
      <c r="I24" s="846">
        <f>CHOOSE(L2,IF(N29&lt;=10000000,VLOOKUP(N29/1000,간이세액표2021,A40+B40+2),VLOOKUP(N29/1000,간이세액표2021,A40+B40+2)+VLOOKUP(N29,근로세율,3)+(N29-VLOOKUP(N29,근로세율,4))*VLOOKUP(N29,근로세율,5)*VLOOKUP(N29,근로세율,6)),CHOOSE(O1,IF(C28&gt;O5,TRUNC((C28-O5)*A31*R3,-1),0),IF(C28&gt;P5,TRUNC((C28-P5)*A31*R3,-1),0)))</f>
        <v>0</v>
      </c>
      <c r="J24" s="848"/>
      <c r="L24" s="444">
        <f>E13/C31</f>
        <v>8445.1642757982427</v>
      </c>
      <c r="M24" s="66" t="s">
        <v>1155</v>
      </c>
      <c r="N24" s="384">
        <f>N23-E26</f>
        <v>3300000</v>
      </c>
      <c r="P24" s="9"/>
    </row>
    <row r="25" spans="1:21" ht="17.25" thickBot="1">
      <c r="A25" s="802" t="s">
        <v>7</v>
      </c>
      <c r="B25" s="803"/>
      <c r="C25" s="803"/>
      <c r="D25" s="804"/>
      <c r="E25" s="805">
        <f>SUM(E13:F24)</f>
        <v>1200000</v>
      </c>
      <c r="F25" s="806"/>
      <c r="G25" s="840" t="s">
        <v>35</v>
      </c>
      <c r="H25" s="842"/>
      <c r="I25" s="846">
        <f>CHOOSE(L2,TRUNC(I24*10%,-1),CHOOSE(O1,IF(F28&gt;O5,TRUNC((F28-O5)*R3*10%,-1)*A31,0),IF(F28&gt;P5,TRUNC((F28-P5)*A31*R3*10%,-1),0)))</f>
        <v>0</v>
      </c>
      <c r="J25" s="848"/>
      <c r="L25" s="674">
        <f>F28*A31</f>
        <v>0</v>
      </c>
      <c r="P25" s="236"/>
    </row>
    <row r="26" spans="1:21">
      <c r="A26" s="810" t="s">
        <v>1389</v>
      </c>
      <c r="B26" s="811"/>
      <c r="C26" s="1047">
        <v>0</v>
      </c>
      <c r="D26" s="1048"/>
      <c r="E26" s="1049"/>
      <c r="F26" s="446"/>
      <c r="G26" s="807" t="s">
        <v>15</v>
      </c>
      <c r="H26" s="809"/>
      <c r="I26" s="787">
        <f>SUM(I13:J25)</f>
        <v>109500</v>
      </c>
      <c r="J26" s="789"/>
      <c r="L26" s="674">
        <f>F29*C31</f>
        <v>1200000</v>
      </c>
      <c r="M26" s="66" t="s">
        <v>462</v>
      </c>
      <c r="N26" s="386">
        <f>E13/A31/J29</f>
        <v>8445.1642757982427</v>
      </c>
      <c r="O26" s="387">
        <f>N26*A31*J29</f>
        <v>1013419.7130957891</v>
      </c>
      <c r="P26" s="15" t="s">
        <v>1566</v>
      </c>
    </row>
    <row r="27" spans="1:21" ht="17.25" thickBot="1">
      <c r="A27" s="1030" t="s">
        <v>1255</v>
      </c>
      <c r="B27" s="1031"/>
      <c r="C27" s="1032"/>
      <c r="D27" s="1033"/>
      <c r="E27" s="1033"/>
      <c r="F27" s="1034"/>
      <c r="G27" s="817" t="s">
        <v>16</v>
      </c>
      <c r="H27" s="969"/>
      <c r="I27" s="1143">
        <f>E25-I26</f>
        <v>1090500</v>
      </c>
      <c r="J27" s="1144"/>
      <c r="K27" s="15"/>
      <c r="P27" s="10"/>
      <c r="R27" t="s">
        <v>1572</v>
      </c>
      <c r="T27" s="438">
        <v>0</v>
      </c>
    </row>
    <row r="28" spans="1:21" ht="16.5" customHeight="1" outlineLevel="1" thickBot="1">
      <c r="A28" s="1017" t="s">
        <v>1455</v>
      </c>
      <c r="B28" s="1017"/>
      <c r="C28" s="948"/>
      <c r="D28" s="948"/>
      <c r="E28" s="948"/>
      <c r="F28" s="678"/>
      <c r="G28" s="676" t="s">
        <v>1153</v>
      </c>
      <c r="H28" s="985" t="s">
        <v>1158</v>
      </c>
      <c r="I28" s="984"/>
      <c r="J28" s="454">
        <f>(C31/J29)/K28</f>
        <v>3.4520547945205475</v>
      </c>
      <c r="K28" s="297">
        <f>(365/12/7)</f>
        <v>4.3452380952380958</v>
      </c>
      <c r="L28" s="672">
        <f>C29*J29</f>
        <v>67561.314206385941</v>
      </c>
      <c r="N28" s="10"/>
      <c r="P28" s="236"/>
      <c r="R28" t="s">
        <v>1573</v>
      </c>
      <c r="T28" s="443">
        <f>IF(M7=1,1,M7/12)</f>
        <v>1</v>
      </c>
    </row>
    <row r="29" spans="1:21" ht="16.5" customHeight="1" outlineLevel="1" thickBot="1">
      <c r="A29" s="1021" t="s">
        <v>1456</v>
      </c>
      <c r="B29" s="1021"/>
      <c r="C29" s="1150">
        <v>8445.1642757982427</v>
      </c>
      <c r="D29" s="1150"/>
      <c r="E29" s="1151"/>
      <c r="F29" s="679">
        <f>SUM(E13:F19)/C31</f>
        <v>10000</v>
      </c>
      <c r="G29" s="677">
        <f>CHOOSE(U10,CEILING((DAY(EOMONTH(D3,0))-MOD(8-WEEKDAY(D3),7))/7,1),(EOMONTH(D3,0)-EOMONTH(D3,-1))/7)</f>
        <v>4</v>
      </c>
      <c r="H29" s="963" t="s">
        <v>458</v>
      </c>
      <c r="I29" s="963"/>
      <c r="J29" s="8">
        <v>8</v>
      </c>
      <c r="L29" s="672">
        <f>E13/(C31-F31-J31)</f>
        <v>8445.1642757982427</v>
      </c>
      <c r="M29" s="268" t="s">
        <v>1146</v>
      </c>
      <c r="N29" s="283">
        <f>N31-N30</f>
        <v>1200000</v>
      </c>
    </row>
    <row r="30" spans="1:21">
      <c r="A30" s="963" t="s">
        <v>783</v>
      </c>
      <c r="B30" s="963"/>
      <c r="C30" s="771" t="s">
        <v>686</v>
      </c>
      <c r="D30" s="1014"/>
      <c r="E30" s="772"/>
      <c r="F30" s="1145" t="s">
        <v>684</v>
      </c>
      <c r="G30" s="776"/>
      <c r="H30" s="776" t="s">
        <v>17</v>
      </c>
      <c r="I30" s="776"/>
      <c r="J30" s="484" t="s">
        <v>685</v>
      </c>
      <c r="M30" s="268" t="s">
        <v>1147</v>
      </c>
      <c r="N30" s="283">
        <f>MIN(IF(E17="",0,E17),100000)+MIN(IF(E18="",0,E18),200000)+MIN(IF(E19="",0,E19),100000)</f>
        <v>0</v>
      </c>
      <c r="R30" s="15" t="s">
        <v>1722</v>
      </c>
    </row>
    <row r="31" spans="1:21" ht="17.25" thickBot="1">
      <c r="A31" s="1146">
        <f>C31/J29</f>
        <v>15</v>
      </c>
      <c r="B31" s="1146"/>
      <c r="C31" s="1147">
        <v>120</v>
      </c>
      <c r="D31" s="1148"/>
      <c r="E31" s="1149"/>
      <c r="F31" s="782">
        <f>C31/J29-TRUNC(C31/J29,0)</f>
        <v>0</v>
      </c>
      <c r="G31" s="782"/>
      <c r="H31" s="1016">
        <v>0</v>
      </c>
      <c r="I31" s="1016"/>
      <c r="J31" s="453">
        <v>0</v>
      </c>
      <c r="L31" s="673">
        <f>(E13+E14)/A31</f>
        <v>80000</v>
      </c>
      <c r="M31" s="268" t="s">
        <v>1148</v>
      </c>
      <c r="N31" s="283">
        <f>E25</f>
        <v>1200000</v>
      </c>
    </row>
    <row r="32" spans="1:21" ht="8.25" customHeight="1" thickBot="1">
      <c r="A32" s="339"/>
      <c r="B32" s="339"/>
      <c r="C32" s="339"/>
      <c r="D32" s="339"/>
      <c r="E32" s="339"/>
      <c r="F32" s="339"/>
      <c r="G32" s="339"/>
      <c r="H32" s="339"/>
      <c r="I32" s="339"/>
      <c r="J32" s="340"/>
      <c r="M32" s="16"/>
    </row>
    <row r="33" spans="1:16" ht="17.25" thickBot="1">
      <c r="A33" s="919" t="s">
        <v>18</v>
      </c>
      <c r="B33" s="920"/>
      <c r="C33" s="920"/>
      <c r="D33" s="920"/>
      <c r="E33" s="920"/>
      <c r="F33" s="920"/>
      <c r="G33" s="920"/>
      <c r="H33" s="920"/>
      <c r="I33" s="920"/>
      <c r="J33" s="920"/>
      <c r="L33" s="673">
        <f>L31/J29</f>
        <v>10000</v>
      </c>
    </row>
    <row r="34" spans="1:16">
      <c r="A34" s="766" t="s">
        <v>20</v>
      </c>
      <c r="B34" s="766"/>
      <c r="C34" s="766" t="s">
        <v>21</v>
      </c>
      <c r="D34" s="766"/>
      <c r="E34" s="766"/>
      <c r="F34" s="766"/>
      <c r="G34" s="766"/>
      <c r="H34" s="766"/>
      <c r="I34" s="766" t="s">
        <v>22</v>
      </c>
      <c r="J34" s="766"/>
      <c r="N34" s="472" t="s">
        <v>1622</v>
      </c>
      <c r="O34" s="471">
        <f>M1-L1+1</f>
        <v>30</v>
      </c>
      <c r="P34" s="512">
        <f>O34/(EOMONTH($D$3,0)-EOMONTH($D$3,-1))</f>
        <v>1</v>
      </c>
    </row>
    <row r="35" spans="1:16">
      <c r="A35" s="910" t="s">
        <v>23</v>
      </c>
      <c r="B35" s="910"/>
      <c r="C35" s="768">
        <f>F31</f>
        <v>0</v>
      </c>
      <c r="D35" s="769"/>
      <c r="E35" s="6" t="s">
        <v>48</v>
      </c>
      <c r="F35" s="23">
        <f>F29</f>
        <v>10000</v>
      </c>
      <c r="G35" s="6" t="s">
        <v>48</v>
      </c>
      <c r="H35" s="450">
        <f>CHOOSE(U15,1,1.5)</f>
        <v>1.5</v>
      </c>
      <c r="I35" s="770">
        <f>C35*F35*H35</f>
        <v>0</v>
      </c>
      <c r="J35" s="770"/>
      <c r="M35" s="420" t="s">
        <v>1628</v>
      </c>
      <c r="N35" s="473" t="s">
        <v>1623</v>
      </c>
      <c r="O35" s="310">
        <f>IF(OR($L$1&gt;EOMONTH($D$3,-1)+1,$M$1&lt;EOMONTH($D$3,0)),CEILING((O34-MOD(8-WEEKDAY($L$1),7))/7,1),CEILING((DAY(EOMONTH($D$3,0))-MOD(8-WEEKDAY($D$3),7))/7,1))</f>
        <v>4</v>
      </c>
      <c r="P35" s="474" t="s">
        <v>1627</v>
      </c>
    </row>
    <row r="36" spans="1:16" ht="17.25" thickBot="1">
      <c r="A36" s="906" t="s">
        <v>1018</v>
      </c>
      <c r="B36" s="906"/>
      <c r="C36" s="758">
        <f>CHOOSE(U15,0,H31)</f>
        <v>0</v>
      </c>
      <c r="D36" s="759"/>
      <c r="E36" s="11" t="s">
        <v>48</v>
      </c>
      <c r="F36" s="24">
        <f>F29</f>
        <v>10000</v>
      </c>
      <c r="G36" s="11" t="s">
        <v>48</v>
      </c>
      <c r="H36" s="451">
        <f>CHOOSE(U15,0,0.5)</f>
        <v>0.5</v>
      </c>
      <c r="I36" s="728">
        <f>C36*F36*H36</f>
        <v>0</v>
      </c>
      <c r="J36" s="728"/>
      <c r="M36" s="476">
        <f>SUM(O35,P36)</f>
        <v>8</v>
      </c>
      <c r="N36" s="473" t="s">
        <v>1624</v>
      </c>
      <c r="O36" s="477">
        <f>IF(OR($L$1&gt;EOMONTH($D$3,-1)+1,$M$1&lt;EOMONTH($D$3,0)),NETWORKDAYS($L$1,$M$1),NETWORKDAYS(EOMONTH($D$3,-1)+1,EOMONTH($D$3,0)))</f>
        <v>22</v>
      </c>
      <c r="P36" s="475">
        <f>O34-O36-O35</f>
        <v>4</v>
      </c>
    </row>
    <row r="37" spans="1:16" ht="17.25" thickBot="1">
      <c r="A37" s="1129" t="s">
        <v>65</v>
      </c>
      <c r="B37" s="1059"/>
      <c r="C37" s="761">
        <f>J31-C38</f>
        <v>0</v>
      </c>
      <c r="D37" s="762"/>
      <c r="E37" s="13" t="s">
        <v>48</v>
      </c>
      <c r="F37" s="25">
        <f>F29</f>
        <v>10000</v>
      </c>
      <c r="G37" s="13" t="s">
        <v>48</v>
      </c>
      <c r="H37" s="452">
        <f>CHOOSE(U15,1,1.5)</f>
        <v>1.5</v>
      </c>
      <c r="I37" s="763">
        <f>C37*F37*H37</f>
        <v>0</v>
      </c>
      <c r="J37" s="763"/>
      <c r="N37" s="616" t="s">
        <v>1625</v>
      </c>
      <c r="O37" s="490">
        <f>VLOOKUP(EOMONTH(D3,-1)+1,주40시간,6)</f>
        <v>0</v>
      </c>
    </row>
    <row r="38" spans="1:16">
      <c r="A38" s="1126" t="s">
        <v>66</v>
      </c>
      <c r="B38" s="1037"/>
      <c r="C38" s="1127">
        <v>0</v>
      </c>
      <c r="D38" s="1128"/>
      <c r="E38" s="13" t="s">
        <v>48</v>
      </c>
      <c r="F38" s="25">
        <f>F29</f>
        <v>10000</v>
      </c>
      <c r="G38" s="13" t="s">
        <v>48</v>
      </c>
      <c r="H38" s="452">
        <f>CHOOSE(U15,1,2)</f>
        <v>2</v>
      </c>
      <c r="I38" s="763">
        <f>C38*F38*H38</f>
        <v>0</v>
      </c>
      <c r="J38" s="763"/>
      <c r="N38" s="473" t="s">
        <v>1626</v>
      </c>
      <c r="O38" s="481">
        <f>O36-O37</f>
        <v>22</v>
      </c>
    </row>
    <row r="39" spans="1:16">
      <c r="A39" s="910" t="s">
        <v>25</v>
      </c>
      <c r="B39" s="910"/>
      <c r="C39" s="1055" t="str">
        <f>CHOOSE(O1,"매일지급 (지급일 금액) 근로소득공제 187,030원 초과분 2.7%의 누적금액","일정기간 지급 (지급일 금액)  근로소득공제 15만원 초과분 2.7%의 누적금액")</f>
        <v>매일지급 (지급일 금액) 근로소득공제 187,030원 초과분 2.7%의 누적금액</v>
      </c>
      <c r="D39" s="1055"/>
      <c r="E39" s="1055"/>
      <c r="F39" s="1055"/>
      <c r="G39" s="1055"/>
      <c r="H39" s="1055"/>
      <c r="I39" s="733">
        <f>I24</f>
        <v>0</v>
      </c>
      <c r="J39" s="735"/>
      <c r="M39" s="16"/>
      <c r="N39" s="473" t="s">
        <v>1629</v>
      </c>
      <c r="O39" s="481">
        <f>O38+P36</f>
        <v>26</v>
      </c>
    </row>
    <row r="40" spans="1:16">
      <c r="A40" s="434">
        <v>1</v>
      </c>
      <c r="B40" s="295">
        <v>0</v>
      </c>
      <c r="C40" s="958" t="s">
        <v>50</v>
      </c>
      <c r="D40" s="959"/>
      <c r="E40" s="959"/>
      <c r="F40" s="959"/>
      <c r="G40" s="959"/>
      <c r="H40" s="959"/>
      <c r="I40" s="739">
        <f>I25</f>
        <v>0</v>
      </c>
      <c r="J40" s="741"/>
      <c r="M40" s="16"/>
    </row>
    <row r="41" spans="1:16">
      <c r="A41" s="917" t="s">
        <v>26</v>
      </c>
      <c r="B41" s="917"/>
      <c r="C41" s="1057" t="str">
        <f>"상기 급여의 과세급여 "&amp;TEXT(E26,"\#,##0원")&amp;" × "&amp;M13*100&amp;"%"</f>
        <v>상기 급여의 과세급여 ₩0원 × 4.5%</v>
      </c>
      <c r="D41" s="1057"/>
      <c r="E41" s="1057"/>
      <c r="F41" s="1057"/>
      <c r="G41" s="1057"/>
      <c r="H41" s="1057"/>
      <c r="I41" s="746">
        <f>I13</f>
        <v>54000</v>
      </c>
      <c r="J41" s="746"/>
      <c r="M41" s="16"/>
    </row>
    <row r="42" spans="1:16">
      <c r="A42" s="906" t="s">
        <v>27</v>
      </c>
      <c r="B42" s="906"/>
      <c r="C42" s="1054" t="str">
        <f>CHOOSE(T6,"상기 급여(임금) 과세총액기준 "&amp;TEXT(E26,"\#,##0원")&amp;"× "&amp;M16*100&amp;"%","고용보험 미대상")</f>
        <v>상기 급여(임금) 과세총액기준 ₩0원× 0.8%</v>
      </c>
      <c r="D42" s="1054"/>
      <c r="E42" s="1054"/>
      <c r="F42" s="1054"/>
      <c r="G42" s="1054"/>
      <c r="H42" s="1054"/>
      <c r="I42" s="728">
        <f>I16</f>
        <v>9600</v>
      </c>
      <c r="J42" s="728"/>
      <c r="M42" t="s">
        <v>1656</v>
      </c>
    </row>
    <row r="43" spans="1:16">
      <c r="A43" s="906" t="s">
        <v>28</v>
      </c>
      <c r="B43" s="906"/>
      <c r="C43" s="1054" t="str">
        <f>"상기 급여의 과세급여 "&amp;TEXT(E26,"\#,##0원")&amp;" × "&amp;M14*100&amp;"%"</f>
        <v>상기 급여의 과세급여 ₩0원 × 3.43%</v>
      </c>
      <c r="D43" s="1054"/>
      <c r="E43" s="1054"/>
      <c r="F43" s="1054"/>
      <c r="G43" s="1054"/>
      <c r="H43" s="1054"/>
      <c r="I43" s="728">
        <f>SUM(I14,I18)</f>
        <v>41160</v>
      </c>
      <c r="J43" s="728"/>
    </row>
    <row r="44" spans="1:16">
      <c r="A44" s="906" t="s">
        <v>29</v>
      </c>
      <c r="B44" s="906"/>
      <c r="C44" s="1054" t="str">
        <f>"상기 건강보험료 "&amp;TEXT(I43,"\#,##0원")&amp;"×"&amp;M15*100&amp;"%"</f>
        <v>상기 건강보험료 ₩41,160원×11.52%</v>
      </c>
      <c r="D44" s="1054"/>
      <c r="E44" s="1054"/>
      <c r="F44" s="1054"/>
      <c r="G44" s="1054"/>
      <c r="H44" s="1054"/>
      <c r="I44" s="728">
        <f>SUM(I15,I19)</f>
        <v>4740</v>
      </c>
      <c r="J44" s="728"/>
    </row>
    <row r="45" spans="1:16">
      <c r="A45" s="902"/>
      <c r="B45" s="902"/>
      <c r="C45" s="953"/>
      <c r="D45" s="953"/>
      <c r="E45" s="953"/>
      <c r="F45" s="953"/>
      <c r="G45" s="953"/>
      <c r="H45" s="953"/>
      <c r="I45" s="723"/>
      <c r="J45" s="723"/>
      <c r="M45" s="16"/>
    </row>
    <row r="46" spans="1:16">
      <c r="A46" s="19" t="s">
        <v>31</v>
      </c>
      <c r="J46" s="22" t="s">
        <v>653</v>
      </c>
      <c r="M46" s="16"/>
    </row>
    <row r="47" spans="1:16">
      <c r="J47" s="4" t="s">
        <v>30</v>
      </c>
    </row>
    <row r="49" spans="4:13">
      <c r="D49" t="s">
        <v>1150</v>
      </c>
    </row>
    <row r="50" spans="4:13">
      <c r="D50" t="s">
        <v>1152</v>
      </c>
      <c r="M50" s="17"/>
    </row>
    <row r="51" spans="4:13">
      <c r="D51" t="s">
        <v>1151</v>
      </c>
    </row>
    <row r="57" spans="4:13">
      <c r="M57" s="17"/>
    </row>
    <row r="65" spans="1:14">
      <c r="M65" s="17"/>
    </row>
    <row r="67" spans="1:14">
      <c r="A67" s="18"/>
      <c r="M67" s="18"/>
    </row>
    <row r="68" spans="1:14">
      <c r="A68" s="18"/>
      <c r="M68" s="18"/>
    </row>
    <row r="69" spans="1:14">
      <c r="A69" s="18"/>
    </row>
    <row r="71" spans="1:14">
      <c r="A71" s="18"/>
    </row>
    <row r="76" spans="1:14">
      <c r="N76" s="18"/>
    </row>
    <row r="77" spans="1:14">
      <c r="N77" s="18"/>
    </row>
    <row r="78" spans="1:14">
      <c r="N78" s="18"/>
    </row>
    <row r="79" spans="1:14">
      <c r="N79" s="18"/>
    </row>
    <row r="81" spans="14:14">
      <c r="N81" s="18"/>
    </row>
    <row r="87" spans="14:14">
      <c r="N87" s="18"/>
    </row>
    <row r="88" spans="14:14">
      <c r="N88" s="18"/>
    </row>
    <row r="89" spans="14:14">
      <c r="N89" s="18"/>
    </row>
    <row r="90" spans="14:14">
      <c r="N90" s="18"/>
    </row>
    <row r="92" spans="14:14">
      <c r="N92" s="18"/>
    </row>
    <row r="94" spans="14:14">
      <c r="N94" s="18"/>
    </row>
  </sheetData>
  <mergeCells count="138">
    <mergeCell ref="D3:F3"/>
    <mergeCell ref="B5:F5"/>
    <mergeCell ref="G5:H5"/>
    <mergeCell ref="I5:J5"/>
    <mergeCell ref="B6:D6"/>
    <mergeCell ref="E6:F6"/>
    <mergeCell ref="G6:H6"/>
    <mergeCell ref="I6:J6"/>
    <mergeCell ref="B9:E9"/>
    <mergeCell ref="F9:G9"/>
    <mergeCell ref="H9:J9"/>
    <mergeCell ref="B8:D8"/>
    <mergeCell ref="E8:F8"/>
    <mergeCell ref="A10:J10"/>
    <mergeCell ref="A11:F11"/>
    <mergeCell ref="G11:J11"/>
    <mergeCell ref="B7:D7"/>
    <mergeCell ref="E7:F7"/>
    <mergeCell ref="G7:H7"/>
    <mergeCell ref="I7:J7"/>
    <mergeCell ref="G8:H8"/>
    <mergeCell ref="I8:J8"/>
    <mergeCell ref="E14:F14"/>
    <mergeCell ref="G14:H14"/>
    <mergeCell ref="I14:J14"/>
    <mergeCell ref="B15:D15"/>
    <mergeCell ref="E15:F15"/>
    <mergeCell ref="G15:H15"/>
    <mergeCell ref="I15:J15"/>
    <mergeCell ref="A12:D12"/>
    <mergeCell ref="E12:F12"/>
    <mergeCell ref="G12:H12"/>
    <mergeCell ref="I12:J12"/>
    <mergeCell ref="A13:A19"/>
    <mergeCell ref="B13:D13"/>
    <mergeCell ref="E13:F13"/>
    <mergeCell ref="G13:H13"/>
    <mergeCell ref="I13:J13"/>
    <mergeCell ref="B14:D14"/>
    <mergeCell ref="B18:D18"/>
    <mergeCell ref="E18:F18"/>
    <mergeCell ref="G18:H18"/>
    <mergeCell ref="I18:J18"/>
    <mergeCell ref="B19:D19"/>
    <mergeCell ref="E19:F19"/>
    <mergeCell ref="G19:H19"/>
    <mergeCell ref="I19:J19"/>
    <mergeCell ref="B16:D16"/>
    <mergeCell ref="E16:F16"/>
    <mergeCell ref="G16:H16"/>
    <mergeCell ref="I16:J16"/>
    <mergeCell ref="B17:D17"/>
    <mergeCell ref="E17:F17"/>
    <mergeCell ref="G17:H17"/>
    <mergeCell ref="I17:J17"/>
    <mergeCell ref="E22:F22"/>
    <mergeCell ref="G22:H22"/>
    <mergeCell ref="I22:J22"/>
    <mergeCell ref="B23:D23"/>
    <mergeCell ref="E23:F23"/>
    <mergeCell ref="G23:H23"/>
    <mergeCell ref="I23:J23"/>
    <mergeCell ref="A20:A24"/>
    <mergeCell ref="B20:D20"/>
    <mergeCell ref="E20:F20"/>
    <mergeCell ref="G20:H20"/>
    <mergeCell ref="I20:J20"/>
    <mergeCell ref="B21:D21"/>
    <mergeCell ref="E21:F21"/>
    <mergeCell ref="G21:H21"/>
    <mergeCell ref="I21:J21"/>
    <mergeCell ref="B22:D22"/>
    <mergeCell ref="A26:B26"/>
    <mergeCell ref="C26:E26"/>
    <mergeCell ref="G26:H26"/>
    <mergeCell ref="I26:J26"/>
    <mergeCell ref="A27:B27"/>
    <mergeCell ref="C27:F27"/>
    <mergeCell ref="G27:H27"/>
    <mergeCell ref="I27:J27"/>
    <mergeCell ref="B24:D24"/>
    <mergeCell ref="E24:F24"/>
    <mergeCell ref="G24:H24"/>
    <mergeCell ref="I24:J24"/>
    <mergeCell ref="A25:D25"/>
    <mergeCell ref="E25:F25"/>
    <mergeCell ref="G25:H25"/>
    <mergeCell ref="I25:J25"/>
    <mergeCell ref="A30:B30"/>
    <mergeCell ref="C30:E30"/>
    <mergeCell ref="F30:G30"/>
    <mergeCell ref="H30:I30"/>
    <mergeCell ref="A31:B31"/>
    <mergeCell ref="C31:E31"/>
    <mergeCell ref="F31:G31"/>
    <mergeCell ref="H31:I31"/>
    <mergeCell ref="A28:B28"/>
    <mergeCell ref="C28:E28"/>
    <mergeCell ref="H28:I28"/>
    <mergeCell ref="A29:B29"/>
    <mergeCell ref="C29:E29"/>
    <mergeCell ref="H29:I29"/>
    <mergeCell ref="A36:B36"/>
    <mergeCell ref="C36:D36"/>
    <mergeCell ref="I36:J36"/>
    <mergeCell ref="A37:B37"/>
    <mergeCell ref="C37:D37"/>
    <mergeCell ref="I37:J37"/>
    <mergeCell ref="A33:J33"/>
    <mergeCell ref="A34:B34"/>
    <mergeCell ref="C34:H34"/>
    <mergeCell ref="I34:J34"/>
    <mergeCell ref="A35:B35"/>
    <mergeCell ref="C35:D35"/>
    <mergeCell ref="I35:J35"/>
    <mergeCell ref="C40:H40"/>
    <mergeCell ref="I40:J40"/>
    <mergeCell ref="A41:B41"/>
    <mergeCell ref="C41:H41"/>
    <mergeCell ref="I41:J41"/>
    <mergeCell ref="A42:B42"/>
    <mergeCell ref="C42:H42"/>
    <mergeCell ref="I42:J42"/>
    <mergeCell ref="A38:B38"/>
    <mergeCell ref="C38:D38"/>
    <mergeCell ref="I38:J38"/>
    <mergeCell ref="A39:B39"/>
    <mergeCell ref="C39:H39"/>
    <mergeCell ref="I39:J39"/>
    <mergeCell ref="A45:B45"/>
    <mergeCell ref="C45:H45"/>
    <mergeCell ref="I45:J45"/>
    <mergeCell ref="A43:B43"/>
    <mergeCell ref="C43:H43"/>
    <mergeCell ref="I43:J43"/>
    <mergeCell ref="A44:B44"/>
    <mergeCell ref="C44:H44"/>
    <mergeCell ref="I44:J44"/>
  </mergeCells>
  <phoneticPr fontId="2" type="noConversion"/>
  <conditionalFormatting sqref="F31:G31">
    <cfRule type="cellIs" dxfId="8" priority="12" operator="greaterThan">
      <formula>52</formula>
    </cfRule>
  </conditionalFormatting>
  <conditionalFormatting sqref="C31:E31">
    <cfRule type="cellIs" dxfId="7" priority="11" operator="greaterThan">
      <formula>261</formula>
    </cfRule>
  </conditionalFormatting>
  <conditionalFormatting sqref="L13">
    <cfRule type="cellIs" dxfId="6" priority="10" operator="greaterThan">
      <formula>59</formula>
    </cfRule>
  </conditionalFormatting>
  <conditionalFormatting sqref="L16">
    <cfRule type="cellIs" dxfId="5" priority="9" operator="greaterThan">
      <formula>64</formula>
    </cfRule>
  </conditionalFormatting>
  <conditionalFormatting sqref="C29:E29">
    <cfRule type="cellIs" dxfId="4" priority="8" operator="lessThan">
      <formula>9160</formula>
    </cfRule>
  </conditionalFormatting>
  <conditionalFormatting sqref="F29">
    <cfRule type="cellIs" dxfId="3" priority="7" operator="equal">
      <formula>9160</formula>
    </cfRule>
  </conditionalFormatting>
  <conditionalFormatting sqref="B8:D8">
    <cfRule type="cellIs" dxfId="2" priority="3" operator="lessThan">
      <formula>$B$7</formula>
    </cfRule>
  </conditionalFormatting>
  <conditionalFormatting sqref="C26:E26">
    <cfRule type="cellIs" dxfId="1" priority="2" operator="lessThan">
      <formula>0</formula>
    </cfRule>
  </conditionalFormatting>
  <conditionalFormatting sqref="C35:D38">
    <cfRule type="cellIs" dxfId="0" priority="1" operator="lessThan">
      <formula>0</formula>
    </cfRule>
  </conditionalFormatting>
  <dataValidations count="8">
    <dataValidation allowBlank="1" showInputMessage="1" showErrorMessage="1" promptTitle="야간근로수당" prompt="근로기준법 제56조(연장·야간 및 휴일 근로)_x000a_③ 사용자는 야간근로(오후 10시부터 다음 날 오전 6시 사이의 근로를 말한다)에 대하여는 통상임금의 100분의 50 이상을 가산하여 근로자에게 지급하여야 한다. &lt;신설 2018.3.20&gt;" sqref="A36:B36" xr:uid="{B7C85617-38A2-4A57-BDE4-B48C7B00830D}"/>
    <dataValidation allowBlank="1" showInputMessage="1" showErrorMessage="1" promptTitle="근로기준법 제50조(근로시간)" prompt="①1주 간의 근로시간은 휴게시간을 제외하고 40시간을 초과할 수 없다._x000a_②1일의 근로시간은 휴게시간을 제외하고 8시간을 초과할 수 없다._x000a_③ 제1항 및 제2항에 따라 근로시간을 산정하는 경우 작업을 위하여 근로자가 사용자의 지휘·감독 아래에 있는 대기시간 등은 근로시간으로 본다. [신설 2012.2.1, 2020.5.26 제17326호(법률용어 정비를 위한 환경노동위원회 소관 65개 법률 일부개정을 위한 법률)]" sqref="C30:E30" xr:uid="{7CD06A44-1CC4-4DB9-A3FA-31AB7F9EEE3D}"/>
    <dataValidation allowBlank="1" showInputMessage="1" showErrorMessage="1" promptTitle="소정근로시간" prompt="8. “소정(所定)근로시간”이란 _x000a_제50조(근로시간), 제69조(근로시간) 본문 또는_x000a_ 「산업안전보건법」 제139조(유해·위험작업에 대한 근로시간 제한 등)제1항에 따른 근로시간의 범위에서 근로자와 사용자 사이에 정한 근로시간을 말한다." sqref="J28:J29" xr:uid="{21CF3329-1DA8-4CC2-BAF5-93743417A60F}"/>
    <dataValidation allowBlank="1" showInputMessage="1" showErrorMessage="1" promptTitle="주40시간 기준" prompt="주12시간 연장근로 초과 금지_x000a_225.952381시간 초과 금지?_x000a_261시간 초과 금지 ?" sqref="C31:E31" xr:uid="{6A1CC830-C59B-47F7-AE8F-21CF897E7778}"/>
    <dataValidation allowBlank="1" showInputMessage="1" showErrorMessage="1" promptTitle="주40시간기준" prompt="52시간 초과금지_x000a_근로기준법 제53조(연장 근로의 제한)" sqref="F31:G31" xr:uid="{F3E8AB14-7567-4DF2-B3C5-C50BCBB917D0}"/>
    <dataValidation allowBlank="1" showInputMessage="1" showErrorMessage="1" promptTitle="연장근로수당" prompt="근로기준법 제56조(연장·야간 및 휴일 근로)_x000a_① 사용자는 연장근로(제53조ㆍ제59조 및 제69조 단서에 따라 연장된 시간의 근로를 말한다)에 대하여는 통상임금의 100분의 50 이상을 가산하여 근로자에게 지급하여야 한다. &lt;개정 2018.3.20&gt;" sqref="A35:B35" xr:uid="{D5E195AB-A1B5-46F3-B6B7-EC54DFAB6FBA}"/>
    <dataValidation allowBlank="1" showInputMessage="1" showErrorMessage="1" promptTitle="휴일근로수당" prompt="근로기준법 제56조(연장·야간 및 휴일 근로)_x000a_② 제1항(연장근로)에도 불구하고 사용자는 휴일근로에 대하여는 다음 각 호의 기준에 따른 금액 이상을 가산하여 근로자에게 지급하여야 한다. &lt;신설 2018.3.20&gt;_x000a__x000a_1. 8시간 이내의 휴일근로: 통상임금의 100분의 50_x000a_2. 8시간을 초과한 휴일근로: 통상임금의 100분의 100" sqref="A37:B38" xr:uid="{8EA2F288-84A6-406D-A9A3-9AE51BCA80D6}"/>
    <dataValidation allowBlank="1" showInputMessage="1" showErrorMessage="1" promptTitle="귀속월" prompt="귀속월의 실제 근무일수 기재" sqref="A31:B31" xr:uid="{DB30470F-8CCF-4520-A633-2DCDCDF32941}"/>
  </dataValidations>
  <hyperlinks>
    <hyperlink ref="A29:B29" r:id="rId1" display="기본시간급 | 시급(주휴포함)" xr:uid="{67B31168-8CFD-4FC6-99A5-88D650940986}"/>
    <hyperlink ref="A28:B28" r:id="rId2" display="통상시급" xr:uid="{35239CF0-AF06-48B2-B6EB-0B6F5FD8167C}"/>
    <hyperlink ref="A33:J33" r:id="rId3" display="계산 방법" xr:uid="{EA185C6B-FF85-4506-94C0-52A92FCEFD51}"/>
    <hyperlink ref="G16:H16" r:id="rId4" display="고용보험료" xr:uid="{402303E7-D6C8-41D9-B1E1-8E812C25A6FD}"/>
    <hyperlink ref="B9" r:id="rId5" xr:uid="{61BF0DAF-5B65-41E7-859C-A9D85EB49E5B}"/>
    <hyperlink ref="M16" r:id="rId6" display="https://blog.naver.com/hope-pys/222547604214" xr:uid="{F93BBA42-1EF9-484F-8936-831BD43DEB53}"/>
    <hyperlink ref="L3" r:id="rId7" xr:uid="{885C80B1-CF0C-45A6-87AC-DB74819E9FD5}"/>
    <hyperlink ref="N16" r:id="rId8" xr:uid="{42CDB3AD-FF70-418E-B419-7FC790952925}"/>
    <hyperlink ref="M6" r:id="rId9" xr:uid="{D9CABBE9-C982-4AFD-8CF7-CF2E85023D9B}"/>
    <hyperlink ref="P26" location="최저임금!A1" display="최저임금은" xr:uid="{8F24DB4C-282C-467F-95F6-010268391B5D}"/>
    <hyperlink ref="L10" r:id="rId10" xr:uid="{B1CF931C-F3E9-4866-B396-36019917C018}"/>
    <hyperlink ref="L9" r:id="rId11" display="상시근로자 5인이상 연차수당 " xr:uid="{673A09B4-9388-4D29-AB0E-A9CDFF3A2B2E}"/>
    <hyperlink ref="B14:D14" r:id="rId12" display="★주휴수당★ (별도표기)" xr:uid="{8C6DF18D-8E80-4AF5-8495-6878742EE422}"/>
    <hyperlink ref="B20:D20" r:id="rId13" display="연차휴가수당" xr:uid="{AF6BE4FA-E4C1-49E6-A6C8-B4CC798E35EA}"/>
    <hyperlink ref="R30" r:id="rId14" display="1년 계약직 연차 11일 (대법원2021다227100)" xr:uid="{8B7DE2C0-F755-45E6-AD73-F8EE5E1D678F}"/>
    <hyperlink ref="N37" r:id="rId15" xr:uid="{6086434B-AF26-44EA-8597-A2D1FABA43E1}"/>
    <hyperlink ref="L16" r:id="rId16" display="https://cafe.daum.net/transtax/FWkz/224" xr:uid="{247E90B2-8DDD-462D-8A95-ACE615899D80}"/>
    <hyperlink ref="N8" r:id="rId17" xr:uid="{71040A3B-AAB6-40E8-97D0-0B23CEEA3F52}"/>
    <hyperlink ref="G12:H12" r:id="rId18" display="공제 항목" xr:uid="{9F4DAEE1-0EC3-4F3F-A699-C258693CB270}"/>
  </hyperlink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portrait" verticalDpi="0" r:id="rId19"/>
  <drawing r:id="rId20"/>
  <legacyDrawing r:id="rId2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22" name="Group Box 1">
              <controlPr defaultSize="0" autoFill="0" autoPict="0">
                <anchor moveWithCells="1">
                  <from>
                    <xdr:col>14</xdr:col>
                    <xdr:colOff>0</xdr:colOff>
                    <xdr:row>2</xdr:row>
                    <xdr:rowOff>0</xdr:rowOff>
                  </from>
                  <to>
                    <xdr:col>16</xdr:col>
                    <xdr:colOff>590550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23" name="Option Button 2">
              <controlPr defaultSize="0" autoFill="0" autoLine="0" autoPict="0">
                <anchor moveWithCells="1">
                  <from>
                    <xdr:col>14</xdr:col>
                    <xdr:colOff>76200</xdr:colOff>
                    <xdr:row>2</xdr:row>
                    <xdr:rowOff>104775</xdr:rowOff>
                  </from>
                  <to>
                    <xdr:col>14</xdr:col>
                    <xdr:colOff>885825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24" name="Option Button 3">
              <controlPr defaultSize="0" autoFill="0" autoLine="0" autoPict="0">
                <anchor moveWithCells="1">
                  <from>
                    <xdr:col>15</xdr:col>
                    <xdr:colOff>219075</xdr:colOff>
                    <xdr:row>2</xdr:row>
                    <xdr:rowOff>104775</xdr:rowOff>
                  </from>
                  <to>
                    <xdr:col>16</xdr:col>
                    <xdr:colOff>304800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25" name="Group Box 4">
              <controlPr defaultSize="0" autoFill="0" autoPict="0">
                <anchor moveWithCells="1">
                  <from>
                    <xdr:col>18</xdr:col>
                    <xdr:colOff>257175</xdr:colOff>
                    <xdr:row>1</xdr:row>
                    <xdr:rowOff>9525</xdr:rowOff>
                  </from>
                  <to>
                    <xdr:col>22</xdr:col>
                    <xdr:colOff>66675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26" name="Option Button 5">
              <controlPr defaultSize="0" autoFill="0" autoLine="0" autoPict="0">
                <anchor moveWithCells="1">
                  <from>
                    <xdr:col>18</xdr:col>
                    <xdr:colOff>381000</xdr:colOff>
                    <xdr:row>2</xdr:row>
                    <xdr:rowOff>133350</xdr:rowOff>
                  </from>
                  <to>
                    <xdr:col>19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6" r:id="rId27" name="Option Button 6">
              <controlPr defaultSize="0" autoFill="0" autoLine="0" autoPict="0">
                <anchor moveWithCells="1">
                  <from>
                    <xdr:col>20</xdr:col>
                    <xdr:colOff>190500</xdr:colOff>
                    <xdr:row>2</xdr:row>
                    <xdr:rowOff>161925</xdr:rowOff>
                  </from>
                  <to>
                    <xdr:col>21</xdr:col>
                    <xdr:colOff>533400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7" r:id="rId28" name="Group Box 7">
              <controlPr defaultSize="0" autoFill="0" autoPict="0">
                <anchor moveWithCells="1">
                  <from>
                    <xdr:col>0</xdr:col>
                    <xdr:colOff>76200</xdr:colOff>
                    <xdr:row>1</xdr:row>
                    <xdr:rowOff>28575</xdr:rowOff>
                  </from>
                  <to>
                    <xdr:col>3</xdr:col>
                    <xdr:colOff>57150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8" r:id="rId29" name="Option Button 8">
              <controlPr defaultSize="0" autoFill="0" autoLine="0" autoPict="0">
                <anchor moveWithCells="1">
                  <from>
                    <xdr:col>0</xdr:col>
                    <xdr:colOff>142875</xdr:colOff>
                    <xdr:row>2</xdr:row>
                    <xdr:rowOff>57150</xdr:rowOff>
                  </from>
                  <to>
                    <xdr:col>1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9" r:id="rId30" name="Option Button 9">
              <controlPr defaultSize="0" autoFill="0" autoLine="0" autoPict="0">
                <anchor moveWithCells="1">
                  <from>
                    <xdr:col>1</xdr:col>
                    <xdr:colOff>304800</xdr:colOff>
                    <xdr:row>2</xdr:row>
                    <xdr:rowOff>66675</xdr:rowOff>
                  </from>
                  <to>
                    <xdr:col>2</xdr:col>
                    <xdr:colOff>257175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0" r:id="rId31" name="Group Box 10">
              <controlPr defaultSize="0" autoFill="0" autoPict="0">
                <anchor moveWithCells="1">
                  <from>
                    <xdr:col>16</xdr:col>
                    <xdr:colOff>542925</xdr:colOff>
                    <xdr:row>11</xdr:row>
                    <xdr:rowOff>57150</xdr:rowOff>
                  </from>
                  <to>
                    <xdr:col>19</xdr:col>
                    <xdr:colOff>609600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1" r:id="rId32" name="Group Box 11">
              <controlPr defaultSize="0" autoFill="0" autoPict="0">
                <anchor moveWithCells="1">
                  <from>
                    <xdr:col>16</xdr:col>
                    <xdr:colOff>561975</xdr:colOff>
                    <xdr:row>17</xdr:row>
                    <xdr:rowOff>133350</xdr:rowOff>
                  </from>
                  <to>
                    <xdr:col>19</xdr:col>
                    <xdr:colOff>600075</xdr:colOff>
                    <xdr:row>22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2" r:id="rId33" name="Option Button 12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85725</xdr:rowOff>
                  </from>
                  <to>
                    <xdr:col>17</xdr:col>
                    <xdr:colOff>800100</xdr:colOff>
                    <xdr:row>14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3" r:id="rId34" name="Option Button 13">
              <controlPr defaultSize="0" autoFill="0" autoLine="0" autoPict="0">
                <anchor moveWithCells="1">
                  <from>
                    <xdr:col>18</xdr:col>
                    <xdr:colOff>352425</xdr:colOff>
                    <xdr:row>13</xdr:row>
                    <xdr:rowOff>95250</xdr:rowOff>
                  </from>
                  <to>
                    <xdr:col>19</xdr:col>
                    <xdr:colOff>180975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4" r:id="rId35" name="Option Button 14">
              <controlPr defaultSize="0" autoFill="0" autoLine="0" autoPict="0">
                <anchor moveWithCells="1">
                  <from>
                    <xdr:col>16</xdr:col>
                    <xdr:colOff>657225</xdr:colOff>
                    <xdr:row>19</xdr:row>
                    <xdr:rowOff>161925</xdr:rowOff>
                  </from>
                  <to>
                    <xdr:col>17</xdr:col>
                    <xdr:colOff>800100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5" r:id="rId36" name="Option Button 15">
              <controlPr defaultSize="0" autoFill="0" autoLine="0" autoPict="0">
                <anchor moveWithCells="1">
                  <from>
                    <xdr:col>18</xdr:col>
                    <xdr:colOff>428625</xdr:colOff>
                    <xdr:row>19</xdr:row>
                    <xdr:rowOff>180975</xdr:rowOff>
                  </from>
                  <to>
                    <xdr:col>19</xdr:col>
                    <xdr:colOff>219075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65" r:id="rId37" name="Group Box 45">
              <controlPr defaultSize="0" autoFill="0" autoPict="0">
                <anchor moveWithCells="1">
                  <from>
                    <xdr:col>16</xdr:col>
                    <xdr:colOff>542925</xdr:colOff>
                    <xdr:row>7</xdr:row>
                    <xdr:rowOff>66675</xdr:rowOff>
                  </from>
                  <to>
                    <xdr:col>19</xdr:col>
                    <xdr:colOff>609600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66" r:id="rId38" name="Option Button 46">
              <controlPr defaultSize="0" autoFill="0" autoLine="0" autoPict="0">
                <anchor moveWithCells="1">
                  <from>
                    <xdr:col>17</xdr:col>
                    <xdr:colOff>19050</xdr:colOff>
                    <xdr:row>8</xdr:row>
                    <xdr:rowOff>133350</xdr:rowOff>
                  </from>
                  <to>
                    <xdr:col>17</xdr:col>
                    <xdr:colOff>752475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67" r:id="rId39" name="Option Button 47">
              <controlPr defaultSize="0" autoFill="0" autoLine="0" autoPict="0">
                <anchor moveWithCells="1">
                  <from>
                    <xdr:col>18</xdr:col>
                    <xdr:colOff>95250</xdr:colOff>
                    <xdr:row>8</xdr:row>
                    <xdr:rowOff>133350</xdr:rowOff>
                  </from>
                  <to>
                    <xdr:col>19</xdr:col>
                    <xdr:colOff>485775</xdr:colOff>
                    <xdr:row>9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C7689-7400-4523-9259-635ACBE470F9}">
  <sheetPr codeName="Sheet20"/>
  <dimension ref="A1:T665"/>
  <sheetViews>
    <sheetView workbookViewId="0">
      <pane ySplit="4" topLeftCell="A646" activePane="bottomLeft" state="frozen"/>
      <selection pane="bottomLeft" activeCell="D667" sqref="D667"/>
    </sheetView>
  </sheetViews>
  <sheetFormatPr defaultRowHeight="12"/>
  <cols>
    <col min="1" max="2" width="10.625" style="275" customWidth="1"/>
    <col min="3" max="14" width="9" style="275"/>
    <col min="15" max="15" width="9.5" style="275" bestFit="1" customWidth="1"/>
    <col min="16" max="16" width="33.875" style="275" bestFit="1" customWidth="1"/>
    <col min="17" max="18" width="10.25" style="275" bestFit="1" customWidth="1"/>
    <col min="19" max="256" width="9" style="275"/>
    <col min="257" max="258" width="10.625" style="275" customWidth="1"/>
    <col min="259" max="512" width="9" style="275"/>
    <col min="513" max="514" width="10.625" style="275" customWidth="1"/>
    <col min="515" max="768" width="9" style="275"/>
    <col min="769" max="770" width="10.625" style="275" customWidth="1"/>
    <col min="771" max="1024" width="9" style="275"/>
    <col min="1025" max="1026" width="10.625" style="275" customWidth="1"/>
    <col min="1027" max="1280" width="9" style="275"/>
    <col min="1281" max="1282" width="10.625" style="275" customWidth="1"/>
    <col min="1283" max="1536" width="9" style="275"/>
    <col min="1537" max="1538" width="10.625" style="275" customWidth="1"/>
    <col min="1539" max="1792" width="9" style="275"/>
    <col min="1793" max="1794" width="10.625" style="275" customWidth="1"/>
    <col min="1795" max="2048" width="9" style="275"/>
    <col min="2049" max="2050" width="10.625" style="275" customWidth="1"/>
    <col min="2051" max="2304" width="9" style="275"/>
    <col min="2305" max="2306" width="10.625" style="275" customWidth="1"/>
    <col min="2307" max="2560" width="9" style="275"/>
    <col min="2561" max="2562" width="10.625" style="275" customWidth="1"/>
    <col min="2563" max="2816" width="9" style="275"/>
    <col min="2817" max="2818" width="10.625" style="275" customWidth="1"/>
    <col min="2819" max="3072" width="9" style="275"/>
    <col min="3073" max="3074" width="10.625" style="275" customWidth="1"/>
    <col min="3075" max="3328" width="9" style="275"/>
    <col min="3329" max="3330" width="10.625" style="275" customWidth="1"/>
    <col min="3331" max="3584" width="9" style="275"/>
    <col min="3585" max="3586" width="10.625" style="275" customWidth="1"/>
    <col min="3587" max="3840" width="9" style="275"/>
    <col min="3841" max="3842" width="10.625" style="275" customWidth="1"/>
    <col min="3843" max="4096" width="9" style="275"/>
    <col min="4097" max="4098" width="10.625" style="275" customWidth="1"/>
    <col min="4099" max="4352" width="9" style="275"/>
    <col min="4353" max="4354" width="10.625" style="275" customWidth="1"/>
    <col min="4355" max="4608" width="9" style="275"/>
    <col min="4609" max="4610" width="10.625" style="275" customWidth="1"/>
    <col min="4611" max="4864" width="9" style="275"/>
    <col min="4865" max="4866" width="10.625" style="275" customWidth="1"/>
    <col min="4867" max="5120" width="9" style="275"/>
    <col min="5121" max="5122" width="10.625" style="275" customWidth="1"/>
    <col min="5123" max="5376" width="9" style="275"/>
    <col min="5377" max="5378" width="10.625" style="275" customWidth="1"/>
    <col min="5379" max="5632" width="9" style="275"/>
    <col min="5633" max="5634" width="10.625" style="275" customWidth="1"/>
    <col min="5635" max="5888" width="9" style="275"/>
    <col min="5889" max="5890" width="10.625" style="275" customWidth="1"/>
    <col min="5891" max="6144" width="9" style="275"/>
    <col min="6145" max="6146" width="10.625" style="275" customWidth="1"/>
    <col min="6147" max="6400" width="9" style="275"/>
    <col min="6401" max="6402" width="10.625" style="275" customWidth="1"/>
    <col min="6403" max="6656" width="9" style="275"/>
    <col min="6657" max="6658" width="10.625" style="275" customWidth="1"/>
    <col min="6659" max="6912" width="9" style="275"/>
    <col min="6913" max="6914" width="10.625" style="275" customWidth="1"/>
    <col min="6915" max="7168" width="9" style="275"/>
    <col min="7169" max="7170" width="10.625" style="275" customWidth="1"/>
    <col min="7171" max="7424" width="9" style="275"/>
    <col min="7425" max="7426" width="10.625" style="275" customWidth="1"/>
    <col min="7427" max="7680" width="9" style="275"/>
    <col min="7681" max="7682" width="10.625" style="275" customWidth="1"/>
    <col min="7683" max="7936" width="9" style="275"/>
    <col min="7937" max="7938" width="10.625" style="275" customWidth="1"/>
    <col min="7939" max="8192" width="9" style="275"/>
    <col min="8193" max="8194" width="10.625" style="275" customWidth="1"/>
    <col min="8195" max="8448" width="9" style="275"/>
    <col min="8449" max="8450" width="10.625" style="275" customWidth="1"/>
    <col min="8451" max="8704" width="9" style="275"/>
    <col min="8705" max="8706" width="10.625" style="275" customWidth="1"/>
    <col min="8707" max="8960" width="9" style="275"/>
    <col min="8961" max="8962" width="10.625" style="275" customWidth="1"/>
    <col min="8963" max="9216" width="9" style="275"/>
    <col min="9217" max="9218" width="10.625" style="275" customWidth="1"/>
    <col min="9219" max="9472" width="9" style="275"/>
    <col min="9473" max="9474" width="10.625" style="275" customWidth="1"/>
    <col min="9475" max="9728" width="9" style="275"/>
    <col min="9729" max="9730" width="10.625" style="275" customWidth="1"/>
    <col min="9731" max="9984" width="9" style="275"/>
    <col min="9985" max="9986" width="10.625" style="275" customWidth="1"/>
    <col min="9987" max="10240" width="9" style="275"/>
    <col min="10241" max="10242" width="10.625" style="275" customWidth="1"/>
    <col min="10243" max="10496" width="9" style="275"/>
    <col min="10497" max="10498" width="10.625" style="275" customWidth="1"/>
    <col min="10499" max="10752" width="9" style="275"/>
    <col min="10753" max="10754" width="10.625" style="275" customWidth="1"/>
    <col min="10755" max="11008" width="9" style="275"/>
    <col min="11009" max="11010" width="10.625" style="275" customWidth="1"/>
    <col min="11011" max="11264" width="9" style="275"/>
    <col min="11265" max="11266" width="10.625" style="275" customWidth="1"/>
    <col min="11267" max="11520" width="9" style="275"/>
    <col min="11521" max="11522" width="10.625" style="275" customWidth="1"/>
    <col min="11523" max="11776" width="9" style="275"/>
    <col min="11777" max="11778" width="10.625" style="275" customWidth="1"/>
    <col min="11779" max="12032" width="9" style="275"/>
    <col min="12033" max="12034" width="10.625" style="275" customWidth="1"/>
    <col min="12035" max="12288" width="9" style="275"/>
    <col min="12289" max="12290" width="10.625" style="275" customWidth="1"/>
    <col min="12291" max="12544" width="9" style="275"/>
    <col min="12545" max="12546" width="10.625" style="275" customWidth="1"/>
    <col min="12547" max="12800" width="9" style="275"/>
    <col min="12801" max="12802" width="10.625" style="275" customWidth="1"/>
    <col min="12803" max="13056" width="9" style="275"/>
    <col min="13057" max="13058" width="10.625" style="275" customWidth="1"/>
    <col min="13059" max="13312" width="9" style="275"/>
    <col min="13313" max="13314" width="10.625" style="275" customWidth="1"/>
    <col min="13315" max="13568" width="9" style="275"/>
    <col min="13569" max="13570" width="10.625" style="275" customWidth="1"/>
    <col min="13571" max="13824" width="9" style="275"/>
    <col min="13825" max="13826" width="10.625" style="275" customWidth="1"/>
    <col min="13827" max="14080" width="9" style="275"/>
    <col min="14081" max="14082" width="10.625" style="275" customWidth="1"/>
    <col min="14083" max="14336" width="9" style="275"/>
    <col min="14337" max="14338" width="10.625" style="275" customWidth="1"/>
    <col min="14339" max="14592" width="9" style="275"/>
    <col min="14593" max="14594" width="10.625" style="275" customWidth="1"/>
    <col min="14595" max="14848" width="9" style="275"/>
    <col min="14849" max="14850" width="10.625" style="275" customWidth="1"/>
    <col min="14851" max="15104" width="9" style="275"/>
    <col min="15105" max="15106" width="10.625" style="275" customWidth="1"/>
    <col min="15107" max="15360" width="9" style="275"/>
    <col min="15361" max="15362" width="10.625" style="275" customWidth="1"/>
    <col min="15363" max="15616" width="9" style="275"/>
    <col min="15617" max="15618" width="10.625" style="275" customWidth="1"/>
    <col min="15619" max="15872" width="9" style="275"/>
    <col min="15873" max="15874" width="10.625" style="275" customWidth="1"/>
    <col min="15875" max="16128" width="9" style="275"/>
    <col min="16129" max="16130" width="10.625" style="275" customWidth="1"/>
    <col min="16131" max="16384" width="9" style="275"/>
  </cols>
  <sheetData>
    <row r="1" spans="1:13" ht="24" customHeight="1">
      <c r="A1" s="1161" t="s">
        <v>1119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1161"/>
    </row>
    <row r="2" spans="1:13" ht="16.5" customHeight="1">
      <c r="A2" s="1162" t="s">
        <v>1120</v>
      </c>
      <c r="B2" s="1162"/>
      <c r="C2" s="1162"/>
      <c r="D2" s="1162"/>
      <c r="E2" s="1162"/>
      <c r="F2" s="1162"/>
      <c r="G2" s="1162"/>
      <c r="H2" s="1162"/>
      <c r="I2" s="1162"/>
      <c r="J2" s="1162"/>
      <c r="K2" s="1162"/>
      <c r="L2" s="1162"/>
      <c r="M2" s="1162"/>
    </row>
    <row r="3" spans="1:13" ht="15" customHeight="1">
      <c r="A3" s="1163" t="s">
        <v>1121</v>
      </c>
      <c r="B3" s="1163"/>
      <c r="C3" s="1164" t="s">
        <v>1122</v>
      </c>
      <c r="D3" s="1165"/>
      <c r="E3" s="1165"/>
      <c r="F3" s="1165"/>
      <c r="G3" s="1165"/>
      <c r="H3" s="1165"/>
      <c r="I3" s="1165"/>
      <c r="J3" s="1165"/>
      <c r="K3" s="1165"/>
      <c r="L3" s="1165"/>
      <c r="M3" s="1166"/>
    </row>
    <row r="4" spans="1:13" ht="15" customHeight="1">
      <c r="A4" s="1167" t="s">
        <v>1123</v>
      </c>
      <c r="B4" s="1168"/>
      <c r="C4" s="276">
        <v>1</v>
      </c>
      <c r="D4" s="276">
        <v>2</v>
      </c>
      <c r="E4" s="276">
        <v>3</v>
      </c>
      <c r="F4" s="276">
        <v>4</v>
      </c>
      <c r="G4" s="276">
        <v>5</v>
      </c>
      <c r="H4" s="276">
        <v>6</v>
      </c>
      <c r="I4" s="276">
        <v>7</v>
      </c>
      <c r="J4" s="276">
        <v>8</v>
      </c>
      <c r="K4" s="276">
        <v>9</v>
      </c>
      <c r="L4" s="276">
        <v>10</v>
      </c>
      <c r="M4" s="276">
        <v>11</v>
      </c>
    </row>
    <row r="5" spans="1:13" ht="15" customHeight="1">
      <c r="A5" s="276" t="s">
        <v>1124</v>
      </c>
      <c r="B5" s="276" t="s">
        <v>1125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</row>
    <row r="6" spans="1:13" ht="15" customHeight="1">
      <c r="A6" s="277">
        <v>0</v>
      </c>
      <c r="B6" s="277">
        <v>770</v>
      </c>
      <c r="C6" s="277">
        <v>0</v>
      </c>
      <c r="D6" s="277">
        <v>0</v>
      </c>
      <c r="E6" s="277">
        <v>0</v>
      </c>
      <c r="F6" s="277">
        <v>0</v>
      </c>
      <c r="G6" s="277">
        <v>0</v>
      </c>
      <c r="H6" s="277">
        <v>0</v>
      </c>
      <c r="I6" s="277">
        <v>0</v>
      </c>
      <c r="J6" s="277">
        <v>0</v>
      </c>
      <c r="K6" s="277">
        <v>0</v>
      </c>
      <c r="L6" s="277">
        <v>0</v>
      </c>
      <c r="M6" s="277">
        <v>0</v>
      </c>
    </row>
    <row r="7" spans="1:13" ht="15" customHeight="1">
      <c r="A7" s="276">
        <v>770</v>
      </c>
      <c r="B7" s="276">
        <v>775</v>
      </c>
      <c r="C7" s="277">
        <v>0</v>
      </c>
      <c r="D7" s="277">
        <v>0</v>
      </c>
      <c r="E7" s="277">
        <v>0</v>
      </c>
      <c r="F7" s="277">
        <v>0</v>
      </c>
      <c r="G7" s="277">
        <v>0</v>
      </c>
      <c r="H7" s="277">
        <v>0</v>
      </c>
      <c r="I7" s="277">
        <v>0</v>
      </c>
      <c r="J7" s="277">
        <v>0</v>
      </c>
      <c r="K7" s="277">
        <v>0</v>
      </c>
      <c r="L7" s="277">
        <v>0</v>
      </c>
      <c r="M7" s="277">
        <v>0</v>
      </c>
    </row>
    <row r="8" spans="1:13" ht="15" customHeight="1">
      <c r="A8" s="276">
        <v>775</v>
      </c>
      <c r="B8" s="276">
        <v>780</v>
      </c>
      <c r="C8" s="277">
        <v>0</v>
      </c>
      <c r="D8" s="277">
        <v>0</v>
      </c>
      <c r="E8" s="277">
        <v>0</v>
      </c>
      <c r="F8" s="277">
        <v>0</v>
      </c>
      <c r="G8" s="277">
        <v>0</v>
      </c>
      <c r="H8" s="277">
        <v>0</v>
      </c>
      <c r="I8" s="277">
        <v>0</v>
      </c>
      <c r="J8" s="277">
        <v>0</v>
      </c>
      <c r="K8" s="277">
        <v>0</v>
      </c>
      <c r="L8" s="277">
        <v>0</v>
      </c>
      <c r="M8" s="277">
        <v>0</v>
      </c>
    </row>
    <row r="9" spans="1:13" ht="15" customHeight="1">
      <c r="A9" s="276">
        <v>780</v>
      </c>
      <c r="B9" s="276">
        <v>785</v>
      </c>
      <c r="C9" s="277">
        <v>0</v>
      </c>
      <c r="D9" s="277">
        <v>0</v>
      </c>
      <c r="E9" s="277">
        <v>0</v>
      </c>
      <c r="F9" s="277">
        <v>0</v>
      </c>
      <c r="G9" s="277">
        <v>0</v>
      </c>
      <c r="H9" s="277">
        <v>0</v>
      </c>
      <c r="I9" s="277">
        <v>0</v>
      </c>
      <c r="J9" s="277">
        <v>0</v>
      </c>
      <c r="K9" s="277">
        <v>0</v>
      </c>
      <c r="L9" s="277">
        <v>0</v>
      </c>
      <c r="M9" s="277">
        <v>0</v>
      </c>
    </row>
    <row r="10" spans="1:13" ht="15" customHeight="1">
      <c r="A10" s="276">
        <v>785</v>
      </c>
      <c r="B10" s="276">
        <v>790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J10" s="277">
        <v>0</v>
      </c>
      <c r="K10" s="277">
        <v>0</v>
      </c>
      <c r="L10" s="277">
        <v>0</v>
      </c>
      <c r="M10" s="277">
        <v>0</v>
      </c>
    </row>
    <row r="11" spans="1:13" ht="15" customHeight="1">
      <c r="A11" s="276">
        <v>790</v>
      </c>
      <c r="B11" s="276">
        <v>795</v>
      </c>
      <c r="C11" s="277">
        <v>0</v>
      </c>
      <c r="D11" s="277">
        <v>0</v>
      </c>
      <c r="E11" s="277">
        <v>0</v>
      </c>
      <c r="F11" s="277">
        <v>0</v>
      </c>
      <c r="G11" s="277">
        <v>0</v>
      </c>
      <c r="H11" s="277">
        <v>0</v>
      </c>
      <c r="I11" s="277">
        <v>0</v>
      </c>
      <c r="J11" s="277">
        <v>0</v>
      </c>
      <c r="K11" s="277">
        <v>0</v>
      </c>
      <c r="L11" s="277">
        <v>0</v>
      </c>
      <c r="M11" s="277">
        <v>0</v>
      </c>
    </row>
    <row r="12" spans="1:13" ht="15" customHeight="1">
      <c r="A12" s="276">
        <v>795</v>
      </c>
      <c r="B12" s="276">
        <v>800</v>
      </c>
      <c r="C12" s="277">
        <v>0</v>
      </c>
      <c r="D12" s="277">
        <v>0</v>
      </c>
      <c r="E12" s="277">
        <v>0</v>
      </c>
      <c r="F12" s="277">
        <v>0</v>
      </c>
      <c r="G12" s="277">
        <v>0</v>
      </c>
      <c r="H12" s="277">
        <v>0</v>
      </c>
      <c r="I12" s="277">
        <v>0</v>
      </c>
      <c r="J12" s="277">
        <v>0</v>
      </c>
      <c r="K12" s="277">
        <v>0</v>
      </c>
      <c r="L12" s="277">
        <v>0</v>
      </c>
      <c r="M12" s="277">
        <v>0</v>
      </c>
    </row>
    <row r="13" spans="1:13" ht="15" customHeight="1">
      <c r="A13" s="276">
        <v>800</v>
      </c>
      <c r="B13" s="276">
        <v>805</v>
      </c>
      <c r="C13" s="277">
        <v>0</v>
      </c>
      <c r="D13" s="277">
        <v>0</v>
      </c>
      <c r="E13" s="277">
        <v>0</v>
      </c>
      <c r="F13" s="277">
        <v>0</v>
      </c>
      <c r="G13" s="277">
        <v>0</v>
      </c>
      <c r="H13" s="277">
        <v>0</v>
      </c>
      <c r="I13" s="277">
        <v>0</v>
      </c>
      <c r="J13" s="277">
        <v>0</v>
      </c>
      <c r="K13" s="277">
        <v>0</v>
      </c>
      <c r="L13" s="277">
        <v>0</v>
      </c>
      <c r="M13" s="277">
        <v>0</v>
      </c>
    </row>
    <row r="14" spans="1:13" ht="15" customHeight="1">
      <c r="A14" s="276">
        <v>805</v>
      </c>
      <c r="B14" s="276">
        <v>810</v>
      </c>
      <c r="C14" s="277">
        <v>0</v>
      </c>
      <c r="D14" s="277">
        <v>0</v>
      </c>
      <c r="E14" s="277">
        <v>0</v>
      </c>
      <c r="F14" s="277">
        <v>0</v>
      </c>
      <c r="G14" s="277">
        <v>0</v>
      </c>
      <c r="H14" s="277">
        <v>0</v>
      </c>
      <c r="I14" s="277">
        <v>0</v>
      </c>
      <c r="J14" s="277">
        <v>0</v>
      </c>
      <c r="K14" s="277">
        <v>0</v>
      </c>
      <c r="L14" s="277">
        <v>0</v>
      </c>
      <c r="M14" s="277">
        <v>0</v>
      </c>
    </row>
    <row r="15" spans="1:13" ht="15" customHeight="1">
      <c r="A15" s="276">
        <v>810</v>
      </c>
      <c r="B15" s="276">
        <v>815</v>
      </c>
      <c r="C15" s="277">
        <v>0</v>
      </c>
      <c r="D15" s="277">
        <v>0</v>
      </c>
      <c r="E15" s="277">
        <v>0</v>
      </c>
      <c r="F15" s="277">
        <v>0</v>
      </c>
      <c r="G15" s="277">
        <v>0</v>
      </c>
      <c r="H15" s="277">
        <v>0</v>
      </c>
      <c r="I15" s="277">
        <v>0</v>
      </c>
      <c r="J15" s="277">
        <v>0</v>
      </c>
      <c r="K15" s="277">
        <v>0</v>
      </c>
      <c r="L15" s="277">
        <v>0</v>
      </c>
      <c r="M15" s="277">
        <v>0</v>
      </c>
    </row>
    <row r="16" spans="1:13" ht="15" customHeight="1">
      <c r="A16" s="276">
        <v>815</v>
      </c>
      <c r="B16" s="276">
        <v>820</v>
      </c>
      <c r="C16" s="277">
        <v>0</v>
      </c>
      <c r="D16" s="277">
        <v>0</v>
      </c>
      <c r="E16" s="277">
        <v>0</v>
      </c>
      <c r="F16" s="277">
        <v>0</v>
      </c>
      <c r="G16" s="277">
        <v>0</v>
      </c>
      <c r="H16" s="277">
        <v>0</v>
      </c>
      <c r="I16" s="277">
        <v>0</v>
      </c>
      <c r="J16" s="277">
        <v>0</v>
      </c>
      <c r="K16" s="277">
        <v>0</v>
      </c>
      <c r="L16" s="277">
        <v>0</v>
      </c>
      <c r="M16" s="277">
        <v>0</v>
      </c>
    </row>
    <row r="17" spans="1:13" ht="15" customHeight="1">
      <c r="A17" s="276">
        <v>820</v>
      </c>
      <c r="B17" s="276">
        <v>825</v>
      </c>
      <c r="C17" s="277">
        <v>0</v>
      </c>
      <c r="D17" s="277">
        <v>0</v>
      </c>
      <c r="E17" s="277">
        <v>0</v>
      </c>
      <c r="F17" s="277">
        <v>0</v>
      </c>
      <c r="G17" s="277">
        <v>0</v>
      </c>
      <c r="H17" s="277">
        <v>0</v>
      </c>
      <c r="I17" s="277">
        <v>0</v>
      </c>
      <c r="J17" s="277">
        <v>0</v>
      </c>
      <c r="K17" s="277">
        <v>0</v>
      </c>
      <c r="L17" s="277">
        <v>0</v>
      </c>
      <c r="M17" s="277">
        <v>0</v>
      </c>
    </row>
    <row r="18" spans="1:13" ht="15" customHeight="1">
      <c r="A18" s="276">
        <v>825</v>
      </c>
      <c r="B18" s="276">
        <v>830</v>
      </c>
      <c r="C18" s="277">
        <v>0</v>
      </c>
      <c r="D18" s="277">
        <v>0</v>
      </c>
      <c r="E18" s="277">
        <v>0</v>
      </c>
      <c r="F18" s="277">
        <v>0</v>
      </c>
      <c r="G18" s="277">
        <v>0</v>
      </c>
      <c r="H18" s="277">
        <v>0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</row>
    <row r="19" spans="1:13" ht="15" customHeight="1">
      <c r="A19" s="276">
        <v>830</v>
      </c>
      <c r="B19" s="276">
        <v>835</v>
      </c>
      <c r="C19" s="277">
        <v>0</v>
      </c>
      <c r="D19" s="277">
        <v>0</v>
      </c>
      <c r="E19" s="277">
        <v>0</v>
      </c>
      <c r="F19" s="277">
        <v>0</v>
      </c>
      <c r="G19" s="277">
        <v>0</v>
      </c>
      <c r="H19" s="277">
        <v>0</v>
      </c>
      <c r="I19" s="277">
        <v>0</v>
      </c>
      <c r="J19" s="277">
        <v>0</v>
      </c>
      <c r="K19" s="277">
        <v>0</v>
      </c>
      <c r="L19" s="277">
        <v>0</v>
      </c>
      <c r="M19" s="277">
        <v>0</v>
      </c>
    </row>
    <row r="20" spans="1:13" ht="15" customHeight="1">
      <c r="A20" s="276">
        <v>835</v>
      </c>
      <c r="B20" s="276">
        <v>840</v>
      </c>
      <c r="C20" s="277">
        <v>0</v>
      </c>
      <c r="D20" s="277">
        <v>0</v>
      </c>
      <c r="E20" s="277">
        <v>0</v>
      </c>
      <c r="F20" s="277">
        <v>0</v>
      </c>
      <c r="G20" s="277">
        <v>0</v>
      </c>
      <c r="H20" s="277">
        <v>0</v>
      </c>
      <c r="I20" s="277">
        <v>0</v>
      </c>
      <c r="J20" s="277">
        <v>0</v>
      </c>
      <c r="K20" s="277">
        <v>0</v>
      </c>
      <c r="L20" s="277">
        <v>0</v>
      </c>
      <c r="M20" s="277">
        <v>0</v>
      </c>
    </row>
    <row r="21" spans="1:13" ht="15" customHeight="1">
      <c r="A21" s="276">
        <v>840</v>
      </c>
      <c r="B21" s="276">
        <v>845</v>
      </c>
      <c r="C21" s="277">
        <v>0</v>
      </c>
      <c r="D21" s="277">
        <v>0</v>
      </c>
      <c r="E21" s="277">
        <v>0</v>
      </c>
      <c r="F21" s="277">
        <v>0</v>
      </c>
      <c r="G21" s="277">
        <v>0</v>
      </c>
      <c r="H21" s="277">
        <v>0</v>
      </c>
      <c r="I21" s="277">
        <v>0</v>
      </c>
      <c r="J21" s="277">
        <v>0</v>
      </c>
      <c r="K21" s="277">
        <v>0</v>
      </c>
      <c r="L21" s="277">
        <v>0</v>
      </c>
      <c r="M21" s="277">
        <v>0</v>
      </c>
    </row>
    <row r="22" spans="1:13" ht="15" customHeight="1">
      <c r="A22" s="276">
        <v>845</v>
      </c>
      <c r="B22" s="276">
        <v>850</v>
      </c>
      <c r="C22" s="277">
        <v>0</v>
      </c>
      <c r="D22" s="277">
        <v>0</v>
      </c>
      <c r="E22" s="277">
        <v>0</v>
      </c>
      <c r="F22" s="277">
        <v>0</v>
      </c>
      <c r="G22" s="277">
        <v>0</v>
      </c>
      <c r="H22" s="277">
        <v>0</v>
      </c>
      <c r="I22" s="277">
        <v>0</v>
      </c>
      <c r="J22" s="277">
        <v>0</v>
      </c>
      <c r="K22" s="277">
        <v>0</v>
      </c>
      <c r="L22" s="277">
        <v>0</v>
      </c>
      <c r="M22" s="277">
        <v>0</v>
      </c>
    </row>
    <row r="23" spans="1:13" ht="15" customHeight="1">
      <c r="A23" s="276">
        <v>850</v>
      </c>
      <c r="B23" s="276">
        <v>855</v>
      </c>
      <c r="C23" s="277">
        <v>0</v>
      </c>
      <c r="D23" s="277">
        <v>0</v>
      </c>
      <c r="E23" s="277">
        <v>0</v>
      </c>
      <c r="F23" s="277">
        <v>0</v>
      </c>
      <c r="G23" s="277">
        <v>0</v>
      </c>
      <c r="H23" s="277">
        <v>0</v>
      </c>
      <c r="I23" s="277">
        <v>0</v>
      </c>
      <c r="J23" s="277">
        <v>0</v>
      </c>
      <c r="K23" s="277">
        <v>0</v>
      </c>
      <c r="L23" s="277">
        <v>0</v>
      </c>
      <c r="M23" s="277">
        <v>0</v>
      </c>
    </row>
    <row r="24" spans="1:13" ht="15" customHeight="1">
      <c r="A24" s="276">
        <v>855</v>
      </c>
      <c r="B24" s="276">
        <v>860</v>
      </c>
      <c r="C24" s="277">
        <v>0</v>
      </c>
      <c r="D24" s="277">
        <v>0</v>
      </c>
      <c r="E24" s="277">
        <v>0</v>
      </c>
      <c r="F24" s="277">
        <v>0</v>
      </c>
      <c r="G24" s="277">
        <v>0</v>
      </c>
      <c r="H24" s="277">
        <v>0</v>
      </c>
      <c r="I24" s="277">
        <v>0</v>
      </c>
      <c r="J24" s="277">
        <v>0</v>
      </c>
      <c r="K24" s="277">
        <v>0</v>
      </c>
      <c r="L24" s="277">
        <v>0</v>
      </c>
      <c r="M24" s="277">
        <v>0</v>
      </c>
    </row>
    <row r="25" spans="1:13" ht="15" customHeight="1">
      <c r="A25" s="276">
        <v>860</v>
      </c>
      <c r="B25" s="276">
        <v>865</v>
      </c>
      <c r="C25" s="277">
        <v>0</v>
      </c>
      <c r="D25" s="277">
        <v>0</v>
      </c>
      <c r="E25" s="277">
        <v>0</v>
      </c>
      <c r="F25" s="277">
        <v>0</v>
      </c>
      <c r="G25" s="277">
        <v>0</v>
      </c>
      <c r="H25" s="277">
        <v>0</v>
      </c>
      <c r="I25" s="277">
        <v>0</v>
      </c>
      <c r="J25" s="277">
        <v>0</v>
      </c>
      <c r="K25" s="277">
        <v>0</v>
      </c>
      <c r="L25" s="277">
        <v>0</v>
      </c>
      <c r="M25" s="277">
        <v>0</v>
      </c>
    </row>
    <row r="26" spans="1:13" ht="15" customHeight="1">
      <c r="A26" s="276">
        <v>865</v>
      </c>
      <c r="B26" s="276">
        <v>870</v>
      </c>
      <c r="C26" s="277">
        <v>0</v>
      </c>
      <c r="D26" s="277">
        <v>0</v>
      </c>
      <c r="E26" s="277">
        <v>0</v>
      </c>
      <c r="F26" s="277">
        <v>0</v>
      </c>
      <c r="G26" s="277">
        <v>0</v>
      </c>
      <c r="H26" s="277">
        <v>0</v>
      </c>
      <c r="I26" s="277">
        <v>0</v>
      </c>
      <c r="J26" s="277">
        <v>0</v>
      </c>
      <c r="K26" s="277">
        <v>0</v>
      </c>
      <c r="L26" s="277">
        <v>0</v>
      </c>
      <c r="M26" s="277">
        <v>0</v>
      </c>
    </row>
    <row r="27" spans="1:13" ht="15" customHeight="1">
      <c r="A27" s="276">
        <v>870</v>
      </c>
      <c r="B27" s="276">
        <v>875</v>
      </c>
      <c r="C27" s="277">
        <v>0</v>
      </c>
      <c r="D27" s="277">
        <v>0</v>
      </c>
      <c r="E27" s="277">
        <v>0</v>
      </c>
      <c r="F27" s="277">
        <v>0</v>
      </c>
      <c r="G27" s="277">
        <v>0</v>
      </c>
      <c r="H27" s="277">
        <v>0</v>
      </c>
      <c r="I27" s="277">
        <v>0</v>
      </c>
      <c r="J27" s="277">
        <v>0</v>
      </c>
      <c r="K27" s="277">
        <v>0</v>
      </c>
      <c r="L27" s="277">
        <v>0</v>
      </c>
      <c r="M27" s="277">
        <v>0</v>
      </c>
    </row>
    <row r="28" spans="1:13" ht="15" customHeight="1">
      <c r="A28" s="276">
        <v>875</v>
      </c>
      <c r="B28" s="276">
        <v>880</v>
      </c>
      <c r="C28" s="277">
        <v>0</v>
      </c>
      <c r="D28" s="277">
        <v>0</v>
      </c>
      <c r="E28" s="277">
        <v>0</v>
      </c>
      <c r="F28" s="277">
        <v>0</v>
      </c>
      <c r="G28" s="277">
        <v>0</v>
      </c>
      <c r="H28" s="277">
        <v>0</v>
      </c>
      <c r="I28" s="277">
        <v>0</v>
      </c>
      <c r="J28" s="277">
        <v>0</v>
      </c>
      <c r="K28" s="277">
        <v>0</v>
      </c>
      <c r="L28" s="277">
        <v>0</v>
      </c>
      <c r="M28" s="277">
        <v>0</v>
      </c>
    </row>
    <row r="29" spans="1:13" ht="15" customHeight="1">
      <c r="A29" s="276">
        <v>880</v>
      </c>
      <c r="B29" s="276">
        <v>885</v>
      </c>
      <c r="C29" s="277">
        <v>0</v>
      </c>
      <c r="D29" s="277">
        <v>0</v>
      </c>
      <c r="E29" s="277">
        <v>0</v>
      </c>
      <c r="F29" s="277">
        <v>0</v>
      </c>
      <c r="G29" s="277">
        <v>0</v>
      </c>
      <c r="H29" s="277">
        <v>0</v>
      </c>
      <c r="I29" s="277">
        <v>0</v>
      </c>
      <c r="J29" s="277">
        <v>0</v>
      </c>
      <c r="K29" s="277">
        <v>0</v>
      </c>
      <c r="L29" s="277">
        <v>0</v>
      </c>
      <c r="M29" s="277">
        <v>0</v>
      </c>
    </row>
    <row r="30" spans="1:13" ht="15" customHeight="1">
      <c r="A30" s="276">
        <v>885</v>
      </c>
      <c r="B30" s="276">
        <v>890</v>
      </c>
      <c r="C30" s="277">
        <v>0</v>
      </c>
      <c r="D30" s="277">
        <v>0</v>
      </c>
      <c r="E30" s="277">
        <v>0</v>
      </c>
      <c r="F30" s="277">
        <v>0</v>
      </c>
      <c r="G30" s="277">
        <v>0</v>
      </c>
      <c r="H30" s="277">
        <v>0</v>
      </c>
      <c r="I30" s="277">
        <v>0</v>
      </c>
      <c r="J30" s="277">
        <v>0</v>
      </c>
      <c r="K30" s="277">
        <v>0</v>
      </c>
      <c r="L30" s="277">
        <v>0</v>
      </c>
      <c r="M30" s="277">
        <v>0</v>
      </c>
    </row>
    <row r="31" spans="1:13" ht="15" customHeight="1">
      <c r="A31" s="276">
        <v>890</v>
      </c>
      <c r="B31" s="276">
        <v>895</v>
      </c>
      <c r="C31" s="277">
        <v>0</v>
      </c>
      <c r="D31" s="277">
        <v>0</v>
      </c>
      <c r="E31" s="277">
        <v>0</v>
      </c>
      <c r="F31" s="277">
        <v>0</v>
      </c>
      <c r="G31" s="277">
        <v>0</v>
      </c>
      <c r="H31" s="277">
        <v>0</v>
      </c>
      <c r="I31" s="277">
        <v>0</v>
      </c>
      <c r="J31" s="277">
        <v>0</v>
      </c>
      <c r="K31" s="277">
        <v>0</v>
      </c>
      <c r="L31" s="277">
        <v>0</v>
      </c>
      <c r="M31" s="277">
        <v>0</v>
      </c>
    </row>
    <row r="32" spans="1:13" ht="15" customHeight="1">
      <c r="A32" s="276">
        <v>895</v>
      </c>
      <c r="B32" s="276">
        <v>900</v>
      </c>
      <c r="C32" s="277">
        <v>0</v>
      </c>
      <c r="D32" s="277">
        <v>0</v>
      </c>
      <c r="E32" s="277">
        <v>0</v>
      </c>
      <c r="F32" s="277">
        <v>0</v>
      </c>
      <c r="G32" s="277">
        <v>0</v>
      </c>
      <c r="H32" s="277">
        <v>0</v>
      </c>
      <c r="I32" s="277">
        <v>0</v>
      </c>
      <c r="J32" s="277">
        <v>0</v>
      </c>
      <c r="K32" s="277">
        <v>0</v>
      </c>
      <c r="L32" s="277">
        <v>0</v>
      </c>
      <c r="M32" s="277">
        <v>0</v>
      </c>
    </row>
    <row r="33" spans="1:13" ht="15" customHeight="1">
      <c r="A33" s="276">
        <v>900</v>
      </c>
      <c r="B33" s="276">
        <v>905</v>
      </c>
      <c r="C33" s="277">
        <v>0</v>
      </c>
      <c r="D33" s="277">
        <v>0</v>
      </c>
      <c r="E33" s="277">
        <v>0</v>
      </c>
      <c r="F33" s="277">
        <v>0</v>
      </c>
      <c r="G33" s="277">
        <v>0</v>
      </c>
      <c r="H33" s="277">
        <v>0</v>
      </c>
      <c r="I33" s="277">
        <v>0</v>
      </c>
      <c r="J33" s="277">
        <v>0</v>
      </c>
      <c r="K33" s="277">
        <v>0</v>
      </c>
      <c r="L33" s="277">
        <v>0</v>
      </c>
      <c r="M33" s="277">
        <v>0</v>
      </c>
    </row>
    <row r="34" spans="1:13" ht="15" customHeight="1">
      <c r="A34" s="276">
        <v>905</v>
      </c>
      <c r="B34" s="276">
        <v>910</v>
      </c>
      <c r="C34" s="277">
        <v>0</v>
      </c>
      <c r="D34" s="277">
        <v>0</v>
      </c>
      <c r="E34" s="277">
        <v>0</v>
      </c>
      <c r="F34" s="277">
        <v>0</v>
      </c>
      <c r="G34" s="277">
        <v>0</v>
      </c>
      <c r="H34" s="277">
        <v>0</v>
      </c>
      <c r="I34" s="277">
        <v>0</v>
      </c>
      <c r="J34" s="277">
        <v>0</v>
      </c>
      <c r="K34" s="277">
        <v>0</v>
      </c>
      <c r="L34" s="277">
        <v>0</v>
      </c>
      <c r="M34" s="277">
        <v>0</v>
      </c>
    </row>
    <row r="35" spans="1:13" ht="15" customHeight="1">
      <c r="A35" s="276">
        <v>910</v>
      </c>
      <c r="B35" s="276">
        <v>915</v>
      </c>
      <c r="C35" s="277">
        <v>0</v>
      </c>
      <c r="D35" s="277">
        <v>0</v>
      </c>
      <c r="E35" s="277">
        <v>0</v>
      </c>
      <c r="F35" s="277">
        <v>0</v>
      </c>
      <c r="G35" s="277">
        <v>0</v>
      </c>
      <c r="H35" s="277">
        <v>0</v>
      </c>
      <c r="I35" s="277">
        <v>0</v>
      </c>
      <c r="J35" s="277">
        <v>0</v>
      </c>
      <c r="K35" s="277">
        <v>0</v>
      </c>
      <c r="L35" s="277">
        <v>0</v>
      </c>
      <c r="M35" s="277">
        <v>0</v>
      </c>
    </row>
    <row r="36" spans="1:13" ht="15" customHeight="1">
      <c r="A36" s="276">
        <v>915</v>
      </c>
      <c r="B36" s="276">
        <v>920</v>
      </c>
      <c r="C36" s="277">
        <v>0</v>
      </c>
      <c r="D36" s="277">
        <v>0</v>
      </c>
      <c r="E36" s="277">
        <v>0</v>
      </c>
      <c r="F36" s="277">
        <v>0</v>
      </c>
      <c r="G36" s="277">
        <v>0</v>
      </c>
      <c r="H36" s="277">
        <v>0</v>
      </c>
      <c r="I36" s="277">
        <v>0</v>
      </c>
      <c r="J36" s="277">
        <v>0</v>
      </c>
      <c r="K36" s="277">
        <v>0</v>
      </c>
      <c r="L36" s="277">
        <v>0</v>
      </c>
      <c r="M36" s="277">
        <v>0</v>
      </c>
    </row>
    <row r="37" spans="1:13" ht="15" customHeight="1">
      <c r="A37" s="276">
        <v>920</v>
      </c>
      <c r="B37" s="276">
        <v>925</v>
      </c>
      <c r="C37" s="277">
        <v>0</v>
      </c>
      <c r="D37" s="277">
        <v>0</v>
      </c>
      <c r="E37" s="277">
        <v>0</v>
      </c>
      <c r="F37" s="277">
        <v>0</v>
      </c>
      <c r="G37" s="277">
        <v>0</v>
      </c>
      <c r="H37" s="277">
        <v>0</v>
      </c>
      <c r="I37" s="277">
        <v>0</v>
      </c>
      <c r="J37" s="277">
        <v>0</v>
      </c>
      <c r="K37" s="277">
        <v>0</v>
      </c>
      <c r="L37" s="277">
        <v>0</v>
      </c>
      <c r="M37" s="277">
        <v>0</v>
      </c>
    </row>
    <row r="38" spans="1:13" ht="15" customHeight="1">
      <c r="A38" s="276">
        <v>925</v>
      </c>
      <c r="B38" s="276">
        <v>930</v>
      </c>
      <c r="C38" s="277">
        <v>0</v>
      </c>
      <c r="D38" s="277">
        <v>0</v>
      </c>
      <c r="E38" s="277">
        <v>0</v>
      </c>
      <c r="F38" s="277">
        <v>0</v>
      </c>
      <c r="G38" s="277">
        <v>0</v>
      </c>
      <c r="H38" s="277">
        <v>0</v>
      </c>
      <c r="I38" s="277">
        <v>0</v>
      </c>
      <c r="J38" s="277">
        <v>0</v>
      </c>
      <c r="K38" s="277">
        <v>0</v>
      </c>
      <c r="L38" s="277">
        <v>0</v>
      </c>
      <c r="M38" s="277">
        <v>0</v>
      </c>
    </row>
    <row r="39" spans="1:13" ht="15" customHeight="1">
      <c r="A39" s="276">
        <v>930</v>
      </c>
      <c r="B39" s="276">
        <v>935</v>
      </c>
      <c r="C39" s="277">
        <v>0</v>
      </c>
      <c r="D39" s="277">
        <v>0</v>
      </c>
      <c r="E39" s="277">
        <v>0</v>
      </c>
      <c r="F39" s="277">
        <v>0</v>
      </c>
      <c r="G39" s="277">
        <v>0</v>
      </c>
      <c r="H39" s="277">
        <v>0</v>
      </c>
      <c r="I39" s="277">
        <v>0</v>
      </c>
      <c r="J39" s="277">
        <v>0</v>
      </c>
      <c r="K39" s="277">
        <v>0</v>
      </c>
      <c r="L39" s="277">
        <v>0</v>
      </c>
      <c r="M39" s="277">
        <v>0</v>
      </c>
    </row>
    <row r="40" spans="1:13" ht="15" customHeight="1">
      <c r="A40" s="276">
        <v>935</v>
      </c>
      <c r="B40" s="276">
        <v>940</v>
      </c>
      <c r="C40" s="277">
        <v>0</v>
      </c>
      <c r="D40" s="277">
        <v>0</v>
      </c>
      <c r="E40" s="277">
        <v>0</v>
      </c>
      <c r="F40" s="277">
        <v>0</v>
      </c>
      <c r="G40" s="277">
        <v>0</v>
      </c>
      <c r="H40" s="277">
        <v>0</v>
      </c>
      <c r="I40" s="277">
        <v>0</v>
      </c>
      <c r="J40" s="277">
        <v>0</v>
      </c>
      <c r="K40" s="277">
        <v>0</v>
      </c>
      <c r="L40" s="277">
        <v>0</v>
      </c>
      <c r="M40" s="277">
        <v>0</v>
      </c>
    </row>
    <row r="41" spans="1:13" ht="15" customHeight="1">
      <c r="A41" s="276">
        <v>940</v>
      </c>
      <c r="B41" s="276">
        <v>945</v>
      </c>
      <c r="C41" s="277">
        <v>0</v>
      </c>
      <c r="D41" s="277">
        <v>0</v>
      </c>
      <c r="E41" s="277">
        <v>0</v>
      </c>
      <c r="F41" s="277">
        <v>0</v>
      </c>
      <c r="G41" s="277">
        <v>0</v>
      </c>
      <c r="H41" s="277">
        <v>0</v>
      </c>
      <c r="I41" s="277">
        <v>0</v>
      </c>
      <c r="J41" s="277">
        <v>0</v>
      </c>
      <c r="K41" s="277">
        <v>0</v>
      </c>
      <c r="L41" s="277">
        <v>0</v>
      </c>
      <c r="M41" s="277">
        <v>0</v>
      </c>
    </row>
    <row r="42" spans="1:13" ht="15" customHeight="1">
      <c r="A42" s="276">
        <v>945</v>
      </c>
      <c r="B42" s="276">
        <v>950</v>
      </c>
      <c r="C42" s="277">
        <v>0</v>
      </c>
      <c r="D42" s="277">
        <v>0</v>
      </c>
      <c r="E42" s="277">
        <v>0</v>
      </c>
      <c r="F42" s="277">
        <v>0</v>
      </c>
      <c r="G42" s="277">
        <v>0</v>
      </c>
      <c r="H42" s="277">
        <v>0</v>
      </c>
      <c r="I42" s="277">
        <v>0</v>
      </c>
      <c r="J42" s="277">
        <v>0</v>
      </c>
      <c r="K42" s="277">
        <v>0</v>
      </c>
      <c r="L42" s="277">
        <v>0</v>
      </c>
      <c r="M42" s="277">
        <v>0</v>
      </c>
    </row>
    <row r="43" spans="1:13" ht="15" customHeight="1">
      <c r="A43" s="276">
        <v>950</v>
      </c>
      <c r="B43" s="276">
        <v>955</v>
      </c>
      <c r="C43" s="277">
        <v>0</v>
      </c>
      <c r="D43" s="277">
        <v>0</v>
      </c>
      <c r="E43" s="277">
        <v>0</v>
      </c>
      <c r="F43" s="277">
        <v>0</v>
      </c>
      <c r="G43" s="277">
        <v>0</v>
      </c>
      <c r="H43" s="277">
        <v>0</v>
      </c>
      <c r="I43" s="277">
        <v>0</v>
      </c>
      <c r="J43" s="277">
        <v>0</v>
      </c>
      <c r="K43" s="277">
        <v>0</v>
      </c>
      <c r="L43" s="277">
        <v>0</v>
      </c>
      <c r="M43" s="277">
        <v>0</v>
      </c>
    </row>
    <row r="44" spans="1:13" ht="15" customHeight="1">
      <c r="A44" s="276">
        <v>955</v>
      </c>
      <c r="B44" s="276">
        <v>960</v>
      </c>
      <c r="C44" s="277">
        <v>0</v>
      </c>
      <c r="D44" s="277">
        <v>0</v>
      </c>
      <c r="E44" s="277">
        <v>0</v>
      </c>
      <c r="F44" s="277">
        <v>0</v>
      </c>
      <c r="G44" s="277">
        <v>0</v>
      </c>
      <c r="H44" s="277">
        <v>0</v>
      </c>
      <c r="I44" s="277">
        <v>0</v>
      </c>
      <c r="J44" s="277">
        <v>0</v>
      </c>
      <c r="K44" s="277">
        <v>0</v>
      </c>
      <c r="L44" s="277">
        <v>0</v>
      </c>
      <c r="M44" s="277">
        <v>0</v>
      </c>
    </row>
    <row r="45" spans="1:13" ht="15" customHeight="1">
      <c r="A45" s="276">
        <v>960</v>
      </c>
      <c r="B45" s="276">
        <v>965</v>
      </c>
      <c r="C45" s="277">
        <v>0</v>
      </c>
      <c r="D45" s="277">
        <v>0</v>
      </c>
      <c r="E45" s="277">
        <v>0</v>
      </c>
      <c r="F45" s="277">
        <v>0</v>
      </c>
      <c r="G45" s="277">
        <v>0</v>
      </c>
      <c r="H45" s="277">
        <v>0</v>
      </c>
      <c r="I45" s="277">
        <v>0</v>
      </c>
      <c r="J45" s="277">
        <v>0</v>
      </c>
      <c r="K45" s="277">
        <v>0</v>
      </c>
      <c r="L45" s="277">
        <v>0</v>
      </c>
      <c r="M45" s="277">
        <v>0</v>
      </c>
    </row>
    <row r="46" spans="1:13" ht="15" customHeight="1">
      <c r="A46" s="276">
        <v>965</v>
      </c>
      <c r="B46" s="276">
        <v>970</v>
      </c>
      <c r="C46" s="277">
        <v>0</v>
      </c>
      <c r="D46" s="277">
        <v>0</v>
      </c>
      <c r="E46" s="277">
        <v>0</v>
      </c>
      <c r="F46" s="277">
        <v>0</v>
      </c>
      <c r="G46" s="277">
        <v>0</v>
      </c>
      <c r="H46" s="277">
        <v>0</v>
      </c>
      <c r="I46" s="277">
        <v>0</v>
      </c>
      <c r="J46" s="277">
        <v>0</v>
      </c>
      <c r="K46" s="277">
        <v>0</v>
      </c>
      <c r="L46" s="277">
        <v>0</v>
      </c>
      <c r="M46" s="277">
        <v>0</v>
      </c>
    </row>
    <row r="47" spans="1:13" ht="15" customHeight="1">
      <c r="A47" s="276">
        <v>970</v>
      </c>
      <c r="B47" s="276">
        <v>975</v>
      </c>
      <c r="C47" s="277">
        <v>0</v>
      </c>
      <c r="D47" s="277">
        <v>0</v>
      </c>
      <c r="E47" s="277">
        <v>0</v>
      </c>
      <c r="F47" s="277">
        <v>0</v>
      </c>
      <c r="G47" s="277">
        <v>0</v>
      </c>
      <c r="H47" s="277">
        <v>0</v>
      </c>
      <c r="I47" s="277">
        <v>0</v>
      </c>
      <c r="J47" s="277">
        <v>0</v>
      </c>
      <c r="K47" s="277">
        <v>0</v>
      </c>
      <c r="L47" s="277">
        <v>0</v>
      </c>
      <c r="M47" s="277">
        <v>0</v>
      </c>
    </row>
    <row r="48" spans="1:13" ht="15" customHeight="1">
      <c r="A48" s="276">
        <v>975</v>
      </c>
      <c r="B48" s="276">
        <v>980</v>
      </c>
      <c r="C48" s="277">
        <v>0</v>
      </c>
      <c r="D48" s="277">
        <v>0</v>
      </c>
      <c r="E48" s="277">
        <v>0</v>
      </c>
      <c r="F48" s="277">
        <v>0</v>
      </c>
      <c r="G48" s="277">
        <v>0</v>
      </c>
      <c r="H48" s="277">
        <v>0</v>
      </c>
      <c r="I48" s="277">
        <v>0</v>
      </c>
      <c r="J48" s="277">
        <v>0</v>
      </c>
      <c r="K48" s="277">
        <v>0</v>
      </c>
      <c r="L48" s="277">
        <v>0</v>
      </c>
      <c r="M48" s="277">
        <v>0</v>
      </c>
    </row>
    <row r="49" spans="1:13" ht="15" customHeight="1">
      <c r="A49" s="276">
        <v>980</v>
      </c>
      <c r="B49" s="276">
        <v>985</v>
      </c>
      <c r="C49" s="277">
        <v>0</v>
      </c>
      <c r="D49" s="277">
        <v>0</v>
      </c>
      <c r="E49" s="277">
        <v>0</v>
      </c>
      <c r="F49" s="277">
        <v>0</v>
      </c>
      <c r="G49" s="277">
        <v>0</v>
      </c>
      <c r="H49" s="277">
        <v>0</v>
      </c>
      <c r="I49" s="277">
        <v>0</v>
      </c>
      <c r="J49" s="277">
        <v>0</v>
      </c>
      <c r="K49" s="277">
        <v>0</v>
      </c>
      <c r="L49" s="277">
        <v>0</v>
      </c>
      <c r="M49" s="277">
        <v>0</v>
      </c>
    </row>
    <row r="50" spans="1:13" ht="15" customHeight="1">
      <c r="A50" s="276">
        <v>985</v>
      </c>
      <c r="B50" s="276">
        <v>990</v>
      </c>
      <c r="C50" s="277">
        <v>0</v>
      </c>
      <c r="D50" s="277">
        <v>0</v>
      </c>
      <c r="E50" s="277">
        <v>0</v>
      </c>
      <c r="F50" s="277">
        <v>0</v>
      </c>
      <c r="G50" s="277">
        <v>0</v>
      </c>
      <c r="H50" s="277">
        <v>0</v>
      </c>
      <c r="I50" s="277">
        <v>0</v>
      </c>
      <c r="J50" s="277">
        <v>0</v>
      </c>
      <c r="K50" s="277">
        <v>0</v>
      </c>
      <c r="L50" s="277">
        <v>0</v>
      </c>
      <c r="M50" s="277">
        <v>0</v>
      </c>
    </row>
    <row r="51" spans="1:13" ht="15" customHeight="1">
      <c r="A51" s="276">
        <v>990</v>
      </c>
      <c r="B51" s="276">
        <v>995</v>
      </c>
      <c r="C51" s="277">
        <v>0</v>
      </c>
      <c r="D51" s="277">
        <v>0</v>
      </c>
      <c r="E51" s="277">
        <v>0</v>
      </c>
      <c r="F51" s="277">
        <v>0</v>
      </c>
      <c r="G51" s="277">
        <v>0</v>
      </c>
      <c r="H51" s="277">
        <v>0</v>
      </c>
      <c r="I51" s="277">
        <v>0</v>
      </c>
      <c r="J51" s="277">
        <v>0</v>
      </c>
      <c r="K51" s="277">
        <v>0</v>
      </c>
      <c r="L51" s="277">
        <v>0</v>
      </c>
      <c r="M51" s="277">
        <v>0</v>
      </c>
    </row>
    <row r="52" spans="1:13" ht="15" customHeight="1">
      <c r="A52" s="276">
        <v>995</v>
      </c>
      <c r="B52" s="278">
        <v>1000</v>
      </c>
      <c r="C52" s="277">
        <v>0</v>
      </c>
      <c r="D52" s="277">
        <v>0</v>
      </c>
      <c r="E52" s="277">
        <v>0</v>
      </c>
      <c r="F52" s="277">
        <v>0</v>
      </c>
      <c r="G52" s="277">
        <v>0</v>
      </c>
      <c r="H52" s="277">
        <v>0</v>
      </c>
      <c r="I52" s="277">
        <v>0</v>
      </c>
      <c r="J52" s="277">
        <v>0</v>
      </c>
      <c r="K52" s="277">
        <v>0</v>
      </c>
      <c r="L52" s="277">
        <v>0</v>
      </c>
      <c r="M52" s="277">
        <v>0</v>
      </c>
    </row>
    <row r="53" spans="1:13" ht="15" customHeight="1">
      <c r="A53" s="278">
        <v>1000</v>
      </c>
      <c r="B53" s="278">
        <v>1005</v>
      </c>
      <c r="C53" s="277">
        <v>0</v>
      </c>
      <c r="D53" s="277">
        <v>0</v>
      </c>
      <c r="E53" s="277">
        <v>0</v>
      </c>
      <c r="F53" s="277">
        <v>0</v>
      </c>
      <c r="G53" s="277">
        <v>0</v>
      </c>
      <c r="H53" s="277">
        <v>0</v>
      </c>
      <c r="I53" s="277">
        <v>0</v>
      </c>
      <c r="J53" s="277">
        <v>0</v>
      </c>
      <c r="K53" s="277">
        <v>0</v>
      </c>
      <c r="L53" s="277">
        <v>0</v>
      </c>
      <c r="M53" s="277">
        <v>0</v>
      </c>
    </row>
    <row r="54" spans="1:13" ht="15" customHeight="1">
      <c r="A54" s="278">
        <v>1005</v>
      </c>
      <c r="B54" s="278">
        <v>1010</v>
      </c>
      <c r="C54" s="277">
        <v>0</v>
      </c>
      <c r="D54" s="277">
        <v>0</v>
      </c>
      <c r="E54" s="277">
        <v>0</v>
      </c>
      <c r="F54" s="277">
        <v>0</v>
      </c>
      <c r="G54" s="277">
        <v>0</v>
      </c>
      <c r="H54" s="277">
        <v>0</v>
      </c>
      <c r="I54" s="277">
        <v>0</v>
      </c>
      <c r="J54" s="277">
        <v>0</v>
      </c>
      <c r="K54" s="277">
        <v>0</v>
      </c>
      <c r="L54" s="277">
        <v>0</v>
      </c>
      <c r="M54" s="277">
        <v>0</v>
      </c>
    </row>
    <row r="55" spans="1:13" ht="15" customHeight="1">
      <c r="A55" s="278">
        <v>1010</v>
      </c>
      <c r="B55" s="278">
        <v>1015</v>
      </c>
      <c r="C55" s="277">
        <v>0</v>
      </c>
      <c r="D55" s="277">
        <v>0</v>
      </c>
      <c r="E55" s="277">
        <v>0</v>
      </c>
      <c r="F55" s="277">
        <v>0</v>
      </c>
      <c r="G55" s="277">
        <v>0</v>
      </c>
      <c r="H55" s="277">
        <v>0</v>
      </c>
      <c r="I55" s="277">
        <v>0</v>
      </c>
      <c r="J55" s="277">
        <v>0</v>
      </c>
      <c r="K55" s="277">
        <v>0</v>
      </c>
      <c r="L55" s="277">
        <v>0</v>
      </c>
      <c r="M55" s="277">
        <v>0</v>
      </c>
    </row>
    <row r="56" spans="1:13" ht="15" customHeight="1">
      <c r="A56" s="278">
        <v>1015</v>
      </c>
      <c r="B56" s="278">
        <v>1020</v>
      </c>
      <c r="C56" s="277">
        <v>0</v>
      </c>
      <c r="D56" s="277">
        <v>0</v>
      </c>
      <c r="E56" s="277">
        <v>0</v>
      </c>
      <c r="F56" s="277">
        <v>0</v>
      </c>
      <c r="G56" s="277">
        <v>0</v>
      </c>
      <c r="H56" s="277">
        <v>0</v>
      </c>
      <c r="I56" s="277">
        <v>0</v>
      </c>
      <c r="J56" s="277">
        <v>0</v>
      </c>
      <c r="K56" s="277">
        <v>0</v>
      </c>
      <c r="L56" s="277">
        <v>0</v>
      </c>
      <c r="M56" s="277">
        <v>0</v>
      </c>
    </row>
    <row r="57" spans="1:13" ht="15" customHeight="1">
      <c r="A57" s="278">
        <v>1020</v>
      </c>
      <c r="B57" s="278">
        <v>1025</v>
      </c>
      <c r="C57" s="277">
        <v>0</v>
      </c>
      <c r="D57" s="277">
        <v>0</v>
      </c>
      <c r="E57" s="277">
        <v>0</v>
      </c>
      <c r="F57" s="277">
        <v>0</v>
      </c>
      <c r="G57" s="277">
        <v>0</v>
      </c>
      <c r="H57" s="277">
        <v>0</v>
      </c>
      <c r="I57" s="277">
        <v>0</v>
      </c>
      <c r="J57" s="277">
        <v>0</v>
      </c>
      <c r="K57" s="277">
        <v>0</v>
      </c>
      <c r="L57" s="277">
        <v>0</v>
      </c>
      <c r="M57" s="277">
        <v>0</v>
      </c>
    </row>
    <row r="58" spans="1:13" ht="15" customHeight="1">
      <c r="A58" s="278">
        <v>1025</v>
      </c>
      <c r="B58" s="278">
        <v>1030</v>
      </c>
      <c r="C58" s="277">
        <v>0</v>
      </c>
      <c r="D58" s="277">
        <v>0</v>
      </c>
      <c r="E58" s="277">
        <v>0</v>
      </c>
      <c r="F58" s="277">
        <v>0</v>
      </c>
      <c r="G58" s="277">
        <v>0</v>
      </c>
      <c r="H58" s="277">
        <v>0</v>
      </c>
      <c r="I58" s="277">
        <v>0</v>
      </c>
      <c r="J58" s="277">
        <v>0</v>
      </c>
      <c r="K58" s="277">
        <v>0</v>
      </c>
      <c r="L58" s="277">
        <v>0</v>
      </c>
      <c r="M58" s="277">
        <v>0</v>
      </c>
    </row>
    <row r="59" spans="1:13" ht="15" customHeight="1">
      <c r="A59" s="278">
        <v>1030</v>
      </c>
      <c r="B59" s="278">
        <v>1035</v>
      </c>
      <c r="C59" s="277">
        <v>0</v>
      </c>
      <c r="D59" s="277">
        <v>0</v>
      </c>
      <c r="E59" s="277">
        <v>0</v>
      </c>
      <c r="F59" s="277">
        <v>0</v>
      </c>
      <c r="G59" s="277">
        <v>0</v>
      </c>
      <c r="H59" s="277">
        <v>0</v>
      </c>
      <c r="I59" s="277">
        <v>0</v>
      </c>
      <c r="J59" s="277">
        <v>0</v>
      </c>
      <c r="K59" s="277">
        <v>0</v>
      </c>
      <c r="L59" s="277">
        <v>0</v>
      </c>
      <c r="M59" s="277">
        <v>0</v>
      </c>
    </row>
    <row r="60" spans="1:13" ht="15" customHeight="1">
      <c r="A60" s="278">
        <v>1035</v>
      </c>
      <c r="B60" s="278">
        <v>1040</v>
      </c>
      <c r="C60" s="277">
        <v>0</v>
      </c>
      <c r="D60" s="277">
        <v>0</v>
      </c>
      <c r="E60" s="277">
        <v>0</v>
      </c>
      <c r="F60" s="277">
        <v>0</v>
      </c>
      <c r="G60" s="277">
        <v>0</v>
      </c>
      <c r="H60" s="277">
        <v>0</v>
      </c>
      <c r="I60" s="277">
        <v>0</v>
      </c>
      <c r="J60" s="277">
        <v>0</v>
      </c>
      <c r="K60" s="277">
        <v>0</v>
      </c>
      <c r="L60" s="277">
        <v>0</v>
      </c>
      <c r="M60" s="277">
        <v>0</v>
      </c>
    </row>
    <row r="61" spans="1:13" ht="15" customHeight="1">
      <c r="A61" s="278">
        <v>1040</v>
      </c>
      <c r="B61" s="278">
        <v>1045</v>
      </c>
      <c r="C61" s="277">
        <v>0</v>
      </c>
      <c r="D61" s="277">
        <v>0</v>
      </c>
      <c r="E61" s="277">
        <v>0</v>
      </c>
      <c r="F61" s="277">
        <v>0</v>
      </c>
      <c r="G61" s="277">
        <v>0</v>
      </c>
      <c r="H61" s="277">
        <v>0</v>
      </c>
      <c r="I61" s="277">
        <v>0</v>
      </c>
      <c r="J61" s="277">
        <v>0</v>
      </c>
      <c r="K61" s="277">
        <v>0</v>
      </c>
      <c r="L61" s="277">
        <v>0</v>
      </c>
      <c r="M61" s="277">
        <v>0</v>
      </c>
    </row>
    <row r="62" spans="1:13" ht="15" customHeight="1">
      <c r="A62" s="278">
        <v>1045</v>
      </c>
      <c r="B62" s="278">
        <v>1050</v>
      </c>
      <c r="C62" s="277">
        <v>0</v>
      </c>
      <c r="D62" s="277">
        <v>0</v>
      </c>
      <c r="E62" s="277">
        <v>0</v>
      </c>
      <c r="F62" s="277">
        <v>0</v>
      </c>
      <c r="G62" s="277">
        <v>0</v>
      </c>
      <c r="H62" s="277">
        <v>0</v>
      </c>
      <c r="I62" s="277">
        <v>0</v>
      </c>
      <c r="J62" s="277">
        <v>0</v>
      </c>
      <c r="K62" s="277">
        <v>0</v>
      </c>
      <c r="L62" s="277">
        <v>0</v>
      </c>
      <c r="M62" s="277">
        <v>0</v>
      </c>
    </row>
    <row r="63" spans="1:13" ht="15" customHeight="1">
      <c r="A63" s="278">
        <v>1050</v>
      </c>
      <c r="B63" s="278">
        <v>1055</v>
      </c>
      <c r="C63" s="277">
        <v>0</v>
      </c>
      <c r="D63" s="277">
        <v>0</v>
      </c>
      <c r="E63" s="277">
        <v>0</v>
      </c>
      <c r="F63" s="277">
        <v>0</v>
      </c>
      <c r="G63" s="277">
        <v>0</v>
      </c>
      <c r="H63" s="277">
        <v>0</v>
      </c>
      <c r="I63" s="277">
        <v>0</v>
      </c>
      <c r="J63" s="277">
        <v>0</v>
      </c>
      <c r="K63" s="277">
        <v>0</v>
      </c>
      <c r="L63" s="277">
        <v>0</v>
      </c>
      <c r="M63" s="277">
        <v>0</v>
      </c>
    </row>
    <row r="64" spans="1:13" ht="15" customHeight="1">
      <c r="A64" s="278">
        <v>1055</v>
      </c>
      <c r="B64" s="278">
        <v>1060</v>
      </c>
      <c r="C64" s="277">
        <v>0</v>
      </c>
      <c r="D64" s="277">
        <v>0</v>
      </c>
      <c r="E64" s="277">
        <v>0</v>
      </c>
      <c r="F64" s="277">
        <v>0</v>
      </c>
      <c r="G64" s="277">
        <v>0</v>
      </c>
      <c r="H64" s="277">
        <v>0</v>
      </c>
      <c r="I64" s="277">
        <v>0</v>
      </c>
      <c r="J64" s="277">
        <v>0</v>
      </c>
      <c r="K64" s="277">
        <v>0</v>
      </c>
      <c r="L64" s="277">
        <v>0</v>
      </c>
      <c r="M64" s="277">
        <v>0</v>
      </c>
    </row>
    <row r="65" spans="1:13" ht="15" customHeight="1">
      <c r="A65" s="278">
        <v>1060</v>
      </c>
      <c r="B65" s="278">
        <v>1065</v>
      </c>
      <c r="C65" s="278">
        <v>1040</v>
      </c>
      <c r="D65" s="277">
        <v>0</v>
      </c>
      <c r="E65" s="277">
        <v>0</v>
      </c>
      <c r="F65" s="277">
        <v>0</v>
      </c>
      <c r="G65" s="277">
        <v>0</v>
      </c>
      <c r="H65" s="277">
        <v>0</v>
      </c>
      <c r="I65" s="277">
        <v>0</v>
      </c>
      <c r="J65" s="277">
        <v>0</v>
      </c>
      <c r="K65" s="277">
        <v>0</v>
      </c>
      <c r="L65" s="277">
        <v>0</v>
      </c>
      <c r="M65" s="277">
        <v>0</v>
      </c>
    </row>
    <row r="66" spans="1:13" ht="15" customHeight="1">
      <c r="A66" s="278">
        <v>1065</v>
      </c>
      <c r="B66" s="278">
        <v>1070</v>
      </c>
      <c r="C66" s="278">
        <v>1110</v>
      </c>
      <c r="D66" s="277">
        <v>0</v>
      </c>
      <c r="E66" s="277">
        <v>0</v>
      </c>
      <c r="F66" s="277">
        <v>0</v>
      </c>
      <c r="G66" s="277">
        <v>0</v>
      </c>
      <c r="H66" s="277">
        <v>0</v>
      </c>
      <c r="I66" s="277">
        <v>0</v>
      </c>
      <c r="J66" s="277">
        <v>0</v>
      </c>
      <c r="K66" s="277">
        <v>0</v>
      </c>
      <c r="L66" s="277">
        <v>0</v>
      </c>
      <c r="M66" s="277">
        <v>0</v>
      </c>
    </row>
    <row r="67" spans="1:13" ht="15" customHeight="1">
      <c r="A67" s="278">
        <v>1070</v>
      </c>
      <c r="B67" s="278">
        <v>1075</v>
      </c>
      <c r="C67" s="278">
        <v>1180</v>
      </c>
      <c r="D67" s="277">
        <v>0</v>
      </c>
      <c r="E67" s="277">
        <v>0</v>
      </c>
      <c r="F67" s="277">
        <v>0</v>
      </c>
      <c r="G67" s="277">
        <v>0</v>
      </c>
      <c r="H67" s="277">
        <v>0</v>
      </c>
      <c r="I67" s="277">
        <v>0</v>
      </c>
      <c r="J67" s="277">
        <v>0</v>
      </c>
      <c r="K67" s="277">
        <v>0</v>
      </c>
      <c r="L67" s="277">
        <v>0</v>
      </c>
      <c r="M67" s="277">
        <v>0</v>
      </c>
    </row>
    <row r="68" spans="1:13" ht="15" customHeight="1">
      <c r="A68" s="278">
        <v>1075</v>
      </c>
      <c r="B68" s="278">
        <v>1080</v>
      </c>
      <c r="C68" s="278">
        <v>1250</v>
      </c>
      <c r="D68" s="277">
        <v>0</v>
      </c>
      <c r="E68" s="277">
        <v>0</v>
      </c>
      <c r="F68" s="277">
        <v>0</v>
      </c>
      <c r="G68" s="277">
        <v>0</v>
      </c>
      <c r="H68" s="277">
        <v>0</v>
      </c>
      <c r="I68" s="277">
        <v>0</v>
      </c>
      <c r="J68" s="277">
        <v>0</v>
      </c>
      <c r="K68" s="277">
        <v>0</v>
      </c>
      <c r="L68" s="277">
        <v>0</v>
      </c>
      <c r="M68" s="277">
        <v>0</v>
      </c>
    </row>
    <row r="69" spans="1:13" ht="15" customHeight="1">
      <c r="A69" s="278">
        <v>1080</v>
      </c>
      <c r="B69" s="278">
        <v>1085</v>
      </c>
      <c r="C69" s="278">
        <v>1320</v>
      </c>
      <c r="D69" s="277">
        <v>0</v>
      </c>
      <c r="E69" s="277">
        <v>0</v>
      </c>
      <c r="F69" s="277">
        <v>0</v>
      </c>
      <c r="G69" s="277">
        <v>0</v>
      </c>
      <c r="H69" s="277">
        <v>0</v>
      </c>
      <c r="I69" s="277">
        <v>0</v>
      </c>
      <c r="J69" s="277">
        <v>0</v>
      </c>
      <c r="K69" s="277">
        <v>0</v>
      </c>
      <c r="L69" s="277">
        <v>0</v>
      </c>
      <c r="M69" s="277">
        <v>0</v>
      </c>
    </row>
    <row r="70" spans="1:13" ht="15" customHeight="1">
      <c r="A70" s="278">
        <v>1085</v>
      </c>
      <c r="B70" s="278">
        <v>1090</v>
      </c>
      <c r="C70" s="278">
        <v>1390</v>
      </c>
      <c r="D70" s="277">
        <v>0</v>
      </c>
      <c r="E70" s="277">
        <v>0</v>
      </c>
      <c r="F70" s="277">
        <v>0</v>
      </c>
      <c r="G70" s="277">
        <v>0</v>
      </c>
      <c r="H70" s="277">
        <v>0</v>
      </c>
      <c r="I70" s="277">
        <v>0</v>
      </c>
      <c r="J70" s="277">
        <v>0</v>
      </c>
      <c r="K70" s="277">
        <v>0</v>
      </c>
      <c r="L70" s="277">
        <v>0</v>
      </c>
      <c r="M70" s="277">
        <v>0</v>
      </c>
    </row>
    <row r="71" spans="1:13" ht="15" customHeight="1">
      <c r="A71" s="278">
        <v>1090</v>
      </c>
      <c r="B71" s="278">
        <v>1095</v>
      </c>
      <c r="C71" s="278">
        <v>1460</v>
      </c>
      <c r="D71" s="277">
        <v>0</v>
      </c>
      <c r="E71" s="277">
        <v>0</v>
      </c>
      <c r="F71" s="277">
        <v>0</v>
      </c>
      <c r="G71" s="277">
        <v>0</v>
      </c>
      <c r="H71" s="277">
        <v>0</v>
      </c>
      <c r="I71" s="277">
        <v>0</v>
      </c>
      <c r="J71" s="277">
        <v>0</v>
      </c>
      <c r="K71" s="277">
        <v>0</v>
      </c>
      <c r="L71" s="277">
        <v>0</v>
      </c>
      <c r="M71" s="277">
        <v>0</v>
      </c>
    </row>
    <row r="72" spans="1:13" ht="15" customHeight="1">
      <c r="A72" s="278">
        <v>1095</v>
      </c>
      <c r="B72" s="278">
        <v>1100</v>
      </c>
      <c r="C72" s="278">
        <v>1530</v>
      </c>
      <c r="D72" s="277">
        <v>0</v>
      </c>
      <c r="E72" s="277">
        <v>0</v>
      </c>
      <c r="F72" s="277">
        <v>0</v>
      </c>
      <c r="G72" s="277">
        <v>0</v>
      </c>
      <c r="H72" s="277">
        <v>0</v>
      </c>
      <c r="I72" s="277">
        <v>0</v>
      </c>
      <c r="J72" s="277">
        <v>0</v>
      </c>
      <c r="K72" s="277">
        <v>0</v>
      </c>
      <c r="L72" s="277">
        <v>0</v>
      </c>
      <c r="M72" s="277">
        <v>0</v>
      </c>
    </row>
    <row r="73" spans="1:13" ht="15" customHeight="1">
      <c r="A73" s="278">
        <v>1100</v>
      </c>
      <c r="B73" s="278">
        <v>1105</v>
      </c>
      <c r="C73" s="278">
        <v>1600</v>
      </c>
      <c r="D73" s="277">
        <v>0</v>
      </c>
      <c r="E73" s="277">
        <v>0</v>
      </c>
      <c r="F73" s="277">
        <v>0</v>
      </c>
      <c r="G73" s="277">
        <v>0</v>
      </c>
      <c r="H73" s="277">
        <v>0</v>
      </c>
      <c r="I73" s="277">
        <v>0</v>
      </c>
      <c r="J73" s="277">
        <v>0</v>
      </c>
      <c r="K73" s="277">
        <v>0</v>
      </c>
      <c r="L73" s="277">
        <v>0</v>
      </c>
      <c r="M73" s="277">
        <v>0</v>
      </c>
    </row>
    <row r="74" spans="1:13" ht="15" customHeight="1">
      <c r="A74" s="278">
        <v>1105</v>
      </c>
      <c r="B74" s="278">
        <v>1110</v>
      </c>
      <c r="C74" s="278">
        <v>1670</v>
      </c>
      <c r="D74" s="277">
        <v>0</v>
      </c>
      <c r="E74" s="277">
        <v>0</v>
      </c>
      <c r="F74" s="277">
        <v>0</v>
      </c>
      <c r="G74" s="277">
        <v>0</v>
      </c>
      <c r="H74" s="277">
        <v>0</v>
      </c>
      <c r="I74" s="277">
        <v>0</v>
      </c>
      <c r="J74" s="277">
        <v>0</v>
      </c>
      <c r="K74" s="277">
        <v>0</v>
      </c>
      <c r="L74" s="277">
        <v>0</v>
      </c>
      <c r="M74" s="277">
        <v>0</v>
      </c>
    </row>
    <row r="75" spans="1:13" ht="15" customHeight="1">
      <c r="A75" s="278">
        <v>1110</v>
      </c>
      <c r="B75" s="278">
        <v>1115</v>
      </c>
      <c r="C75" s="278">
        <v>1740</v>
      </c>
      <c r="D75" s="277">
        <v>0</v>
      </c>
      <c r="E75" s="277">
        <v>0</v>
      </c>
      <c r="F75" s="277">
        <v>0</v>
      </c>
      <c r="G75" s="277">
        <v>0</v>
      </c>
      <c r="H75" s="277">
        <v>0</v>
      </c>
      <c r="I75" s="277">
        <v>0</v>
      </c>
      <c r="J75" s="277">
        <v>0</v>
      </c>
      <c r="K75" s="277">
        <v>0</v>
      </c>
      <c r="L75" s="277">
        <v>0</v>
      </c>
      <c r="M75" s="277">
        <v>0</v>
      </c>
    </row>
    <row r="76" spans="1:13" ht="15" customHeight="1">
      <c r="A76" s="278">
        <v>1115</v>
      </c>
      <c r="B76" s="278">
        <v>1120</v>
      </c>
      <c r="C76" s="278">
        <v>1810</v>
      </c>
      <c r="D76" s="277">
        <v>0</v>
      </c>
      <c r="E76" s="277">
        <v>0</v>
      </c>
      <c r="F76" s="277">
        <v>0</v>
      </c>
      <c r="G76" s="277">
        <v>0</v>
      </c>
      <c r="H76" s="277">
        <v>0</v>
      </c>
      <c r="I76" s="277">
        <v>0</v>
      </c>
      <c r="J76" s="277">
        <v>0</v>
      </c>
      <c r="K76" s="277">
        <v>0</v>
      </c>
      <c r="L76" s="277">
        <v>0</v>
      </c>
      <c r="M76" s="277">
        <v>0</v>
      </c>
    </row>
    <row r="77" spans="1:13" ht="15" customHeight="1">
      <c r="A77" s="278">
        <v>1120</v>
      </c>
      <c r="B77" s="278">
        <v>1125</v>
      </c>
      <c r="C77" s="278">
        <v>1880</v>
      </c>
      <c r="D77" s="277">
        <v>0</v>
      </c>
      <c r="E77" s="277">
        <v>0</v>
      </c>
      <c r="F77" s="277">
        <v>0</v>
      </c>
      <c r="G77" s="277">
        <v>0</v>
      </c>
      <c r="H77" s="277">
        <v>0</v>
      </c>
      <c r="I77" s="277">
        <v>0</v>
      </c>
      <c r="J77" s="277">
        <v>0</v>
      </c>
      <c r="K77" s="277">
        <v>0</v>
      </c>
      <c r="L77" s="277">
        <v>0</v>
      </c>
      <c r="M77" s="277">
        <v>0</v>
      </c>
    </row>
    <row r="78" spans="1:13" ht="15" customHeight="1">
      <c r="A78" s="278">
        <v>1125</v>
      </c>
      <c r="B78" s="278">
        <v>1130</v>
      </c>
      <c r="C78" s="278">
        <v>1950</v>
      </c>
      <c r="D78" s="277">
        <v>0</v>
      </c>
      <c r="E78" s="277">
        <v>0</v>
      </c>
      <c r="F78" s="277">
        <v>0</v>
      </c>
      <c r="G78" s="277">
        <v>0</v>
      </c>
      <c r="H78" s="277">
        <v>0</v>
      </c>
      <c r="I78" s="277">
        <v>0</v>
      </c>
      <c r="J78" s="277">
        <v>0</v>
      </c>
      <c r="K78" s="277">
        <v>0</v>
      </c>
      <c r="L78" s="277">
        <v>0</v>
      </c>
      <c r="M78" s="277">
        <v>0</v>
      </c>
    </row>
    <row r="79" spans="1:13" ht="15" customHeight="1">
      <c r="A79" s="278">
        <v>1130</v>
      </c>
      <c r="B79" s="278">
        <v>1135</v>
      </c>
      <c r="C79" s="278">
        <v>2020</v>
      </c>
      <c r="D79" s="277">
        <v>0</v>
      </c>
      <c r="E79" s="277">
        <v>0</v>
      </c>
      <c r="F79" s="277">
        <v>0</v>
      </c>
      <c r="G79" s="277">
        <v>0</v>
      </c>
      <c r="H79" s="277">
        <v>0</v>
      </c>
      <c r="I79" s="277">
        <v>0</v>
      </c>
      <c r="J79" s="277">
        <v>0</v>
      </c>
      <c r="K79" s="277">
        <v>0</v>
      </c>
      <c r="L79" s="277">
        <v>0</v>
      </c>
      <c r="M79" s="277">
        <v>0</v>
      </c>
    </row>
    <row r="80" spans="1:13" ht="15" customHeight="1">
      <c r="A80" s="278">
        <v>1135</v>
      </c>
      <c r="B80" s="278">
        <v>1140</v>
      </c>
      <c r="C80" s="278">
        <v>2090</v>
      </c>
      <c r="D80" s="277">
        <v>0</v>
      </c>
      <c r="E80" s="277">
        <v>0</v>
      </c>
      <c r="F80" s="277">
        <v>0</v>
      </c>
      <c r="G80" s="277">
        <v>0</v>
      </c>
      <c r="H80" s="277">
        <v>0</v>
      </c>
      <c r="I80" s="277">
        <v>0</v>
      </c>
      <c r="J80" s="277">
        <v>0</v>
      </c>
      <c r="K80" s="277">
        <v>0</v>
      </c>
      <c r="L80" s="277">
        <v>0</v>
      </c>
      <c r="M80" s="277">
        <v>0</v>
      </c>
    </row>
    <row r="81" spans="1:13" ht="15" customHeight="1">
      <c r="A81" s="278">
        <v>1140</v>
      </c>
      <c r="B81" s="278">
        <v>1145</v>
      </c>
      <c r="C81" s="278">
        <v>2160</v>
      </c>
      <c r="D81" s="277">
        <v>0</v>
      </c>
      <c r="E81" s="277">
        <v>0</v>
      </c>
      <c r="F81" s="277">
        <v>0</v>
      </c>
      <c r="G81" s="277">
        <v>0</v>
      </c>
      <c r="H81" s="277">
        <v>0</v>
      </c>
      <c r="I81" s="277">
        <v>0</v>
      </c>
      <c r="J81" s="277">
        <v>0</v>
      </c>
      <c r="K81" s="277">
        <v>0</v>
      </c>
      <c r="L81" s="277">
        <v>0</v>
      </c>
      <c r="M81" s="277">
        <v>0</v>
      </c>
    </row>
    <row r="82" spans="1:13" ht="15" customHeight="1">
      <c r="A82" s="278">
        <v>1145</v>
      </c>
      <c r="B82" s="278">
        <v>1150</v>
      </c>
      <c r="C82" s="278">
        <v>2230</v>
      </c>
      <c r="D82" s="277">
        <v>0</v>
      </c>
      <c r="E82" s="277">
        <v>0</v>
      </c>
      <c r="F82" s="277">
        <v>0</v>
      </c>
      <c r="G82" s="277">
        <v>0</v>
      </c>
      <c r="H82" s="277">
        <v>0</v>
      </c>
      <c r="I82" s="277">
        <v>0</v>
      </c>
      <c r="J82" s="277">
        <v>0</v>
      </c>
      <c r="K82" s="277">
        <v>0</v>
      </c>
      <c r="L82" s="277">
        <v>0</v>
      </c>
      <c r="M82" s="277">
        <v>0</v>
      </c>
    </row>
    <row r="83" spans="1:13" ht="15" customHeight="1">
      <c r="A83" s="278">
        <v>1150</v>
      </c>
      <c r="B83" s="278">
        <v>1155</v>
      </c>
      <c r="C83" s="278">
        <v>2300</v>
      </c>
      <c r="D83" s="277">
        <v>0</v>
      </c>
      <c r="E83" s="277">
        <v>0</v>
      </c>
      <c r="F83" s="277">
        <v>0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277">
        <v>0</v>
      </c>
    </row>
    <row r="84" spans="1:13" ht="15" customHeight="1">
      <c r="A84" s="278">
        <v>1155</v>
      </c>
      <c r="B84" s="278">
        <v>1160</v>
      </c>
      <c r="C84" s="278">
        <v>2370</v>
      </c>
      <c r="D84" s="277">
        <v>0</v>
      </c>
      <c r="E84" s="277">
        <v>0</v>
      </c>
      <c r="F84" s="277">
        <v>0</v>
      </c>
      <c r="G84" s="277">
        <v>0</v>
      </c>
      <c r="H84" s="277">
        <v>0</v>
      </c>
      <c r="I84" s="277">
        <v>0</v>
      </c>
      <c r="J84" s="277">
        <v>0</v>
      </c>
      <c r="K84" s="277">
        <v>0</v>
      </c>
      <c r="L84" s="277">
        <v>0</v>
      </c>
      <c r="M84" s="277">
        <v>0</v>
      </c>
    </row>
    <row r="85" spans="1:13" ht="15" customHeight="1">
      <c r="A85" s="278">
        <v>1160</v>
      </c>
      <c r="B85" s="278">
        <v>1165</v>
      </c>
      <c r="C85" s="278">
        <v>2440</v>
      </c>
      <c r="D85" s="277">
        <v>0</v>
      </c>
      <c r="E85" s="277">
        <v>0</v>
      </c>
      <c r="F85" s="277">
        <v>0</v>
      </c>
      <c r="G85" s="277">
        <v>0</v>
      </c>
      <c r="H85" s="277">
        <v>0</v>
      </c>
      <c r="I85" s="277">
        <v>0</v>
      </c>
      <c r="J85" s="277">
        <v>0</v>
      </c>
      <c r="K85" s="277">
        <v>0</v>
      </c>
      <c r="L85" s="277">
        <v>0</v>
      </c>
      <c r="M85" s="277">
        <v>0</v>
      </c>
    </row>
    <row r="86" spans="1:13" ht="15" customHeight="1">
      <c r="A86" s="278">
        <v>1165</v>
      </c>
      <c r="B86" s="278">
        <v>1170</v>
      </c>
      <c r="C86" s="278">
        <v>2500</v>
      </c>
      <c r="D86" s="277">
        <v>0</v>
      </c>
      <c r="E86" s="277">
        <v>0</v>
      </c>
      <c r="F86" s="277">
        <v>0</v>
      </c>
      <c r="G86" s="277">
        <v>0</v>
      </c>
      <c r="H86" s="277">
        <v>0</v>
      </c>
      <c r="I86" s="277">
        <v>0</v>
      </c>
      <c r="J86" s="277">
        <v>0</v>
      </c>
      <c r="K86" s="277">
        <v>0</v>
      </c>
      <c r="L86" s="277">
        <v>0</v>
      </c>
      <c r="M86" s="277">
        <v>0</v>
      </c>
    </row>
    <row r="87" spans="1:13" ht="15" customHeight="1">
      <c r="A87" s="278">
        <v>1170</v>
      </c>
      <c r="B87" s="278">
        <v>1175</v>
      </c>
      <c r="C87" s="278">
        <v>2570</v>
      </c>
      <c r="D87" s="277">
        <v>0</v>
      </c>
      <c r="E87" s="277">
        <v>0</v>
      </c>
      <c r="F87" s="277">
        <v>0</v>
      </c>
      <c r="G87" s="277">
        <v>0</v>
      </c>
      <c r="H87" s="277">
        <v>0</v>
      </c>
      <c r="I87" s="277">
        <v>0</v>
      </c>
      <c r="J87" s="277">
        <v>0</v>
      </c>
      <c r="K87" s="277">
        <v>0</v>
      </c>
      <c r="L87" s="277">
        <v>0</v>
      </c>
      <c r="M87" s="277">
        <v>0</v>
      </c>
    </row>
    <row r="88" spans="1:13" ht="15" customHeight="1">
      <c r="A88" s="278">
        <v>1175</v>
      </c>
      <c r="B88" s="278">
        <v>1180</v>
      </c>
      <c r="C88" s="278">
        <v>2640</v>
      </c>
      <c r="D88" s="277">
        <v>0</v>
      </c>
      <c r="E88" s="277">
        <v>0</v>
      </c>
      <c r="F88" s="277">
        <v>0</v>
      </c>
      <c r="G88" s="277">
        <v>0</v>
      </c>
      <c r="H88" s="277">
        <v>0</v>
      </c>
      <c r="I88" s="277">
        <v>0</v>
      </c>
      <c r="J88" s="277">
        <v>0</v>
      </c>
      <c r="K88" s="277">
        <v>0</v>
      </c>
      <c r="L88" s="277">
        <v>0</v>
      </c>
      <c r="M88" s="277">
        <v>0</v>
      </c>
    </row>
    <row r="89" spans="1:13" ht="15" customHeight="1">
      <c r="A89" s="278">
        <v>1180</v>
      </c>
      <c r="B89" s="278">
        <v>1185</v>
      </c>
      <c r="C89" s="278">
        <v>2710</v>
      </c>
      <c r="D89" s="277">
        <v>0</v>
      </c>
      <c r="E89" s="277">
        <v>0</v>
      </c>
      <c r="F89" s="277">
        <v>0</v>
      </c>
      <c r="G89" s="277">
        <v>0</v>
      </c>
      <c r="H89" s="277">
        <v>0</v>
      </c>
      <c r="I89" s="277">
        <v>0</v>
      </c>
      <c r="J89" s="277">
        <v>0</v>
      </c>
      <c r="K89" s="277">
        <v>0</v>
      </c>
      <c r="L89" s="277">
        <v>0</v>
      </c>
      <c r="M89" s="277">
        <v>0</v>
      </c>
    </row>
    <row r="90" spans="1:13" ht="15" customHeight="1">
      <c r="A90" s="278">
        <v>1185</v>
      </c>
      <c r="B90" s="278">
        <v>1190</v>
      </c>
      <c r="C90" s="278">
        <v>2780</v>
      </c>
      <c r="D90" s="277">
        <v>0</v>
      </c>
      <c r="E90" s="277">
        <v>0</v>
      </c>
      <c r="F90" s="277">
        <v>0</v>
      </c>
      <c r="G90" s="277">
        <v>0</v>
      </c>
      <c r="H90" s="277">
        <v>0</v>
      </c>
      <c r="I90" s="277">
        <v>0</v>
      </c>
      <c r="J90" s="277">
        <v>0</v>
      </c>
      <c r="K90" s="277">
        <v>0</v>
      </c>
      <c r="L90" s="277">
        <v>0</v>
      </c>
      <c r="M90" s="277">
        <v>0</v>
      </c>
    </row>
    <row r="91" spans="1:13" ht="15" customHeight="1">
      <c r="A91" s="278">
        <v>1190</v>
      </c>
      <c r="B91" s="278">
        <v>1195</v>
      </c>
      <c r="C91" s="278">
        <v>2850</v>
      </c>
      <c r="D91" s="277">
        <v>0</v>
      </c>
      <c r="E91" s="277">
        <v>0</v>
      </c>
      <c r="F91" s="277">
        <v>0</v>
      </c>
      <c r="G91" s="277">
        <v>0</v>
      </c>
      <c r="H91" s="277">
        <v>0</v>
      </c>
      <c r="I91" s="277">
        <v>0</v>
      </c>
      <c r="J91" s="277">
        <v>0</v>
      </c>
      <c r="K91" s="277">
        <v>0</v>
      </c>
      <c r="L91" s="277">
        <v>0</v>
      </c>
      <c r="M91" s="277">
        <v>0</v>
      </c>
    </row>
    <row r="92" spans="1:13" ht="15" customHeight="1">
      <c r="A92" s="278">
        <v>1195</v>
      </c>
      <c r="B92" s="278">
        <v>1200</v>
      </c>
      <c r="C92" s="278">
        <v>2920</v>
      </c>
      <c r="D92" s="277">
        <v>0</v>
      </c>
      <c r="E92" s="277">
        <v>0</v>
      </c>
      <c r="F92" s="277">
        <v>0</v>
      </c>
      <c r="G92" s="277">
        <v>0</v>
      </c>
      <c r="H92" s="277">
        <v>0</v>
      </c>
      <c r="I92" s="277">
        <v>0</v>
      </c>
      <c r="J92" s="277">
        <v>0</v>
      </c>
      <c r="K92" s="277">
        <v>0</v>
      </c>
      <c r="L92" s="277">
        <v>0</v>
      </c>
      <c r="M92" s="277">
        <v>0</v>
      </c>
    </row>
    <row r="93" spans="1:13" ht="15" customHeight="1">
      <c r="A93" s="278">
        <v>1200</v>
      </c>
      <c r="B93" s="278">
        <v>1205</v>
      </c>
      <c r="C93" s="278">
        <v>2990</v>
      </c>
      <c r="D93" s="277">
        <v>0</v>
      </c>
      <c r="E93" s="277">
        <v>0</v>
      </c>
      <c r="F93" s="277">
        <v>0</v>
      </c>
      <c r="G93" s="277">
        <v>0</v>
      </c>
      <c r="H93" s="277">
        <v>0</v>
      </c>
      <c r="I93" s="277">
        <v>0</v>
      </c>
      <c r="J93" s="277">
        <v>0</v>
      </c>
      <c r="K93" s="277">
        <v>0</v>
      </c>
      <c r="L93" s="277">
        <v>0</v>
      </c>
      <c r="M93" s="277">
        <v>0</v>
      </c>
    </row>
    <row r="94" spans="1:13" ht="15" customHeight="1">
      <c r="A94" s="278">
        <v>1205</v>
      </c>
      <c r="B94" s="278">
        <v>1210</v>
      </c>
      <c r="C94" s="278">
        <v>3060</v>
      </c>
      <c r="D94" s="277">
        <v>0</v>
      </c>
      <c r="E94" s="277">
        <v>0</v>
      </c>
      <c r="F94" s="277">
        <v>0</v>
      </c>
      <c r="G94" s="277">
        <v>0</v>
      </c>
      <c r="H94" s="277">
        <v>0</v>
      </c>
      <c r="I94" s="277">
        <v>0</v>
      </c>
      <c r="J94" s="277">
        <v>0</v>
      </c>
      <c r="K94" s="277">
        <v>0</v>
      </c>
      <c r="L94" s="277">
        <v>0</v>
      </c>
      <c r="M94" s="277">
        <v>0</v>
      </c>
    </row>
    <row r="95" spans="1:13" ht="15" customHeight="1">
      <c r="A95" s="278">
        <v>1210</v>
      </c>
      <c r="B95" s="278">
        <v>1215</v>
      </c>
      <c r="C95" s="278">
        <v>3130</v>
      </c>
      <c r="D95" s="277">
        <v>0</v>
      </c>
      <c r="E95" s="277">
        <v>0</v>
      </c>
      <c r="F95" s="277">
        <v>0</v>
      </c>
      <c r="G95" s="277">
        <v>0</v>
      </c>
      <c r="H95" s="277">
        <v>0</v>
      </c>
      <c r="I95" s="277">
        <v>0</v>
      </c>
      <c r="J95" s="277">
        <v>0</v>
      </c>
      <c r="K95" s="277">
        <v>0</v>
      </c>
      <c r="L95" s="277">
        <v>0</v>
      </c>
      <c r="M95" s="277">
        <v>0</v>
      </c>
    </row>
    <row r="96" spans="1:13" ht="15" customHeight="1">
      <c r="A96" s="278">
        <v>1215</v>
      </c>
      <c r="B96" s="278">
        <v>1220</v>
      </c>
      <c r="C96" s="278">
        <v>3200</v>
      </c>
      <c r="D96" s="277">
        <v>0</v>
      </c>
      <c r="E96" s="277">
        <v>0</v>
      </c>
      <c r="F96" s="277">
        <v>0</v>
      </c>
      <c r="G96" s="277">
        <v>0</v>
      </c>
      <c r="H96" s="277">
        <v>0</v>
      </c>
      <c r="I96" s="277">
        <v>0</v>
      </c>
      <c r="J96" s="277">
        <v>0</v>
      </c>
      <c r="K96" s="277">
        <v>0</v>
      </c>
      <c r="L96" s="277">
        <v>0</v>
      </c>
      <c r="M96" s="277">
        <v>0</v>
      </c>
    </row>
    <row r="97" spans="1:13" ht="15" customHeight="1">
      <c r="A97" s="278">
        <v>1220</v>
      </c>
      <c r="B97" s="278">
        <v>1225</v>
      </c>
      <c r="C97" s="278">
        <v>3270</v>
      </c>
      <c r="D97" s="277">
        <v>0</v>
      </c>
      <c r="E97" s="277">
        <v>0</v>
      </c>
      <c r="F97" s="277">
        <v>0</v>
      </c>
      <c r="G97" s="277">
        <v>0</v>
      </c>
      <c r="H97" s="277">
        <v>0</v>
      </c>
      <c r="I97" s="277">
        <v>0</v>
      </c>
      <c r="J97" s="277">
        <v>0</v>
      </c>
      <c r="K97" s="277">
        <v>0</v>
      </c>
      <c r="L97" s="277">
        <v>0</v>
      </c>
      <c r="M97" s="277">
        <v>0</v>
      </c>
    </row>
    <row r="98" spans="1:13" ht="15" customHeight="1">
      <c r="A98" s="278">
        <v>1225</v>
      </c>
      <c r="B98" s="278">
        <v>1230</v>
      </c>
      <c r="C98" s="278">
        <v>3340</v>
      </c>
      <c r="D98" s="277">
        <v>0</v>
      </c>
      <c r="E98" s="277">
        <v>0</v>
      </c>
      <c r="F98" s="277">
        <v>0</v>
      </c>
      <c r="G98" s="277">
        <v>0</v>
      </c>
      <c r="H98" s="277">
        <v>0</v>
      </c>
      <c r="I98" s="277">
        <v>0</v>
      </c>
      <c r="J98" s="277">
        <v>0</v>
      </c>
      <c r="K98" s="277">
        <v>0</v>
      </c>
      <c r="L98" s="277">
        <v>0</v>
      </c>
      <c r="M98" s="277">
        <v>0</v>
      </c>
    </row>
    <row r="99" spans="1:13" ht="15" customHeight="1">
      <c r="A99" s="278">
        <v>1230</v>
      </c>
      <c r="B99" s="278">
        <v>1235</v>
      </c>
      <c r="C99" s="278">
        <v>3410</v>
      </c>
      <c r="D99" s="277">
        <v>0</v>
      </c>
      <c r="E99" s="277">
        <v>0</v>
      </c>
      <c r="F99" s="277">
        <v>0</v>
      </c>
      <c r="G99" s="277">
        <v>0</v>
      </c>
      <c r="H99" s="277">
        <v>0</v>
      </c>
      <c r="I99" s="277">
        <v>0</v>
      </c>
      <c r="J99" s="277">
        <v>0</v>
      </c>
      <c r="K99" s="277">
        <v>0</v>
      </c>
      <c r="L99" s="277">
        <v>0</v>
      </c>
      <c r="M99" s="277">
        <v>0</v>
      </c>
    </row>
    <row r="100" spans="1:13" ht="15" customHeight="1">
      <c r="A100" s="278">
        <v>1235</v>
      </c>
      <c r="B100" s="278">
        <v>1240</v>
      </c>
      <c r="C100" s="278">
        <v>3480</v>
      </c>
      <c r="D100" s="277">
        <v>0</v>
      </c>
      <c r="E100" s="277">
        <v>0</v>
      </c>
      <c r="F100" s="277">
        <v>0</v>
      </c>
      <c r="G100" s="277">
        <v>0</v>
      </c>
      <c r="H100" s="277">
        <v>0</v>
      </c>
      <c r="I100" s="277">
        <v>0</v>
      </c>
      <c r="J100" s="277">
        <v>0</v>
      </c>
      <c r="K100" s="277">
        <v>0</v>
      </c>
      <c r="L100" s="277">
        <v>0</v>
      </c>
      <c r="M100" s="277">
        <v>0</v>
      </c>
    </row>
    <row r="101" spans="1:13" ht="15" customHeight="1">
      <c r="A101" s="278">
        <v>1240</v>
      </c>
      <c r="B101" s="278">
        <v>1245</v>
      </c>
      <c r="C101" s="278">
        <v>3550</v>
      </c>
      <c r="D101" s="277">
        <v>0</v>
      </c>
      <c r="E101" s="277">
        <v>0</v>
      </c>
      <c r="F101" s="277">
        <v>0</v>
      </c>
      <c r="G101" s="277">
        <v>0</v>
      </c>
      <c r="H101" s="277">
        <v>0</v>
      </c>
      <c r="I101" s="277">
        <v>0</v>
      </c>
      <c r="J101" s="277">
        <v>0</v>
      </c>
      <c r="K101" s="277">
        <v>0</v>
      </c>
      <c r="L101" s="277">
        <v>0</v>
      </c>
      <c r="M101" s="277">
        <v>0</v>
      </c>
    </row>
    <row r="102" spans="1:13" ht="15" customHeight="1">
      <c r="A102" s="278">
        <v>1245</v>
      </c>
      <c r="B102" s="278">
        <v>1250</v>
      </c>
      <c r="C102" s="278">
        <v>3620</v>
      </c>
      <c r="D102" s="277">
        <v>0</v>
      </c>
      <c r="E102" s="277">
        <v>0</v>
      </c>
      <c r="F102" s="277">
        <v>0</v>
      </c>
      <c r="G102" s="277">
        <v>0</v>
      </c>
      <c r="H102" s="277">
        <v>0</v>
      </c>
      <c r="I102" s="277">
        <v>0</v>
      </c>
      <c r="J102" s="277">
        <v>0</v>
      </c>
      <c r="K102" s="277">
        <v>0</v>
      </c>
      <c r="L102" s="277">
        <v>0</v>
      </c>
      <c r="M102" s="277">
        <v>0</v>
      </c>
    </row>
    <row r="103" spans="1:13" ht="15" customHeight="1">
      <c r="A103" s="278">
        <v>1250</v>
      </c>
      <c r="B103" s="278">
        <v>1255</v>
      </c>
      <c r="C103" s="278">
        <v>3700</v>
      </c>
      <c r="D103" s="277">
        <v>0</v>
      </c>
      <c r="E103" s="277">
        <v>0</v>
      </c>
      <c r="F103" s="277">
        <v>0</v>
      </c>
      <c r="G103" s="277">
        <v>0</v>
      </c>
      <c r="H103" s="277">
        <v>0</v>
      </c>
      <c r="I103" s="277">
        <v>0</v>
      </c>
      <c r="J103" s="277">
        <v>0</v>
      </c>
      <c r="K103" s="277">
        <v>0</v>
      </c>
      <c r="L103" s="277">
        <v>0</v>
      </c>
      <c r="M103" s="277">
        <v>0</v>
      </c>
    </row>
    <row r="104" spans="1:13" ht="15" customHeight="1">
      <c r="A104" s="278">
        <v>1255</v>
      </c>
      <c r="B104" s="278">
        <v>1260</v>
      </c>
      <c r="C104" s="278">
        <v>3810</v>
      </c>
      <c r="D104" s="277">
        <v>0</v>
      </c>
      <c r="E104" s="277">
        <v>0</v>
      </c>
      <c r="F104" s="277">
        <v>0</v>
      </c>
      <c r="G104" s="277">
        <v>0</v>
      </c>
      <c r="H104" s="277">
        <v>0</v>
      </c>
      <c r="I104" s="277">
        <v>0</v>
      </c>
      <c r="J104" s="277">
        <v>0</v>
      </c>
      <c r="K104" s="277">
        <v>0</v>
      </c>
      <c r="L104" s="277">
        <v>0</v>
      </c>
      <c r="M104" s="277">
        <v>0</v>
      </c>
    </row>
    <row r="105" spans="1:13" ht="15" customHeight="1">
      <c r="A105" s="278">
        <v>1260</v>
      </c>
      <c r="B105" s="278">
        <v>1265</v>
      </c>
      <c r="C105" s="278">
        <v>3910</v>
      </c>
      <c r="D105" s="277">
        <v>0</v>
      </c>
      <c r="E105" s="277">
        <v>0</v>
      </c>
      <c r="F105" s="277">
        <v>0</v>
      </c>
      <c r="G105" s="277">
        <v>0</v>
      </c>
      <c r="H105" s="277">
        <v>0</v>
      </c>
      <c r="I105" s="277">
        <v>0</v>
      </c>
      <c r="J105" s="277">
        <v>0</v>
      </c>
      <c r="K105" s="277">
        <v>0</v>
      </c>
      <c r="L105" s="277">
        <v>0</v>
      </c>
      <c r="M105" s="277">
        <v>0</v>
      </c>
    </row>
    <row r="106" spans="1:13" ht="15" customHeight="1">
      <c r="A106" s="278">
        <v>1265</v>
      </c>
      <c r="B106" s="278">
        <v>1270</v>
      </c>
      <c r="C106" s="278">
        <v>4010</v>
      </c>
      <c r="D106" s="277">
        <v>0</v>
      </c>
      <c r="E106" s="277">
        <v>0</v>
      </c>
      <c r="F106" s="277">
        <v>0</v>
      </c>
      <c r="G106" s="277">
        <v>0</v>
      </c>
      <c r="H106" s="277">
        <v>0</v>
      </c>
      <c r="I106" s="277">
        <v>0</v>
      </c>
      <c r="J106" s="277">
        <v>0</v>
      </c>
      <c r="K106" s="277">
        <v>0</v>
      </c>
      <c r="L106" s="277">
        <v>0</v>
      </c>
      <c r="M106" s="277">
        <v>0</v>
      </c>
    </row>
    <row r="107" spans="1:13" ht="15" customHeight="1">
      <c r="A107" s="278">
        <v>1270</v>
      </c>
      <c r="B107" s="278">
        <v>1275</v>
      </c>
      <c r="C107" s="278">
        <v>4120</v>
      </c>
      <c r="D107" s="277">
        <v>0</v>
      </c>
      <c r="E107" s="277">
        <v>0</v>
      </c>
      <c r="F107" s="277">
        <v>0</v>
      </c>
      <c r="G107" s="277">
        <v>0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0</v>
      </c>
    </row>
    <row r="108" spans="1:13" ht="15" customHeight="1">
      <c r="A108" s="278">
        <v>1275</v>
      </c>
      <c r="B108" s="278">
        <v>1280</v>
      </c>
      <c r="C108" s="278">
        <v>4220</v>
      </c>
      <c r="D108" s="277">
        <v>0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</row>
    <row r="109" spans="1:13" ht="15" customHeight="1">
      <c r="A109" s="278">
        <v>1280</v>
      </c>
      <c r="B109" s="278">
        <v>1285</v>
      </c>
      <c r="C109" s="278">
        <v>4320</v>
      </c>
      <c r="D109" s="277">
        <v>0</v>
      </c>
      <c r="E109" s="277">
        <v>0</v>
      </c>
      <c r="F109" s="277">
        <v>0</v>
      </c>
      <c r="G109" s="277">
        <v>0</v>
      </c>
      <c r="H109" s="277">
        <v>0</v>
      </c>
      <c r="I109" s="277">
        <v>0</v>
      </c>
      <c r="J109" s="277">
        <v>0</v>
      </c>
      <c r="K109" s="277">
        <v>0</v>
      </c>
      <c r="L109" s="277">
        <v>0</v>
      </c>
      <c r="M109" s="277">
        <v>0</v>
      </c>
    </row>
    <row r="110" spans="1:13" ht="15" customHeight="1">
      <c r="A110" s="278">
        <v>1285</v>
      </c>
      <c r="B110" s="278">
        <v>1290</v>
      </c>
      <c r="C110" s="278">
        <v>4430</v>
      </c>
      <c r="D110" s="277">
        <v>0</v>
      </c>
      <c r="E110" s="277">
        <v>0</v>
      </c>
      <c r="F110" s="277">
        <v>0</v>
      </c>
      <c r="G110" s="277">
        <v>0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</row>
    <row r="111" spans="1:13" ht="15" customHeight="1">
      <c r="A111" s="278">
        <v>1290</v>
      </c>
      <c r="B111" s="278">
        <v>1295</v>
      </c>
      <c r="C111" s="278">
        <v>4530</v>
      </c>
      <c r="D111" s="277">
        <v>0</v>
      </c>
      <c r="E111" s="277">
        <v>0</v>
      </c>
      <c r="F111" s="277">
        <v>0</v>
      </c>
      <c r="G111" s="277">
        <v>0</v>
      </c>
      <c r="H111" s="277">
        <v>0</v>
      </c>
      <c r="I111" s="277">
        <v>0</v>
      </c>
      <c r="J111" s="277">
        <v>0</v>
      </c>
      <c r="K111" s="277">
        <v>0</v>
      </c>
      <c r="L111" s="277">
        <v>0</v>
      </c>
      <c r="M111" s="277">
        <v>0</v>
      </c>
    </row>
    <row r="112" spans="1:13" ht="15" customHeight="1">
      <c r="A112" s="278">
        <v>1295</v>
      </c>
      <c r="B112" s="278">
        <v>1300</v>
      </c>
      <c r="C112" s="278">
        <v>4630</v>
      </c>
      <c r="D112" s="277">
        <v>0</v>
      </c>
      <c r="E112" s="277">
        <v>0</v>
      </c>
      <c r="F112" s="277">
        <v>0</v>
      </c>
      <c r="G112" s="277">
        <v>0</v>
      </c>
      <c r="H112" s="277">
        <v>0</v>
      </c>
      <c r="I112" s="277">
        <v>0</v>
      </c>
      <c r="J112" s="277">
        <v>0</v>
      </c>
      <c r="K112" s="277">
        <v>0</v>
      </c>
      <c r="L112" s="277">
        <v>0</v>
      </c>
      <c r="M112" s="277">
        <v>0</v>
      </c>
    </row>
    <row r="113" spans="1:13" ht="15" customHeight="1">
      <c r="A113" s="278">
        <v>1300</v>
      </c>
      <c r="B113" s="278">
        <v>1305</v>
      </c>
      <c r="C113" s="278">
        <v>4740</v>
      </c>
      <c r="D113" s="277">
        <v>0</v>
      </c>
      <c r="E113" s="277">
        <v>0</v>
      </c>
      <c r="F113" s="277">
        <v>0</v>
      </c>
      <c r="G113" s="277">
        <v>0</v>
      </c>
      <c r="H113" s="277">
        <v>0</v>
      </c>
      <c r="I113" s="277">
        <v>0</v>
      </c>
      <c r="J113" s="277">
        <v>0</v>
      </c>
      <c r="K113" s="277">
        <v>0</v>
      </c>
      <c r="L113" s="277">
        <v>0</v>
      </c>
      <c r="M113" s="277">
        <v>0</v>
      </c>
    </row>
    <row r="114" spans="1:13" ht="15" customHeight="1">
      <c r="A114" s="278">
        <v>1305</v>
      </c>
      <c r="B114" s="278">
        <v>1310</v>
      </c>
      <c r="C114" s="278">
        <v>4840</v>
      </c>
      <c r="D114" s="277">
        <v>0</v>
      </c>
      <c r="E114" s="277">
        <v>0</v>
      </c>
      <c r="F114" s="277">
        <v>0</v>
      </c>
      <c r="G114" s="277">
        <v>0</v>
      </c>
      <c r="H114" s="277">
        <v>0</v>
      </c>
      <c r="I114" s="277">
        <v>0</v>
      </c>
      <c r="J114" s="277">
        <v>0</v>
      </c>
      <c r="K114" s="277">
        <v>0</v>
      </c>
      <c r="L114" s="277">
        <v>0</v>
      </c>
      <c r="M114" s="277">
        <v>0</v>
      </c>
    </row>
    <row r="115" spans="1:13" ht="15" customHeight="1">
      <c r="A115" s="279">
        <v>1310</v>
      </c>
      <c r="B115" s="279">
        <v>1315</v>
      </c>
      <c r="C115" s="279">
        <v>4940</v>
      </c>
      <c r="D115" s="277">
        <v>0</v>
      </c>
      <c r="E115" s="277">
        <v>0</v>
      </c>
      <c r="F115" s="277">
        <v>0</v>
      </c>
      <c r="G115" s="277">
        <v>0</v>
      </c>
      <c r="H115" s="277">
        <v>0</v>
      </c>
      <c r="I115" s="277">
        <v>0</v>
      </c>
      <c r="J115" s="277">
        <v>0</v>
      </c>
      <c r="K115" s="277">
        <v>0</v>
      </c>
      <c r="L115" s="277">
        <v>0</v>
      </c>
      <c r="M115" s="277">
        <v>0</v>
      </c>
    </row>
    <row r="116" spans="1:13" ht="15" customHeight="1">
      <c r="A116" s="278">
        <v>1315</v>
      </c>
      <c r="B116" s="278">
        <v>1320</v>
      </c>
      <c r="C116" s="278">
        <v>5050</v>
      </c>
      <c r="D116" s="277">
        <v>0</v>
      </c>
      <c r="E116" s="277">
        <v>0</v>
      </c>
      <c r="F116" s="277">
        <v>0</v>
      </c>
      <c r="G116" s="277">
        <v>0</v>
      </c>
      <c r="H116" s="277">
        <v>0</v>
      </c>
      <c r="I116" s="277">
        <v>0</v>
      </c>
      <c r="J116" s="277">
        <v>0</v>
      </c>
      <c r="K116" s="277">
        <v>0</v>
      </c>
      <c r="L116" s="277">
        <v>0</v>
      </c>
      <c r="M116" s="277">
        <v>0</v>
      </c>
    </row>
    <row r="117" spans="1:13" ht="15" customHeight="1">
      <c r="A117" s="278">
        <v>1320</v>
      </c>
      <c r="B117" s="278">
        <v>1325</v>
      </c>
      <c r="C117" s="278">
        <v>5150</v>
      </c>
      <c r="D117" s="277">
        <v>0</v>
      </c>
      <c r="E117" s="277">
        <v>0</v>
      </c>
      <c r="F117" s="277">
        <v>0</v>
      </c>
      <c r="G117" s="277">
        <v>0</v>
      </c>
      <c r="H117" s="277">
        <v>0</v>
      </c>
      <c r="I117" s="277">
        <v>0</v>
      </c>
      <c r="J117" s="277">
        <v>0</v>
      </c>
      <c r="K117" s="277">
        <v>0</v>
      </c>
      <c r="L117" s="277">
        <v>0</v>
      </c>
      <c r="M117" s="277">
        <v>0</v>
      </c>
    </row>
    <row r="118" spans="1:13" ht="15" customHeight="1">
      <c r="A118" s="278">
        <v>1325</v>
      </c>
      <c r="B118" s="278">
        <v>1330</v>
      </c>
      <c r="C118" s="278">
        <v>5250</v>
      </c>
      <c r="D118" s="277">
        <v>0</v>
      </c>
      <c r="E118" s="277">
        <v>0</v>
      </c>
      <c r="F118" s="277">
        <v>0</v>
      </c>
      <c r="G118" s="277">
        <v>0</v>
      </c>
      <c r="H118" s="277">
        <v>0</v>
      </c>
      <c r="I118" s="277">
        <v>0</v>
      </c>
      <c r="J118" s="277">
        <v>0</v>
      </c>
      <c r="K118" s="277">
        <v>0</v>
      </c>
      <c r="L118" s="277">
        <v>0</v>
      </c>
      <c r="M118" s="277">
        <v>0</v>
      </c>
    </row>
    <row r="119" spans="1:13" ht="15" customHeight="1">
      <c r="A119" s="278">
        <v>1330</v>
      </c>
      <c r="B119" s="278">
        <v>1335</v>
      </c>
      <c r="C119" s="278">
        <v>5360</v>
      </c>
      <c r="D119" s="277">
        <v>0</v>
      </c>
      <c r="E119" s="277">
        <v>0</v>
      </c>
      <c r="F119" s="277">
        <v>0</v>
      </c>
      <c r="G119" s="277">
        <v>0</v>
      </c>
      <c r="H119" s="277">
        <v>0</v>
      </c>
      <c r="I119" s="277">
        <v>0</v>
      </c>
      <c r="J119" s="277">
        <v>0</v>
      </c>
      <c r="K119" s="277">
        <v>0</v>
      </c>
      <c r="L119" s="277">
        <v>0</v>
      </c>
      <c r="M119" s="277">
        <v>0</v>
      </c>
    </row>
    <row r="120" spans="1:13" ht="15" customHeight="1">
      <c r="A120" s="278">
        <v>1335</v>
      </c>
      <c r="B120" s="278">
        <v>1340</v>
      </c>
      <c r="C120" s="278">
        <v>5460</v>
      </c>
      <c r="D120" s="277">
        <v>0</v>
      </c>
      <c r="E120" s="277">
        <v>0</v>
      </c>
      <c r="F120" s="277">
        <v>0</v>
      </c>
      <c r="G120" s="277">
        <v>0</v>
      </c>
      <c r="H120" s="277">
        <v>0</v>
      </c>
      <c r="I120" s="277">
        <v>0</v>
      </c>
      <c r="J120" s="277">
        <v>0</v>
      </c>
      <c r="K120" s="277">
        <v>0</v>
      </c>
      <c r="L120" s="277">
        <v>0</v>
      </c>
      <c r="M120" s="277">
        <v>0</v>
      </c>
    </row>
    <row r="121" spans="1:13" ht="15" customHeight="1">
      <c r="A121" s="278">
        <v>1340</v>
      </c>
      <c r="B121" s="278">
        <v>1345</v>
      </c>
      <c r="C121" s="278">
        <v>5560</v>
      </c>
      <c r="D121" s="278">
        <v>1060</v>
      </c>
      <c r="E121" s="276">
        <v>0</v>
      </c>
      <c r="F121" s="276">
        <v>0</v>
      </c>
      <c r="G121" s="276">
        <v>0</v>
      </c>
      <c r="H121" s="276">
        <v>0</v>
      </c>
      <c r="I121" s="276">
        <v>0</v>
      </c>
      <c r="J121" s="276">
        <v>0</v>
      </c>
      <c r="K121" s="276">
        <v>0</v>
      </c>
      <c r="L121" s="276">
        <v>0</v>
      </c>
      <c r="M121" s="276">
        <v>0</v>
      </c>
    </row>
    <row r="122" spans="1:13" ht="15" customHeight="1">
      <c r="A122" s="278">
        <v>1345</v>
      </c>
      <c r="B122" s="278">
        <v>1350</v>
      </c>
      <c r="C122" s="278">
        <v>5670</v>
      </c>
      <c r="D122" s="278">
        <v>1170</v>
      </c>
      <c r="E122" s="276">
        <v>0</v>
      </c>
      <c r="F122" s="276">
        <v>0</v>
      </c>
      <c r="G122" s="276">
        <v>0</v>
      </c>
      <c r="H122" s="276">
        <v>0</v>
      </c>
      <c r="I122" s="276">
        <v>0</v>
      </c>
      <c r="J122" s="276">
        <v>0</v>
      </c>
      <c r="K122" s="276">
        <v>0</v>
      </c>
      <c r="L122" s="276">
        <v>0</v>
      </c>
      <c r="M122" s="276">
        <v>0</v>
      </c>
    </row>
    <row r="123" spans="1:13" ht="15" customHeight="1">
      <c r="A123" s="278">
        <v>1350</v>
      </c>
      <c r="B123" s="278">
        <v>1355</v>
      </c>
      <c r="C123" s="278">
        <v>5770</v>
      </c>
      <c r="D123" s="278">
        <v>1270</v>
      </c>
      <c r="E123" s="276">
        <v>0</v>
      </c>
      <c r="F123" s="276">
        <v>0</v>
      </c>
      <c r="G123" s="276">
        <v>0</v>
      </c>
      <c r="H123" s="276">
        <v>0</v>
      </c>
      <c r="I123" s="276">
        <v>0</v>
      </c>
      <c r="J123" s="276">
        <v>0</v>
      </c>
      <c r="K123" s="276">
        <v>0</v>
      </c>
      <c r="L123" s="276">
        <v>0</v>
      </c>
      <c r="M123" s="276">
        <v>0</v>
      </c>
    </row>
    <row r="124" spans="1:13" ht="15" customHeight="1">
      <c r="A124" s="278">
        <v>1355</v>
      </c>
      <c r="B124" s="278">
        <v>1360</v>
      </c>
      <c r="C124" s="278">
        <v>5870</v>
      </c>
      <c r="D124" s="278">
        <v>1370</v>
      </c>
      <c r="E124" s="276">
        <v>0</v>
      </c>
      <c r="F124" s="276">
        <v>0</v>
      </c>
      <c r="G124" s="276">
        <v>0</v>
      </c>
      <c r="H124" s="276">
        <v>0</v>
      </c>
      <c r="I124" s="276">
        <v>0</v>
      </c>
      <c r="J124" s="276">
        <v>0</v>
      </c>
      <c r="K124" s="276">
        <v>0</v>
      </c>
      <c r="L124" s="276">
        <v>0</v>
      </c>
      <c r="M124" s="276">
        <v>0</v>
      </c>
    </row>
    <row r="125" spans="1:13" ht="15" customHeight="1">
      <c r="A125" s="278">
        <v>1360</v>
      </c>
      <c r="B125" s="278">
        <v>1365</v>
      </c>
      <c r="C125" s="278">
        <v>5980</v>
      </c>
      <c r="D125" s="278">
        <v>1480</v>
      </c>
      <c r="E125" s="276">
        <v>0</v>
      </c>
      <c r="F125" s="276">
        <v>0</v>
      </c>
      <c r="G125" s="276">
        <v>0</v>
      </c>
      <c r="H125" s="276">
        <v>0</v>
      </c>
      <c r="I125" s="276">
        <v>0</v>
      </c>
      <c r="J125" s="276">
        <v>0</v>
      </c>
      <c r="K125" s="276">
        <v>0</v>
      </c>
      <c r="L125" s="276">
        <v>0</v>
      </c>
      <c r="M125" s="276">
        <v>0</v>
      </c>
    </row>
    <row r="126" spans="1:13" ht="15" customHeight="1">
      <c r="A126" s="278">
        <v>1365</v>
      </c>
      <c r="B126" s="278">
        <v>1370</v>
      </c>
      <c r="C126" s="278">
        <v>6080</v>
      </c>
      <c r="D126" s="278">
        <v>1580</v>
      </c>
      <c r="E126" s="276">
        <v>0</v>
      </c>
      <c r="F126" s="276">
        <v>0</v>
      </c>
      <c r="G126" s="276">
        <v>0</v>
      </c>
      <c r="H126" s="276">
        <v>0</v>
      </c>
      <c r="I126" s="276">
        <v>0</v>
      </c>
      <c r="J126" s="276">
        <v>0</v>
      </c>
      <c r="K126" s="276">
        <v>0</v>
      </c>
      <c r="L126" s="276">
        <v>0</v>
      </c>
      <c r="M126" s="276">
        <v>0</v>
      </c>
    </row>
    <row r="127" spans="1:13" ht="15" customHeight="1">
      <c r="A127" s="278">
        <v>1370</v>
      </c>
      <c r="B127" s="278">
        <v>1375</v>
      </c>
      <c r="C127" s="278">
        <v>6180</v>
      </c>
      <c r="D127" s="278">
        <v>1680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</row>
    <row r="128" spans="1:13" ht="15" customHeight="1">
      <c r="A128" s="278">
        <v>1375</v>
      </c>
      <c r="B128" s="278">
        <v>1380</v>
      </c>
      <c r="C128" s="278">
        <v>6290</v>
      </c>
      <c r="D128" s="278">
        <v>1790</v>
      </c>
      <c r="E128" s="276">
        <v>0</v>
      </c>
      <c r="F128" s="276">
        <v>0</v>
      </c>
      <c r="G128" s="276">
        <v>0</v>
      </c>
      <c r="H128" s="276">
        <v>0</v>
      </c>
      <c r="I128" s="276">
        <v>0</v>
      </c>
      <c r="J128" s="276">
        <v>0</v>
      </c>
      <c r="K128" s="276">
        <v>0</v>
      </c>
      <c r="L128" s="276">
        <v>0</v>
      </c>
      <c r="M128" s="276">
        <v>0</v>
      </c>
    </row>
    <row r="129" spans="1:13" ht="15" customHeight="1">
      <c r="A129" s="278">
        <v>1380</v>
      </c>
      <c r="B129" s="278">
        <v>1385</v>
      </c>
      <c r="C129" s="278">
        <v>6390</v>
      </c>
      <c r="D129" s="278">
        <v>1890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</row>
    <row r="130" spans="1:13" ht="15" customHeight="1">
      <c r="A130" s="278">
        <v>1385</v>
      </c>
      <c r="B130" s="278">
        <v>1390</v>
      </c>
      <c r="C130" s="278">
        <v>6490</v>
      </c>
      <c r="D130" s="278">
        <v>1990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</row>
    <row r="131" spans="1:13" ht="15" customHeight="1">
      <c r="A131" s="278">
        <v>1390</v>
      </c>
      <c r="B131" s="278">
        <v>1395</v>
      </c>
      <c r="C131" s="278">
        <v>6600</v>
      </c>
      <c r="D131" s="278">
        <v>2100</v>
      </c>
      <c r="E131" s="276">
        <v>0</v>
      </c>
      <c r="F131" s="276">
        <v>0</v>
      </c>
      <c r="G131" s="276">
        <v>0</v>
      </c>
      <c r="H131" s="276">
        <v>0</v>
      </c>
      <c r="I131" s="276">
        <v>0</v>
      </c>
      <c r="J131" s="276">
        <v>0</v>
      </c>
      <c r="K131" s="276">
        <v>0</v>
      </c>
      <c r="L131" s="276">
        <v>0</v>
      </c>
      <c r="M131" s="276">
        <v>0</v>
      </c>
    </row>
    <row r="132" spans="1:13" ht="15" customHeight="1">
      <c r="A132" s="278">
        <v>1395</v>
      </c>
      <c r="B132" s="278">
        <v>1400</v>
      </c>
      <c r="C132" s="278">
        <v>6700</v>
      </c>
      <c r="D132" s="278">
        <v>2200</v>
      </c>
      <c r="E132" s="276">
        <v>0</v>
      </c>
      <c r="F132" s="276">
        <v>0</v>
      </c>
      <c r="G132" s="276">
        <v>0</v>
      </c>
      <c r="H132" s="276">
        <v>0</v>
      </c>
      <c r="I132" s="276">
        <v>0</v>
      </c>
      <c r="J132" s="276">
        <v>0</v>
      </c>
      <c r="K132" s="276">
        <v>0</v>
      </c>
      <c r="L132" s="276">
        <v>0</v>
      </c>
      <c r="M132" s="276">
        <v>0</v>
      </c>
    </row>
    <row r="133" spans="1:13" ht="15" customHeight="1">
      <c r="A133" s="278">
        <v>1400</v>
      </c>
      <c r="B133" s="278">
        <v>1405</v>
      </c>
      <c r="C133" s="278">
        <v>6800</v>
      </c>
      <c r="D133" s="278">
        <v>2300</v>
      </c>
      <c r="E133" s="276">
        <v>0</v>
      </c>
      <c r="F133" s="276">
        <v>0</v>
      </c>
      <c r="G133" s="276">
        <v>0</v>
      </c>
      <c r="H133" s="276">
        <v>0</v>
      </c>
      <c r="I133" s="276">
        <v>0</v>
      </c>
      <c r="J133" s="276">
        <v>0</v>
      </c>
      <c r="K133" s="276">
        <v>0</v>
      </c>
      <c r="L133" s="276">
        <v>0</v>
      </c>
      <c r="M133" s="276">
        <v>0</v>
      </c>
    </row>
    <row r="134" spans="1:13" ht="15" customHeight="1">
      <c r="A134" s="278">
        <v>1405</v>
      </c>
      <c r="B134" s="278">
        <v>1410</v>
      </c>
      <c r="C134" s="278">
        <v>6910</v>
      </c>
      <c r="D134" s="278">
        <v>2410</v>
      </c>
      <c r="E134" s="276">
        <v>0</v>
      </c>
      <c r="F134" s="276">
        <v>0</v>
      </c>
      <c r="G134" s="276">
        <v>0</v>
      </c>
      <c r="H134" s="276">
        <v>0</v>
      </c>
      <c r="I134" s="276">
        <v>0</v>
      </c>
      <c r="J134" s="276">
        <v>0</v>
      </c>
      <c r="K134" s="276">
        <v>0</v>
      </c>
      <c r="L134" s="276">
        <v>0</v>
      </c>
      <c r="M134" s="276">
        <v>0</v>
      </c>
    </row>
    <row r="135" spans="1:13" ht="15" customHeight="1">
      <c r="A135" s="278">
        <v>1410</v>
      </c>
      <c r="B135" s="278">
        <v>1415</v>
      </c>
      <c r="C135" s="278">
        <v>7010</v>
      </c>
      <c r="D135" s="278">
        <v>2510</v>
      </c>
      <c r="E135" s="276">
        <v>0</v>
      </c>
      <c r="F135" s="276">
        <v>0</v>
      </c>
      <c r="G135" s="276">
        <v>0</v>
      </c>
      <c r="H135" s="276">
        <v>0</v>
      </c>
      <c r="I135" s="276">
        <v>0</v>
      </c>
      <c r="J135" s="276">
        <v>0</v>
      </c>
      <c r="K135" s="276">
        <v>0</v>
      </c>
      <c r="L135" s="276">
        <v>0</v>
      </c>
      <c r="M135" s="276">
        <v>0</v>
      </c>
    </row>
    <row r="136" spans="1:13" ht="15" customHeight="1">
      <c r="A136" s="278">
        <v>1415</v>
      </c>
      <c r="B136" s="278">
        <v>1420</v>
      </c>
      <c r="C136" s="278">
        <v>7110</v>
      </c>
      <c r="D136" s="278">
        <v>2610</v>
      </c>
      <c r="E136" s="276">
        <v>0</v>
      </c>
      <c r="F136" s="276">
        <v>0</v>
      </c>
      <c r="G136" s="276">
        <v>0</v>
      </c>
      <c r="H136" s="276">
        <v>0</v>
      </c>
      <c r="I136" s="276">
        <v>0</v>
      </c>
      <c r="J136" s="276">
        <v>0</v>
      </c>
      <c r="K136" s="276">
        <v>0</v>
      </c>
      <c r="L136" s="276">
        <v>0</v>
      </c>
      <c r="M136" s="276">
        <v>0</v>
      </c>
    </row>
    <row r="137" spans="1:13" ht="15" customHeight="1">
      <c r="A137" s="278">
        <v>1420</v>
      </c>
      <c r="B137" s="278">
        <v>1425</v>
      </c>
      <c r="C137" s="278">
        <v>7210</v>
      </c>
      <c r="D137" s="278">
        <v>2710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</row>
    <row r="138" spans="1:13" ht="15" customHeight="1">
      <c r="A138" s="278">
        <v>1425</v>
      </c>
      <c r="B138" s="278">
        <v>1430</v>
      </c>
      <c r="C138" s="278">
        <v>7320</v>
      </c>
      <c r="D138" s="278">
        <v>2820</v>
      </c>
      <c r="E138" s="276">
        <v>0</v>
      </c>
      <c r="F138" s="276">
        <v>0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</row>
    <row r="139" spans="1:13" ht="15" customHeight="1">
      <c r="A139" s="278">
        <v>1430</v>
      </c>
      <c r="B139" s="278">
        <v>1435</v>
      </c>
      <c r="C139" s="278">
        <v>7420</v>
      </c>
      <c r="D139" s="278">
        <v>2920</v>
      </c>
      <c r="E139" s="276">
        <v>0</v>
      </c>
      <c r="F139" s="276">
        <v>0</v>
      </c>
      <c r="G139" s="276">
        <v>0</v>
      </c>
      <c r="H139" s="276">
        <v>0</v>
      </c>
      <c r="I139" s="276">
        <v>0</v>
      </c>
      <c r="J139" s="276">
        <v>0</v>
      </c>
      <c r="K139" s="276">
        <v>0</v>
      </c>
      <c r="L139" s="276">
        <v>0</v>
      </c>
      <c r="M139" s="276">
        <v>0</v>
      </c>
    </row>
    <row r="140" spans="1:13" ht="15" customHeight="1">
      <c r="A140" s="278">
        <v>1435</v>
      </c>
      <c r="B140" s="278">
        <v>1440</v>
      </c>
      <c r="C140" s="278">
        <v>7520</v>
      </c>
      <c r="D140" s="278">
        <v>3020</v>
      </c>
      <c r="E140" s="276">
        <v>0</v>
      </c>
      <c r="F140" s="276">
        <v>0</v>
      </c>
      <c r="G140" s="276">
        <v>0</v>
      </c>
      <c r="H140" s="276">
        <v>0</v>
      </c>
      <c r="I140" s="276">
        <v>0</v>
      </c>
      <c r="J140" s="276">
        <v>0</v>
      </c>
      <c r="K140" s="276">
        <v>0</v>
      </c>
      <c r="L140" s="276">
        <v>0</v>
      </c>
      <c r="M140" s="276">
        <v>0</v>
      </c>
    </row>
    <row r="141" spans="1:13" ht="15" customHeight="1">
      <c r="A141" s="278">
        <v>1440</v>
      </c>
      <c r="B141" s="278">
        <v>1445</v>
      </c>
      <c r="C141" s="278">
        <v>7630</v>
      </c>
      <c r="D141" s="278">
        <v>3130</v>
      </c>
      <c r="E141" s="276">
        <v>0</v>
      </c>
      <c r="F141" s="276">
        <v>0</v>
      </c>
      <c r="G141" s="276">
        <v>0</v>
      </c>
      <c r="H141" s="276">
        <v>0</v>
      </c>
      <c r="I141" s="276">
        <v>0</v>
      </c>
      <c r="J141" s="276">
        <v>0</v>
      </c>
      <c r="K141" s="276">
        <v>0</v>
      </c>
      <c r="L141" s="276">
        <v>0</v>
      </c>
      <c r="M141" s="276">
        <v>0</v>
      </c>
    </row>
    <row r="142" spans="1:13" ht="15" customHeight="1">
      <c r="A142" s="278">
        <v>1445</v>
      </c>
      <c r="B142" s="278">
        <v>1450</v>
      </c>
      <c r="C142" s="278">
        <v>7730</v>
      </c>
      <c r="D142" s="278">
        <v>3230</v>
      </c>
      <c r="E142" s="276">
        <v>0</v>
      </c>
      <c r="F142" s="276">
        <v>0</v>
      </c>
      <c r="G142" s="276">
        <v>0</v>
      </c>
      <c r="H142" s="276">
        <v>0</v>
      </c>
      <c r="I142" s="276">
        <v>0</v>
      </c>
      <c r="J142" s="276">
        <v>0</v>
      </c>
      <c r="K142" s="276">
        <v>0</v>
      </c>
      <c r="L142" s="276">
        <v>0</v>
      </c>
      <c r="M142" s="276">
        <v>0</v>
      </c>
    </row>
    <row r="143" spans="1:13" ht="15" customHeight="1">
      <c r="A143" s="278">
        <v>1450</v>
      </c>
      <c r="B143" s="278">
        <v>1455</v>
      </c>
      <c r="C143" s="278">
        <v>7830</v>
      </c>
      <c r="D143" s="278">
        <v>3330</v>
      </c>
      <c r="E143" s="276">
        <v>0</v>
      </c>
      <c r="F143" s="276">
        <v>0</v>
      </c>
      <c r="G143" s="276">
        <v>0</v>
      </c>
      <c r="H143" s="276">
        <v>0</v>
      </c>
      <c r="I143" s="276">
        <v>0</v>
      </c>
      <c r="J143" s="276">
        <v>0</v>
      </c>
      <c r="K143" s="276">
        <v>0</v>
      </c>
      <c r="L143" s="276">
        <v>0</v>
      </c>
      <c r="M143" s="276">
        <v>0</v>
      </c>
    </row>
    <row r="144" spans="1:13" ht="15" customHeight="1">
      <c r="A144" s="278">
        <v>1455</v>
      </c>
      <c r="B144" s="278">
        <v>1460</v>
      </c>
      <c r="C144" s="278">
        <v>7940</v>
      </c>
      <c r="D144" s="278">
        <v>3440</v>
      </c>
      <c r="E144" s="276">
        <v>0</v>
      </c>
      <c r="F144" s="276">
        <v>0</v>
      </c>
      <c r="G144" s="276">
        <v>0</v>
      </c>
      <c r="H144" s="276">
        <v>0</v>
      </c>
      <c r="I144" s="276">
        <v>0</v>
      </c>
      <c r="J144" s="276">
        <v>0</v>
      </c>
      <c r="K144" s="276">
        <v>0</v>
      </c>
      <c r="L144" s="276">
        <v>0</v>
      </c>
      <c r="M144" s="276">
        <v>0</v>
      </c>
    </row>
    <row r="145" spans="1:13" ht="15" customHeight="1">
      <c r="A145" s="278">
        <v>1460</v>
      </c>
      <c r="B145" s="278">
        <v>1465</v>
      </c>
      <c r="C145" s="278">
        <v>8040</v>
      </c>
      <c r="D145" s="278">
        <v>3540</v>
      </c>
      <c r="E145" s="276">
        <v>0</v>
      </c>
      <c r="F145" s="276">
        <v>0</v>
      </c>
      <c r="G145" s="276">
        <v>0</v>
      </c>
      <c r="H145" s="276">
        <v>0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</row>
    <row r="146" spans="1:13" ht="15" customHeight="1">
      <c r="A146" s="278">
        <v>1465</v>
      </c>
      <c r="B146" s="278">
        <v>1470</v>
      </c>
      <c r="C146" s="278">
        <v>8140</v>
      </c>
      <c r="D146" s="278">
        <v>3640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</row>
    <row r="147" spans="1:13" ht="15" customHeight="1">
      <c r="A147" s="278">
        <v>1470</v>
      </c>
      <c r="B147" s="278">
        <v>1475</v>
      </c>
      <c r="C147" s="278">
        <v>8250</v>
      </c>
      <c r="D147" s="278">
        <v>3750</v>
      </c>
      <c r="E147" s="276">
        <v>0</v>
      </c>
      <c r="F147" s="276">
        <v>0</v>
      </c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</row>
    <row r="148" spans="1:13" ht="15" customHeight="1">
      <c r="A148" s="278">
        <v>1475</v>
      </c>
      <c r="B148" s="278">
        <v>1480</v>
      </c>
      <c r="C148" s="278">
        <v>8350</v>
      </c>
      <c r="D148" s="278">
        <v>3850</v>
      </c>
      <c r="E148" s="276">
        <v>0</v>
      </c>
      <c r="F148" s="276">
        <v>0</v>
      </c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</row>
    <row r="149" spans="1:13" ht="15" customHeight="1">
      <c r="A149" s="278">
        <v>1480</v>
      </c>
      <c r="B149" s="278">
        <v>1485</v>
      </c>
      <c r="C149" s="278">
        <v>8450</v>
      </c>
      <c r="D149" s="278">
        <v>3950</v>
      </c>
      <c r="E149" s="276">
        <v>0</v>
      </c>
      <c r="F149" s="276">
        <v>0</v>
      </c>
      <c r="G149" s="276">
        <v>0</v>
      </c>
      <c r="H149" s="276">
        <v>0</v>
      </c>
      <c r="I149" s="276">
        <v>0</v>
      </c>
      <c r="J149" s="276">
        <v>0</v>
      </c>
      <c r="K149" s="276">
        <v>0</v>
      </c>
      <c r="L149" s="276">
        <v>0</v>
      </c>
      <c r="M149" s="276">
        <v>0</v>
      </c>
    </row>
    <row r="150" spans="1:13" ht="15" customHeight="1">
      <c r="A150" s="278">
        <v>1485</v>
      </c>
      <c r="B150" s="278">
        <v>1490</v>
      </c>
      <c r="C150" s="278">
        <v>8560</v>
      </c>
      <c r="D150" s="278">
        <v>4060</v>
      </c>
      <c r="E150" s="276">
        <v>0</v>
      </c>
      <c r="F150" s="276">
        <v>0</v>
      </c>
      <c r="G150" s="276">
        <v>0</v>
      </c>
      <c r="H150" s="276">
        <v>0</v>
      </c>
      <c r="I150" s="276">
        <v>0</v>
      </c>
      <c r="J150" s="276">
        <v>0</v>
      </c>
      <c r="K150" s="276">
        <v>0</v>
      </c>
      <c r="L150" s="276">
        <v>0</v>
      </c>
      <c r="M150" s="276">
        <v>0</v>
      </c>
    </row>
    <row r="151" spans="1:13" ht="15" customHeight="1">
      <c r="A151" s="278">
        <v>1490</v>
      </c>
      <c r="B151" s="278">
        <v>1495</v>
      </c>
      <c r="C151" s="278">
        <v>8660</v>
      </c>
      <c r="D151" s="278">
        <v>4160</v>
      </c>
      <c r="E151" s="276">
        <v>0</v>
      </c>
      <c r="F151" s="276">
        <v>0</v>
      </c>
      <c r="G151" s="276">
        <v>0</v>
      </c>
      <c r="H151" s="276">
        <v>0</v>
      </c>
      <c r="I151" s="276">
        <v>0</v>
      </c>
      <c r="J151" s="276">
        <v>0</v>
      </c>
      <c r="K151" s="276">
        <v>0</v>
      </c>
      <c r="L151" s="276">
        <v>0</v>
      </c>
      <c r="M151" s="276">
        <v>0</v>
      </c>
    </row>
    <row r="152" spans="1:13" ht="15" customHeight="1">
      <c r="A152" s="278">
        <v>1495</v>
      </c>
      <c r="B152" s="278">
        <v>1500</v>
      </c>
      <c r="C152" s="278">
        <v>8760</v>
      </c>
      <c r="D152" s="278">
        <v>4260</v>
      </c>
      <c r="E152" s="276">
        <v>0</v>
      </c>
      <c r="F152" s="276">
        <v>0</v>
      </c>
      <c r="G152" s="276">
        <v>0</v>
      </c>
      <c r="H152" s="276">
        <v>0</v>
      </c>
      <c r="I152" s="276">
        <v>0</v>
      </c>
      <c r="J152" s="276">
        <v>0</v>
      </c>
      <c r="K152" s="276">
        <v>0</v>
      </c>
      <c r="L152" s="276">
        <v>0</v>
      </c>
      <c r="M152" s="276">
        <v>0</v>
      </c>
    </row>
    <row r="153" spans="1:13" ht="15" customHeight="1">
      <c r="A153" s="278">
        <v>1500</v>
      </c>
      <c r="B153" s="278">
        <v>1510</v>
      </c>
      <c r="C153" s="278">
        <v>8920</v>
      </c>
      <c r="D153" s="278">
        <v>4420</v>
      </c>
      <c r="E153" s="276">
        <v>0</v>
      </c>
      <c r="F153" s="276">
        <v>0</v>
      </c>
      <c r="G153" s="276">
        <v>0</v>
      </c>
      <c r="H153" s="276">
        <v>0</v>
      </c>
      <c r="I153" s="276">
        <v>0</v>
      </c>
      <c r="J153" s="276">
        <v>0</v>
      </c>
      <c r="K153" s="276">
        <v>0</v>
      </c>
      <c r="L153" s="276">
        <v>0</v>
      </c>
      <c r="M153" s="276">
        <v>0</v>
      </c>
    </row>
    <row r="154" spans="1:13" ht="15" customHeight="1">
      <c r="A154" s="278">
        <v>1510</v>
      </c>
      <c r="B154" s="278">
        <v>1520</v>
      </c>
      <c r="C154" s="278">
        <v>9120</v>
      </c>
      <c r="D154" s="278">
        <v>4620</v>
      </c>
      <c r="E154" s="276">
        <v>0</v>
      </c>
      <c r="F154" s="276">
        <v>0</v>
      </c>
      <c r="G154" s="276">
        <v>0</v>
      </c>
      <c r="H154" s="276">
        <v>0</v>
      </c>
      <c r="I154" s="276">
        <v>0</v>
      </c>
      <c r="J154" s="276">
        <v>0</v>
      </c>
      <c r="K154" s="276">
        <v>0</v>
      </c>
      <c r="L154" s="276">
        <v>0</v>
      </c>
      <c r="M154" s="276">
        <v>0</v>
      </c>
    </row>
    <row r="155" spans="1:13" ht="15" customHeight="1">
      <c r="A155" s="278">
        <v>1520</v>
      </c>
      <c r="B155" s="278">
        <v>1530</v>
      </c>
      <c r="C155" s="278">
        <v>9330</v>
      </c>
      <c r="D155" s="278">
        <v>4830</v>
      </c>
      <c r="E155" s="276">
        <v>0</v>
      </c>
      <c r="F155" s="276">
        <v>0</v>
      </c>
      <c r="G155" s="276">
        <v>0</v>
      </c>
      <c r="H155" s="276">
        <v>0</v>
      </c>
      <c r="I155" s="276">
        <v>0</v>
      </c>
      <c r="J155" s="276">
        <v>0</v>
      </c>
      <c r="K155" s="276">
        <v>0</v>
      </c>
      <c r="L155" s="276">
        <v>0</v>
      </c>
      <c r="M155" s="276">
        <v>0</v>
      </c>
    </row>
    <row r="156" spans="1:13" ht="15" customHeight="1">
      <c r="A156" s="278">
        <v>1530</v>
      </c>
      <c r="B156" s="278">
        <v>1540</v>
      </c>
      <c r="C156" s="278">
        <v>9540</v>
      </c>
      <c r="D156" s="278">
        <v>5040</v>
      </c>
      <c r="E156" s="276">
        <v>0</v>
      </c>
      <c r="F156" s="276">
        <v>0</v>
      </c>
      <c r="G156" s="276">
        <v>0</v>
      </c>
      <c r="H156" s="276">
        <v>0</v>
      </c>
      <c r="I156" s="276">
        <v>0</v>
      </c>
      <c r="J156" s="276">
        <v>0</v>
      </c>
      <c r="K156" s="276">
        <v>0</v>
      </c>
      <c r="L156" s="276">
        <v>0</v>
      </c>
      <c r="M156" s="276">
        <v>0</v>
      </c>
    </row>
    <row r="157" spans="1:13" ht="15" customHeight="1">
      <c r="A157" s="278">
        <v>1540</v>
      </c>
      <c r="B157" s="278">
        <v>1550</v>
      </c>
      <c r="C157" s="278">
        <v>9740</v>
      </c>
      <c r="D157" s="278">
        <v>5240</v>
      </c>
      <c r="E157" s="276">
        <v>0</v>
      </c>
      <c r="F157" s="276">
        <v>0</v>
      </c>
      <c r="G157" s="276">
        <v>0</v>
      </c>
      <c r="H157" s="276">
        <v>0</v>
      </c>
      <c r="I157" s="276">
        <v>0</v>
      </c>
      <c r="J157" s="276">
        <v>0</v>
      </c>
      <c r="K157" s="276">
        <v>0</v>
      </c>
      <c r="L157" s="276">
        <v>0</v>
      </c>
      <c r="M157" s="276">
        <v>0</v>
      </c>
    </row>
    <row r="158" spans="1:13" ht="15" customHeight="1">
      <c r="A158" s="278">
        <v>1550</v>
      </c>
      <c r="B158" s="278">
        <v>1560</v>
      </c>
      <c r="C158" s="278">
        <v>9950</v>
      </c>
      <c r="D158" s="278">
        <v>5450</v>
      </c>
      <c r="E158" s="276">
        <v>0</v>
      </c>
      <c r="F158" s="276">
        <v>0</v>
      </c>
      <c r="G158" s="276">
        <v>0</v>
      </c>
      <c r="H158" s="276">
        <v>0</v>
      </c>
      <c r="I158" s="276">
        <v>0</v>
      </c>
      <c r="J158" s="276">
        <v>0</v>
      </c>
      <c r="K158" s="276">
        <v>0</v>
      </c>
      <c r="L158" s="276">
        <v>0</v>
      </c>
      <c r="M158" s="276">
        <v>0</v>
      </c>
    </row>
    <row r="159" spans="1:13" ht="15" customHeight="1">
      <c r="A159" s="279">
        <v>1560</v>
      </c>
      <c r="B159" s="279">
        <v>1570</v>
      </c>
      <c r="C159" s="279">
        <v>10160</v>
      </c>
      <c r="D159" s="279">
        <v>5660</v>
      </c>
      <c r="E159" s="280">
        <v>0</v>
      </c>
      <c r="F159" s="280">
        <v>0</v>
      </c>
      <c r="G159" s="280">
        <v>0</v>
      </c>
      <c r="H159" s="280">
        <v>0</v>
      </c>
      <c r="I159" s="280">
        <v>0</v>
      </c>
      <c r="J159" s="280">
        <v>0</v>
      </c>
      <c r="K159" s="280">
        <v>0</v>
      </c>
      <c r="L159" s="280">
        <v>0</v>
      </c>
      <c r="M159" s="280">
        <v>0</v>
      </c>
    </row>
    <row r="160" spans="1:13" ht="15" customHeight="1">
      <c r="A160" s="278">
        <v>1570</v>
      </c>
      <c r="B160" s="278">
        <v>1580</v>
      </c>
      <c r="C160" s="278">
        <v>10360</v>
      </c>
      <c r="D160" s="278">
        <v>5860</v>
      </c>
      <c r="E160" s="276">
        <v>0</v>
      </c>
      <c r="F160" s="276">
        <v>0</v>
      </c>
      <c r="G160" s="276">
        <v>0</v>
      </c>
      <c r="H160" s="276">
        <v>0</v>
      </c>
      <c r="I160" s="276">
        <v>0</v>
      </c>
      <c r="J160" s="276">
        <v>0</v>
      </c>
      <c r="K160" s="276">
        <v>0</v>
      </c>
      <c r="L160" s="276">
        <v>0</v>
      </c>
      <c r="M160" s="276">
        <v>0</v>
      </c>
    </row>
    <row r="161" spans="1:13" ht="15" customHeight="1">
      <c r="A161" s="278">
        <v>1580</v>
      </c>
      <c r="B161" s="278">
        <v>1590</v>
      </c>
      <c r="C161" s="278">
        <v>10570</v>
      </c>
      <c r="D161" s="278">
        <v>6070</v>
      </c>
      <c r="E161" s="276">
        <v>0</v>
      </c>
      <c r="F161" s="276">
        <v>0</v>
      </c>
      <c r="G161" s="276">
        <v>0</v>
      </c>
      <c r="H161" s="276">
        <v>0</v>
      </c>
      <c r="I161" s="276">
        <v>0</v>
      </c>
      <c r="J161" s="276">
        <v>0</v>
      </c>
      <c r="K161" s="276">
        <v>0</v>
      </c>
      <c r="L161" s="276">
        <v>0</v>
      </c>
      <c r="M161" s="276">
        <v>0</v>
      </c>
    </row>
    <row r="162" spans="1:13" ht="15" customHeight="1">
      <c r="A162" s="278">
        <v>1590</v>
      </c>
      <c r="B162" s="278">
        <v>1600</v>
      </c>
      <c r="C162" s="278">
        <v>10780</v>
      </c>
      <c r="D162" s="278">
        <v>6280</v>
      </c>
      <c r="E162" s="276">
        <v>0</v>
      </c>
      <c r="F162" s="276">
        <v>0</v>
      </c>
      <c r="G162" s="276">
        <v>0</v>
      </c>
      <c r="H162" s="276">
        <v>0</v>
      </c>
      <c r="I162" s="276">
        <v>0</v>
      </c>
      <c r="J162" s="276">
        <v>0</v>
      </c>
      <c r="K162" s="276">
        <v>0</v>
      </c>
      <c r="L162" s="276">
        <v>0</v>
      </c>
      <c r="M162" s="276">
        <v>0</v>
      </c>
    </row>
    <row r="163" spans="1:13" ht="15" customHeight="1">
      <c r="A163" s="278">
        <v>1600</v>
      </c>
      <c r="B163" s="278">
        <v>1610</v>
      </c>
      <c r="C163" s="278">
        <v>10980</v>
      </c>
      <c r="D163" s="278">
        <v>6480</v>
      </c>
      <c r="E163" s="276">
        <v>0</v>
      </c>
      <c r="F163" s="276">
        <v>0</v>
      </c>
      <c r="G163" s="276">
        <v>0</v>
      </c>
      <c r="H163" s="276">
        <v>0</v>
      </c>
      <c r="I163" s="276">
        <v>0</v>
      </c>
      <c r="J163" s="276">
        <v>0</v>
      </c>
      <c r="K163" s="276">
        <v>0</v>
      </c>
      <c r="L163" s="276">
        <v>0</v>
      </c>
      <c r="M163" s="276">
        <v>0</v>
      </c>
    </row>
    <row r="164" spans="1:13" ht="15" customHeight="1">
      <c r="A164" s="278">
        <v>1610</v>
      </c>
      <c r="B164" s="278">
        <v>1620</v>
      </c>
      <c r="C164" s="278">
        <v>11190</v>
      </c>
      <c r="D164" s="278">
        <v>6690</v>
      </c>
      <c r="E164" s="276">
        <v>0</v>
      </c>
      <c r="F164" s="276">
        <v>0</v>
      </c>
      <c r="G164" s="276">
        <v>0</v>
      </c>
      <c r="H164" s="276">
        <v>0</v>
      </c>
      <c r="I164" s="276">
        <v>0</v>
      </c>
      <c r="J164" s="276">
        <v>0</v>
      </c>
      <c r="K164" s="276">
        <v>0</v>
      </c>
      <c r="L164" s="276">
        <v>0</v>
      </c>
      <c r="M164" s="276">
        <v>0</v>
      </c>
    </row>
    <row r="165" spans="1:13" ht="15" customHeight="1">
      <c r="A165" s="278">
        <v>1620</v>
      </c>
      <c r="B165" s="278">
        <v>1630</v>
      </c>
      <c r="C165" s="278">
        <v>11400</v>
      </c>
      <c r="D165" s="278">
        <v>6900</v>
      </c>
      <c r="E165" s="276">
        <v>0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</row>
    <row r="166" spans="1:13" ht="15" customHeight="1">
      <c r="A166" s="278">
        <v>1630</v>
      </c>
      <c r="B166" s="278">
        <v>1640</v>
      </c>
      <c r="C166" s="278">
        <v>11600</v>
      </c>
      <c r="D166" s="278">
        <v>7100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</row>
    <row r="167" spans="1:13" ht="15" customHeight="1">
      <c r="A167" s="278">
        <v>1640</v>
      </c>
      <c r="B167" s="278">
        <v>1650</v>
      </c>
      <c r="C167" s="278">
        <v>11810</v>
      </c>
      <c r="D167" s="278">
        <v>7310</v>
      </c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</row>
    <row r="168" spans="1:13" ht="15" customHeight="1">
      <c r="A168" s="278">
        <v>1650</v>
      </c>
      <c r="B168" s="278">
        <v>1660</v>
      </c>
      <c r="C168" s="278">
        <v>12020</v>
      </c>
      <c r="D168" s="278">
        <v>7520</v>
      </c>
      <c r="E168" s="276">
        <v>0</v>
      </c>
      <c r="F168" s="276">
        <v>0</v>
      </c>
      <c r="G168" s="276">
        <v>0</v>
      </c>
      <c r="H168" s="276">
        <v>0</v>
      </c>
      <c r="I168" s="276">
        <v>0</v>
      </c>
      <c r="J168" s="276">
        <v>0</v>
      </c>
      <c r="K168" s="276">
        <v>0</v>
      </c>
      <c r="L168" s="276">
        <v>0</v>
      </c>
      <c r="M168" s="276">
        <v>0</v>
      </c>
    </row>
    <row r="169" spans="1:13" ht="15" customHeight="1">
      <c r="A169" s="278">
        <v>1660</v>
      </c>
      <c r="B169" s="278">
        <v>1670</v>
      </c>
      <c r="C169" s="278">
        <v>12220</v>
      </c>
      <c r="D169" s="278">
        <v>7720</v>
      </c>
      <c r="E169" s="276">
        <v>0</v>
      </c>
      <c r="F169" s="276">
        <v>0</v>
      </c>
      <c r="G169" s="276">
        <v>0</v>
      </c>
      <c r="H169" s="276">
        <v>0</v>
      </c>
      <c r="I169" s="276">
        <v>0</v>
      </c>
      <c r="J169" s="276">
        <v>0</v>
      </c>
      <c r="K169" s="276">
        <v>0</v>
      </c>
      <c r="L169" s="276">
        <v>0</v>
      </c>
      <c r="M169" s="276">
        <v>0</v>
      </c>
    </row>
    <row r="170" spans="1:13" ht="15" customHeight="1">
      <c r="A170" s="278">
        <v>1670</v>
      </c>
      <c r="B170" s="278">
        <v>1680</v>
      </c>
      <c r="C170" s="278">
        <v>12430</v>
      </c>
      <c r="D170" s="278">
        <v>7930</v>
      </c>
      <c r="E170" s="276">
        <v>0</v>
      </c>
      <c r="F170" s="276">
        <v>0</v>
      </c>
      <c r="G170" s="276">
        <v>0</v>
      </c>
      <c r="H170" s="276">
        <v>0</v>
      </c>
      <c r="I170" s="276">
        <v>0</v>
      </c>
      <c r="J170" s="276">
        <v>0</v>
      </c>
      <c r="K170" s="276">
        <v>0</v>
      </c>
      <c r="L170" s="276">
        <v>0</v>
      </c>
      <c r="M170" s="276">
        <v>0</v>
      </c>
    </row>
    <row r="171" spans="1:13" ht="15" customHeight="1">
      <c r="A171" s="278">
        <v>1680</v>
      </c>
      <c r="B171" s="278">
        <v>1690</v>
      </c>
      <c r="C171" s="278">
        <v>12640</v>
      </c>
      <c r="D171" s="278">
        <v>8140</v>
      </c>
      <c r="E171" s="276">
        <v>0</v>
      </c>
      <c r="F171" s="276">
        <v>0</v>
      </c>
      <c r="G171" s="276">
        <v>0</v>
      </c>
      <c r="H171" s="276">
        <v>0</v>
      </c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</row>
    <row r="172" spans="1:13" ht="15" customHeight="1">
      <c r="A172" s="278">
        <v>1690</v>
      </c>
      <c r="B172" s="278">
        <v>1700</v>
      </c>
      <c r="C172" s="278">
        <v>12840</v>
      </c>
      <c r="D172" s="278">
        <v>8340</v>
      </c>
      <c r="E172" s="276">
        <v>0</v>
      </c>
      <c r="F172" s="276">
        <v>0</v>
      </c>
      <c r="G172" s="276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</row>
    <row r="173" spans="1:13" ht="15" customHeight="1">
      <c r="A173" s="278">
        <v>1700</v>
      </c>
      <c r="B173" s="278">
        <v>1710</v>
      </c>
      <c r="C173" s="278">
        <v>13050</v>
      </c>
      <c r="D173" s="278">
        <v>8550</v>
      </c>
      <c r="E173" s="276">
        <v>0</v>
      </c>
      <c r="F173" s="276">
        <v>0</v>
      </c>
      <c r="G173" s="276">
        <v>0</v>
      </c>
      <c r="H173" s="276">
        <v>0</v>
      </c>
      <c r="I173" s="276">
        <v>0</v>
      </c>
      <c r="J173" s="276">
        <v>0</v>
      </c>
      <c r="K173" s="276">
        <v>0</v>
      </c>
      <c r="L173" s="276">
        <v>0</v>
      </c>
      <c r="M173" s="276">
        <v>0</v>
      </c>
    </row>
    <row r="174" spans="1:13" ht="15" customHeight="1">
      <c r="A174" s="278">
        <v>1710</v>
      </c>
      <c r="B174" s="278">
        <v>1720</v>
      </c>
      <c r="C174" s="278">
        <v>13260</v>
      </c>
      <c r="D174" s="278">
        <v>8760</v>
      </c>
      <c r="E174" s="276">
        <v>0</v>
      </c>
      <c r="F174" s="276">
        <v>0</v>
      </c>
      <c r="G174" s="276">
        <v>0</v>
      </c>
      <c r="H174" s="276">
        <v>0</v>
      </c>
      <c r="I174" s="276">
        <v>0</v>
      </c>
      <c r="J174" s="276">
        <v>0</v>
      </c>
      <c r="K174" s="276">
        <v>0</v>
      </c>
      <c r="L174" s="276">
        <v>0</v>
      </c>
      <c r="M174" s="276">
        <v>0</v>
      </c>
    </row>
    <row r="175" spans="1:13" ht="15" customHeight="1">
      <c r="A175" s="278">
        <v>1720</v>
      </c>
      <c r="B175" s="278">
        <v>1730</v>
      </c>
      <c r="C175" s="278">
        <v>13460</v>
      </c>
      <c r="D175" s="278">
        <v>8960</v>
      </c>
      <c r="E175" s="278">
        <v>1040</v>
      </c>
      <c r="F175" s="276">
        <v>0</v>
      </c>
      <c r="G175" s="276">
        <v>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0</v>
      </c>
    </row>
    <row r="176" spans="1:13" ht="15" customHeight="1">
      <c r="A176" s="278">
        <v>1730</v>
      </c>
      <c r="B176" s="278">
        <v>1740</v>
      </c>
      <c r="C176" s="278">
        <v>13670</v>
      </c>
      <c r="D176" s="278">
        <v>9170</v>
      </c>
      <c r="E176" s="278">
        <v>1240</v>
      </c>
      <c r="F176" s="276">
        <v>0</v>
      </c>
      <c r="G176" s="276">
        <v>0</v>
      </c>
      <c r="H176" s="276">
        <v>0</v>
      </c>
      <c r="I176" s="276">
        <v>0</v>
      </c>
      <c r="J176" s="276">
        <v>0</v>
      </c>
      <c r="K176" s="276">
        <v>0</v>
      </c>
      <c r="L176" s="276">
        <v>0</v>
      </c>
      <c r="M176" s="276">
        <v>0</v>
      </c>
    </row>
    <row r="177" spans="1:13" ht="15" customHeight="1">
      <c r="A177" s="278">
        <v>1740</v>
      </c>
      <c r="B177" s="278">
        <v>1750</v>
      </c>
      <c r="C177" s="278">
        <v>13880</v>
      </c>
      <c r="D177" s="278">
        <v>9380</v>
      </c>
      <c r="E177" s="278">
        <v>1440</v>
      </c>
      <c r="F177" s="276">
        <v>0</v>
      </c>
      <c r="G177" s="276">
        <v>0</v>
      </c>
      <c r="H177" s="276">
        <v>0</v>
      </c>
      <c r="I177" s="276">
        <v>0</v>
      </c>
      <c r="J177" s="276">
        <v>0</v>
      </c>
      <c r="K177" s="276">
        <v>0</v>
      </c>
      <c r="L177" s="276">
        <v>0</v>
      </c>
      <c r="M177" s="276">
        <v>0</v>
      </c>
    </row>
    <row r="178" spans="1:13" ht="15" customHeight="1">
      <c r="A178" s="278">
        <v>1750</v>
      </c>
      <c r="B178" s="278">
        <v>1760</v>
      </c>
      <c r="C178" s="278">
        <v>14080</v>
      </c>
      <c r="D178" s="278">
        <v>9580</v>
      </c>
      <c r="E178" s="278">
        <v>1640</v>
      </c>
      <c r="F178" s="276">
        <v>0</v>
      </c>
      <c r="G178" s="276">
        <v>0</v>
      </c>
      <c r="H178" s="276">
        <v>0</v>
      </c>
      <c r="I178" s="276">
        <v>0</v>
      </c>
      <c r="J178" s="276">
        <v>0</v>
      </c>
      <c r="K178" s="276">
        <v>0</v>
      </c>
      <c r="L178" s="276">
        <v>0</v>
      </c>
      <c r="M178" s="276">
        <v>0</v>
      </c>
    </row>
    <row r="179" spans="1:13" ht="15" customHeight="1">
      <c r="A179" s="278">
        <v>1760</v>
      </c>
      <c r="B179" s="278">
        <v>1770</v>
      </c>
      <c r="C179" s="278">
        <v>14290</v>
      </c>
      <c r="D179" s="278">
        <v>9790</v>
      </c>
      <c r="E179" s="278">
        <v>1830</v>
      </c>
      <c r="F179" s="276">
        <v>0</v>
      </c>
      <c r="G179" s="276">
        <v>0</v>
      </c>
      <c r="H179" s="276">
        <v>0</v>
      </c>
      <c r="I179" s="276">
        <v>0</v>
      </c>
      <c r="J179" s="276">
        <v>0</v>
      </c>
      <c r="K179" s="276">
        <v>0</v>
      </c>
      <c r="L179" s="276">
        <v>0</v>
      </c>
      <c r="M179" s="276">
        <v>0</v>
      </c>
    </row>
    <row r="180" spans="1:13" ht="15" customHeight="1">
      <c r="A180" s="278">
        <v>1770</v>
      </c>
      <c r="B180" s="278">
        <v>1780</v>
      </c>
      <c r="C180" s="278">
        <v>14500</v>
      </c>
      <c r="D180" s="278">
        <v>10000</v>
      </c>
      <c r="E180" s="278">
        <v>2030</v>
      </c>
      <c r="F180" s="276">
        <v>0</v>
      </c>
      <c r="G180" s="276">
        <v>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</row>
    <row r="181" spans="1:13" ht="15" customHeight="1">
      <c r="A181" s="278">
        <v>1780</v>
      </c>
      <c r="B181" s="278">
        <v>1790</v>
      </c>
      <c r="C181" s="278">
        <v>14700</v>
      </c>
      <c r="D181" s="278">
        <v>10200</v>
      </c>
      <c r="E181" s="278">
        <v>2230</v>
      </c>
      <c r="F181" s="276">
        <v>0</v>
      </c>
      <c r="G181" s="276">
        <v>0</v>
      </c>
      <c r="H181" s="276">
        <v>0</v>
      </c>
      <c r="I181" s="276">
        <v>0</v>
      </c>
      <c r="J181" s="276">
        <v>0</v>
      </c>
      <c r="K181" s="276">
        <v>0</v>
      </c>
      <c r="L181" s="276">
        <v>0</v>
      </c>
      <c r="M181" s="276">
        <v>0</v>
      </c>
    </row>
    <row r="182" spans="1:13" ht="15" customHeight="1">
      <c r="A182" s="278">
        <v>1790</v>
      </c>
      <c r="B182" s="278">
        <v>1800</v>
      </c>
      <c r="C182" s="278">
        <v>14910</v>
      </c>
      <c r="D182" s="278">
        <v>10410</v>
      </c>
      <c r="E182" s="278">
        <v>2430</v>
      </c>
      <c r="F182" s="276">
        <v>0</v>
      </c>
      <c r="G182" s="276">
        <v>0</v>
      </c>
      <c r="H182" s="276">
        <v>0</v>
      </c>
      <c r="I182" s="276">
        <v>0</v>
      </c>
      <c r="J182" s="276">
        <v>0</v>
      </c>
      <c r="K182" s="276">
        <v>0</v>
      </c>
      <c r="L182" s="276">
        <v>0</v>
      </c>
      <c r="M182" s="276">
        <v>0</v>
      </c>
    </row>
    <row r="183" spans="1:13" ht="15" customHeight="1">
      <c r="A183" s="278">
        <v>1800</v>
      </c>
      <c r="B183" s="278">
        <v>1810</v>
      </c>
      <c r="C183" s="278">
        <v>15110</v>
      </c>
      <c r="D183" s="278">
        <v>10610</v>
      </c>
      <c r="E183" s="278">
        <v>2630</v>
      </c>
      <c r="F183" s="276">
        <v>0</v>
      </c>
      <c r="G183" s="276">
        <v>0</v>
      </c>
      <c r="H183" s="276">
        <v>0</v>
      </c>
      <c r="I183" s="276">
        <v>0</v>
      </c>
      <c r="J183" s="276">
        <v>0</v>
      </c>
      <c r="K183" s="276">
        <v>0</v>
      </c>
      <c r="L183" s="276">
        <v>0</v>
      </c>
      <c r="M183" s="276">
        <v>0</v>
      </c>
    </row>
    <row r="184" spans="1:13" ht="15" customHeight="1">
      <c r="A184" s="278">
        <v>1810</v>
      </c>
      <c r="B184" s="278">
        <v>1820</v>
      </c>
      <c r="C184" s="278">
        <v>15320</v>
      </c>
      <c r="D184" s="278">
        <v>10820</v>
      </c>
      <c r="E184" s="278">
        <v>2830</v>
      </c>
      <c r="F184" s="276">
        <v>0</v>
      </c>
      <c r="G184" s="276">
        <v>0</v>
      </c>
      <c r="H184" s="276">
        <v>0</v>
      </c>
      <c r="I184" s="276">
        <v>0</v>
      </c>
      <c r="J184" s="276">
        <v>0</v>
      </c>
      <c r="K184" s="276">
        <v>0</v>
      </c>
      <c r="L184" s="276">
        <v>0</v>
      </c>
      <c r="M184" s="276">
        <v>0</v>
      </c>
    </row>
    <row r="185" spans="1:13" ht="15" customHeight="1">
      <c r="A185" s="278">
        <v>1820</v>
      </c>
      <c r="B185" s="278">
        <v>1830</v>
      </c>
      <c r="C185" s="278">
        <v>15530</v>
      </c>
      <c r="D185" s="278">
        <v>11030</v>
      </c>
      <c r="E185" s="278">
        <v>3020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</row>
    <row r="186" spans="1:13" ht="15" customHeight="1">
      <c r="A186" s="278">
        <v>1830</v>
      </c>
      <c r="B186" s="278">
        <v>1840</v>
      </c>
      <c r="C186" s="278">
        <v>15730</v>
      </c>
      <c r="D186" s="278">
        <v>11230</v>
      </c>
      <c r="E186" s="278">
        <v>3220</v>
      </c>
      <c r="F186" s="276">
        <v>0</v>
      </c>
      <c r="G186" s="276">
        <v>0</v>
      </c>
      <c r="H186" s="276">
        <v>0</v>
      </c>
      <c r="I186" s="276">
        <v>0</v>
      </c>
      <c r="J186" s="276">
        <v>0</v>
      </c>
      <c r="K186" s="276">
        <v>0</v>
      </c>
      <c r="L186" s="276">
        <v>0</v>
      </c>
      <c r="M186" s="276">
        <v>0</v>
      </c>
    </row>
    <row r="187" spans="1:13" ht="15" customHeight="1">
      <c r="A187" s="278">
        <v>1840</v>
      </c>
      <c r="B187" s="278">
        <v>1850</v>
      </c>
      <c r="C187" s="278">
        <v>15940</v>
      </c>
      <c r="D187" s="278">
        <v>11440</v>
      </c>
      <c r="E187" s="278">
        <v>3420</v>
      </c>
      <c r="F187" s="276">
        <v>0</v>
      </c>
      <c r="G187" s="276">
        <v>0</v>
      </c>
      <c r="H187" s="276">
        <v>0</v>
      </c>
      <c r="I187" s="276">
        <v>0</v>
      </c>
      <c r="J187" s="276">
        <v>0</v>
      </c>
      <c r="K187" s="276">
        <v>0</v>
      </c>
      <c r="L187" s="276">
        <v>0</v>
      </c>
      <c r="M187" s="276">
        <v>0</v>
      </c>
    </row>
    <row r="188" spans="1:13" ht="15" customHeight="1">
      <c r="A188" s="278">
        <v>1850</v>
      </c>
      <c r="B188" s="278">
        <v>1860</v>
      </c>
      <c r="C188" s="278">
        <v>16150</v>
      </c>
      <c r="D188" s="278">
        <v>11650</v>
      </c>
      <c r="E188" s="278">
        <v>3620</v>
      </c>
      <c r="F188" s="276">
        <v>0</v>
      </c>
      <c r="G188" s="276">
        <v>0</v>
      </c>
      <c r="H188" s="276">
        <v>0</v>
      </c>
      <c r="I188" s="276">
        <v>0</v>
      </c>
      <c r="J188" s="276">
        <v>0</v>
      </c>
      <c r="K188" s="276">
        <v>0</v>
      </c>
      <c r="L188" s="276">
        <v>0</v>
      </c>
      <c r="M188" s="276">
        <v>0</v>
      </c>
    </row>
    <row r="189" spans="1:13" ht="15" customHeight="1">
      <c r="A189" s="278">
        <v>1860</v>
      </c>
      <c r="B189" s="278">
        <v>1870</v>
      </c>
      <c r="C189" s="278">
        <v>16350</v>
      </c>
      <c r="D189" s="278">
        <v>11850</v>
      </c>
      <c r="E189" s="278">
        <v>3820</v>
      </c>
      <c r="F189" s="276">
        <v>0</v>
      </c>
      <c r="G189" s="276">
        <v>0</v>
      </c>
      <c r="H189" s="276">
        <v>0</v>
      </c>
      <c r="I189" s="276">
        <v>0</v>
      </c>
      <c r="J189" s="276">
        <v>0</v>
      </c>
      <c r="K189" s="276">
        <v>0</v>
      </c>
      <c r="L189" s="276">
        <v>0</v>
      </c>
      <c r="M189" s="276">
        <v>0</v>
      </c>
    </row>
    <row r="190" spans="1:13" ht="15" customHeight="1">
      <c r="A190" s="278">
        <v>1870</v>
      </c>
      <c r="B190" s="278">
        <v>1880</v>
      </c>
      <c r="C190" s="278">
        <v>16560</v>
      </c>
      <c r="D190" s="278">
        <v>12060</v>
      </c>
      <c r="E190" s="278">
        <v>4020</v>
      </c>
      <c r="F190" s="276">
        <v>0</v>
      </c>
      <c r="G190" s="276">
        <v>0</v>
      </c>
      <c r="H190" s="276">
        <v>0</v>
      </c>
      <c r="I190" s="276">
        <v>0</v>
      </c>
      <c r="J190" s="276">
        <v>0</v>
      </c>
      <c r="K190" s="276">
        <v>0</v>
      </c>
      <c r="L190" s="276">
        <v>0</v>
      </c>
      <c r="M190" s="276">
        <v>0</v>
      </c>
    </row>
    <row r="191" spans="1:13" ht="15" customHeight="1">
      <c r="A191" s="278">
        <v>1880</v>
      </c>
      <c r="B191" s="278">
        <v>1890</v>
      </c>
      <c r="C191" s="278">
        <v>16770</v>
      </c>
      <c r="D191" s="278">
        <v>12270</v>
      </c>
      <c r="E191" s="278">
        <v>4220</v>
      </c>
      <c r="F191" s="276">
        <v>0</v>
      </c>
      <c r="G191" s="276">
        <v>0</v>
      </c>
      <c r="H191" s="276">
        <v>0</v>
      </c>
      <c r="I191" s="276">
        <v>0</v>
      </c>
      <c r="J191" s="276">
        <v>0</v>
      </c>
      <c r="K191" s="276">
        <v>0</v>
      </c>
      <c r="L191" s="276">
        <v>0</v>
      </c>
      <c r="M191" s="276">
        <v>0</v>
      </c>
    </row>
    <row r="192" spans="1:13" ht="15" customHeight="1">
      <c r="A192" s="278">
        <v>1890</v>
      </c>
      <c r="B192" s="278">
        <v>1900</v>
      </c>
      <c r="C192" s="278">
        <v>16970</v>
      </c>
      <c r="D192" s="278">
        <v>12470</v>
      </c>
      <c r="E192" s="278">
        <v>4410</v>
      </c>
      <c r="F192" s="278">
        <v>1040</v>
      </c>
      <c r="G192" s="276">
        <v>0</v>
      </c>
      <c r="H192" s="276">
        <v>0</v>
      </c>
      <c r="I192" s="276">
        <v>0</v>
      </c>
      <c r="J192" s="276">
        <v>0</v>
      </c>
      <c r="K192" s="276">
        <v>0</v>
      </c>
      <c r="L192" s="276">
        <v>0</v>
      </c>
      <c r="M192" s="276">
        <v>0</v>
      </c>
    </row>
    <row r="193" spans="1:13" ht="15" customHeight="1">
      <c r="A193" s="278">
        <v>1900</v>
      </c>
      <c r="B193" s="278">
        <v>1910</v>
      </c>
      <c r="C193" s="278">
        <v>17180</v>
      </c>
      <c r="D193" s="278">
        <v>12680</v>
      </c>
      <c r="E193" s="278">
        <v>4610</v>
      </c>
      <c r="F193" s="278">
        <v>1240</v>
      </c>
      <c r="G193" s="276">
        <v>0</v>
      </c>
      <c r="H193" s="276">
        <v>0</v>
      </c>
      <c r="I193" s="276">
        <v>0</v>
      </c>
      <c r="J193" s="276">
        <v>0</v>
      </c>
      <c r="K193" s="276">
        <v>0</v>
      </c>
      <c r="L193" s="276">
        <v>0</v>
      </c>
      <c r="M193" s="276">
        <v>0</v>
      </c>
    </row>
    <row r="194" spans="1:13" ht="15" customHeight="1">
      <c r="A194" s="278">
        <v>1910</v>
      </c>
      <c r="B194" s="278">
        <v>1920</v>
      </c>
      <c r="C194" s="278">
        <v>17390</v>
      </c>
      <c r="D194" s="278">
        <v>12890</v>
      </c>
      <c r="E194" s="278">
        <v>4810</v>
      </c>
      <c r="F194" s="278">
        <v>1440</v>
      </c>
      <c r="G194" s="276">
        <v>0</v>
      </c>
      <c r="H194" s="276">
        <v>0</v>
      </c>
      <c r="I194" s="276">
        <v>0</v>
      </c>
      <c r="J194" s="276">
        <v>0</v>
      </c>
      <c r="K194" s="276">
        <v>0</v>
      </c>
      <c r="L194" s="276">
        <v>0</v>
      </c>
      <c r="M194" s="276">
        <v>0</v>
      </c>
    </row>
    <row r="195" spans="1:13" ht="15" customHeight="1">
      <c r="A195" s="278">
        <v>1920</v>
      </c>
      <c r="B195" s="278">
        <v>1930</v>
      </c>
      <c r="C195" s="278">
        <v>17590</v>
      </c>
      <c r="D195" s="278">
        <v>13090</v>
      </c>
      <c r="E195" s="278">
        <v>5010</v>
      </c>
      <c r="F195" s="278">
        <v>1630</v>
      </c>
      <c r="G195" s="276">
        <v>0</v>
      </c>
      <c r="H195" s="276">
        <v>0</v>
      </c>
      <c r="I195" s="276">
        <v>0</v>
      </c>
      <c r="J195" s="276">
        <v>0</v>
      </c>
      <c r="K195" s="276">
        <v>0</v>
      </c>
      <c r="L195" s="276">
        <v>0</v>
      </c>
      <c r="M195" s="276">
        <v>0</v>
      </c>
    </row>
    <row r="196" spans="1:13" ht="15" customHeight="1">
      <c r="A196" s="278">
        <v>1930</v>
      </c>
      <c r="B196" s="278">
        <v>1940</v>
      </c>
      <c r="C196" s="278">
        <v>17800</v>
      </c>
      <c r="D196" s="278">
        <v>13300</v>
      </c>
      <c r="E196" s="278">
        <v>5210</v>
      </c>
      <c r="F196" s="278">
        <v>1830</v>
      </c>
      <c r="G196" s="276">
        <v>0</v>
      </c>
      <c r="H196" s="276">
        <v>0</v>
      </c>
      <c r="I196" s="276">
        <v>0</v>
      </c>
      <c r="J196" s="276">
        <v>0</v>
      </c>
      <c r="K196" s="276">
        <v>0</v>
      </c>
      <c r="L196" s="276">
        <v>0</v>
      </c>
      <c r="M196" s="276">
        <v>0</v>
      </c>
    </row>
    <row r="197" spans="1:13" ht="15" customHeight="1">
      <c r="A197" s="278">
        <v>1940</v>
      </c>
      <c r="B197" s="278">
        <v>1950</v>
      </c>
      <c r="C197" s="278">
        <v>18010</v>
      </c>
      <c r="D197" s="278">
        <v>13510</v>
      </c>
      <c r="E197" s="278">
        <v>5410</v>
      </c>
      <c r="F197" s="278">
        <v>2030</v>
      </c>
      <c r="G197" s="276">
        <v>0</v>
      </c>
      <c r="H197" s="276">
        <v>0</v>
      </c>
      <c r="I197" s="276">
        <v>0</v>
      </c>
      <c r="J197" s="276">
        <v>0</v>
      </c>
      <c r="K197" s="276">
        <v>0</v>
      </c>
      <c r="L197" s="276">
        <v>0</v>
      </c>
      <c r="M197" s="276">
        <v>0</v>
      </c>
    </row>
    <row r="198" spans="1:13" ht="15" customHeight="1">
      <c r="A198" s="278">
        <v>1950</v>
      </c>
      <c r="B198" s="278">
        <v>1960</v>
      </c>
      <c r="C198" s="278">
        <v>18210</v>
      </c>
      <c r="D198" s="278">
        <v>13710</v>
      </c>
      <c r="E198" s="278">
        <v>5600</v>
      </c>
      <c r="F198" s="278">
        <v>2230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</row>
    <row r="199" spans="1:13" ht="15" customHeight="1">
      <c r="A199" s="278">
        <v>1960</v>
      </c>
      <c r="B199" s="278">
        <v>1970</v>
      </c>
      <c r="C199" s="278">
        <v>18420</v>
      </c>
      <c r="D199" s="278">
        <v>13920</v>
      </c>
      <c r="E199" s="278">
        <v>5800</v>
      </c>
      <c r="F199" s="278">
        <v>2430</v>
      </c>
      <c r="G199" s="276">
        <v>0</v>
      </c>
      <c r="H199" s="276">
        <v>0</v>
      </c>
      <c r="I199" s="276">
        <v>0</v>
      </c>
      <c r="J199" s="276">
        <v>0</v>
      </c>
      <c r="K199" s="276">
        <v>0</v>
      </c>
      <c r="L199" s="276">
        <v>0</v>
      </c>
      <c r="M199" s="276">
        <v>0</v>
      </c>
    </row>
    <row r="200" spans="1:13" ht="15" customHeight="1">
      <c r="A200" s="278">
        <v>1970</v>
      </c>
      <c r="B200" s="278">
        <v>1980</v>
      </c>
      <c r="C200" s="278">
        <v>18630</v>
      </c>
      <c r="D200" s="278">
        <v>14130</v>
      </c>
      <c r="E200" s="278">
        <v>6000</v>
      </c>
      <c r="F200" s="278">
        <v>2630</v>
      </c>
      <c r="G200" s="276">
        <v>0</v>
      </c>
      <c r="H200" s="276">
        <v>0</v>
      </c>
      <c r="I200" s="276">
        <v>0</v>
      </c>
      <c r="J200" s="276">
        <v>0</v>
      </c>
      <c r="K200" s="276">
        <v>0</v>
      </c>
      <c r="L200" s="276">
        <v>0</v>
      </c>
      <c r="M200" s="276">
        <v>0</v>
      </c>
    </row>
    <row r="201" spans="1:13" ht="15" customHeight="1">
      <c r="A201" s="278">
        <v>1980</v>
      </c>
      <c r="B201" s="278">
        <v>1990</v>
      </c>
      <c r="C201" s="278">
        <v>18880</v>
      </c>
      <c r="D201" s="278">
        <v>14330</v>
      </c>
      <c r="E201" s="278">
        <v>6200</v>
      </c>
      <c r="F201" s="278">
        <v>2820</v>
      </c>
      <c r="G201" s="276">
        <v>0</v>
      </c>
      <c r="H201" s="276">
        <v>0</v>
      </c>
      <c r="I201" s="276">
        <v>0</v>
      </c>
      <c r="J201" s="276">
        <v>0</v>
      </c>
      <c r="K201" s="276">
        <v>0</v>
      </c>
      <c r="L201" s="276">
        <v>0</v>
      </c>
      <c r="M201" s="276">
        <v>0</v>
      </c>
    </row>
    <row r="202" spans="1:13" ht="15" customHeight="1">
      <c r="A202" s="278">
        <v>1990</v>
      </c>
      <c r="B202" s="278">
        <v>2000</v>
      </c>
      <c r="C202" s="278">
        <v>19200</v>
      </c>
      <c r="D202" s="278">
        <v>14540</v>
      </c>
      <c r="E202" s="278">
        <v>6400</v>
      </c>
      <c r="F202" s="278">
        <v>3020</v>
      </c>
      <c r="G202" s="276">
        <v>0</v>
      </c>
      <c r="H202" s="276">
        <v>0</v>
      </c>
      <c r="I202" s="276">
        <v>0</v>
      </c>
      <c r="J202" s="276">
        <v>0</v>
      </c>
      <c r="K202" s="276">
        <v>0</v>
      </c>
      <c r="L202" s="276">
        <v>0</v>
      </c>
      <c r="M202" s="276">
        <v>0</v>
      </c>
    </row>
    <row r="203" spans="1:13" ht="15" customHeight="1">
      <c r="A203" s="278">
        <v>2000</v>
      </c>
      <c r="B203" s="278">
        <v>2010</v>
      </c>
      <c r="C203" s="278">
        <v>19520</v>
      </c>
      <c r="D203" s="278">
        <v>14750</v>
      </c>
      <c r="E203" s="278">
        <v>6600</v>
      </c>
      <c r="F203" s="278">
        <v>3220</v>
      </c>
      <c r="G203" s="276">
        <v>0</v>
      </c>
      <c r="H203" s="276">
        <v>0</v>
      </c>
      <c r="I203" s="276">
        <v>0</v>
      </c>
      <c r="J203" s="276">
        <v>0</v>
      </c>
      <c r="K203" s="276">
        <v>0</v>
      </c>
      <c r="L203" s="276">
        <v>0</v>
      </c>
      <c r="M203" s="276">
        <v>0</v>
      </c>
    </row>
    <row r="204" spans="1:13" ht="15" customHeight="1">
      <c r="A204" s="278">
        <v>2010</v>
      </c>
      <c r="B204" s="278">
        <v>2020</v>
      </c>
      <c r="C204" s="278">
        <v>19850</v>
      </c>
      <c r="D204" s="278">
        <v>14950</v>
      </c>
      <c r="E204" s="278">
        <v>6800</v>
      </c>
      <c r="F204" s="278">
        <v>3420</v>
      </c>
      <c r="G204" s="276">
        <v>0</v>
      </c>
      <c r="H204" s="276">
        <v>0</v>
      </c>
      <c r="I204" s="276">
        <v>0</v>
      </c>
      <c r="J204" s="276">
        <v>0</v>
      </c>
      <c r="K204" s="276">
        <v>0</v>
      </c>
      <c r="L204" s="276">
        <v>0</v>
      </c>
      <c r="M204" s="276">
        <v>0</v>
      </c>
    </row>
    <row r="205" spans="1:13" ht="15" customHeight="1">
      <c r="A205" s="278">
        <v>2020</v>
      </c>
      <c r="B205" s="278">
        <v>2030</v>
      </c>
      <c r="C205" s="278">
        <v>20170</v>
      </c>
      <c r="D205" s="278">
        <v>15160</v>
      </c>
      <c r="E205" s="278">
        <v>6990</v>
      </c>
      <c r="F205" s="278">
        <v>3620</v>
      </c>
      <c r="G205" s="276">
        <v>0</v>
      </c>
      <c r="H205" s="276">
        <v>0</v>
      </c>
      <c r="I205" s="276">
        <v>0</v>
      </c>
      <c r="J205" s="276">
        <v>0</v>
      </c>
      <c r="K205" s="276">
        <v>0</v>
      </c>
      <c r="L205" s="276">
        <v>0</v>
      </c>
      <c r="M205" s="276">
        <v>0</v>
      </c>
    </row>
    <row r="206" spans="1:13" ht="15" customHeight="1">
      <c r="A206" s="278">
        <v>2030</v>
      </c>
      <c r="B206" s="278">
        <v>2040</v>
      </c>
      <c r="C206" s="278">
        <v>20490</v>
      </c>
      <c r="D206" s="278">
        <v>15370</v>
      </c>
      <c r="E206" s="278">
        <v>7190</v>
      </c>
      <c r="F206" s="278">
        <v>3820</v>
      </c>
      <c r="G206" s="276">
        <v>0</v>
      </c>
      <c r="H206" s="276">
        <v>0</v>
      </c>
      <c r="I206" s="276">
        <v>0</v>
      </c>
      <c r="J206" s="276">
        <v>0</v>
      </c>
      <c r="K206" s="276">
        <v>0</v>
      </c>
      <c r="L206" s="276">
        <v>0</v>
      </c>
      <c r="M206" s="276">
        <v>0</v>
      </c>
    </row>
    <row r="207" spans="1:13" ht="15" customHeight="1">
      <c r="A207" s="278">
        <v>2040</v>
      </c>
      <c r="B207" s="278">
        <v>2050</v>
      </c>
      <c r="C207" s="278">
        <v>20810</v>
      </c>
      <c r="D207" s="278">
        <v>15570</v>
      </c>
      <c r="E207" s="278">
        <v>7390</v>
      </c>
      <c r="F207" s="278">
        <v>4020</v>
      </c>
      <c r="G207" s="276">
        <v>0</v>
      </c>
      <c r="H207" s="276">
        <v>0</v>
      </c>
      <c r="I207" s="276">
        <v>0</v>
      </c>
      <c r="J207" s="276">
        <v>0</v>
      </c>
      <c r="K207" s="276">
        <v>0</v>
      </c>
      <c r="L207" s="276">
        <v>0</v>
      </c>
      <c r="M207" s="276">
        <v>0</v>
      </c>
    </row>
    <row r="208" spans="1:13" ht="15" customHeight="1">
      <c r="A208" s="278">
        <v>2050</v>
      </c>
      <c r="B208" s="278">
        <v>2060</v>
      </c>
      <c r="C208" s="278">
        <v>21130</v>
      </c>
      <c r="D208" s="278">
        <v>15780</v>
      </c>
      <c r="E208" s="278">
        <v>7590</v>
      </c>
      <c r="F208" s="278">
        <v>4210</v>
      </c>
      <c r="G208" s="276">
        <v>0</v>
      </c>
      <c r="H208" s="276">
        <v>0</v>
      </c>
      <c r="I208" s="276">
        <v>0</v>
      </c>
      <c r="J208" s="276">
        <v>0</v>
      </c>
      <c r="K208" s="276">
        <v>0</v>
      </c>
      <c r="L208" s="276">
        <v>0</v>
      </c>
      <c r="M208" s="276">
        <v>0</v>
      </c>
    </row>
    <row r="209" spans="1:13" ht="15" customHeight="1">
      <c r="A209" s="278">
        <v>2060</v>
      </c>
      <c r="B209" s="278">
        <v>2070</v>
      </c>
      <c r="C209" s="278">
        <v>21450</v>
      </c>
      <c r="D209" s="278">
        <v>15990</v>
      </c>
      <c r="E209" s="278">
        <v>7790</v>
      </c>
      <c r="F209" s="278">
        <v>4410</v>
      </c>
      <c r="G209" s="278">
        <v>1040</v>
      </c>
      <c r="H209" s="276">
        <v>0</v>
      </c>
      <c r="I209" s="276">
        <v>0</v>
      </c>
      <c r="J209" s="276">
        <v>0</v>
      </c>
      <c r="K209" s="276">
        <v>0</v>
      </c>
      <c r="L209" s="276">
        <v>0</v>
      </c>
      <c r="M209" s="276">
        <v>0</v>
      </c>
    </row>
    <row r="210" spans="1:13" ht="15" customHeight="1">
      <c r="A210" s="278">
        <v>2070</v>
      </c>
      <c r="B210" s="278">
        <v>2080</v>
      </c>
      <c r="C210" s="278">
        <v>21770</v>
      </c>
      <c r="D210" s="278">
        <v>16190</v>
      </c>
      <c r="E210" s="278">
        <v>7990</v>
      </c>
      <c r="F210" s="278">
        <v>4610</v>
      </c>
      <c r="G210" s="278">
        <v>1240</v>
      </c>
      <c r="H210" s="276">
        <v>0</v>
      </c>
      <c r="I210" s="276">
        <v>0</v>
      </c>
      <c r="J210" s="276">
        <v>0</v>
      </c>
      <c r="K210" s="276">
        <v>0</v>
      </c>
      <c r="L210" s="276">
        <v>0</v>
      </c>
      <c r="M210" s="276">
        <v>0</v>
      </c>
    </row>
    <row r="211" spans="1:13" ht="15" customHeight="1">
      <c r="A211" s="278">
        <v>2080</v>
      </c>
      <c r="B211" s="278">
        <v>2090</v>
      </c>
      <c r="C211" s="278">
        <v>22090</v>
      </c>
      <c r="D211" s="278">
        <v>16400</v>
      </c>
      <c r="E211" s="278">
        <v>8180</v>
      </c>
      <c r="F211" s="278">
        <v>4810</v>
      </c>
      <c r="G211" s="278">
        <v>1430</v>
      </c>
      <c r="H211" s="276">
        <v>0</v>
      </c>
      <c r="I211" s="276">
        <v>0</v>
      </c>
      <c r="J211" s="276">
        <v>0</v>
      </c>
      <c r="K211" s="276">
        <v>0</v>
      </c>
      <c r="L211" s="276">
        <v>0</v>
      </c>
      <c r="M211" s="276">
        <v>0</v>
      </c>
    </row>
    <row r="212" spans="1:13" ht="15" customHeight="1">
      <c r="A212" s="278">
        <v>2090</v>
      </c>
      <c r="B212" s="278">
        <v>2100</v>
      </c>
      <c r="C212" s="278">
        <v>22420</v>
      </c>
      <c r="D212" s="278">
        <v>16600</v>
      </c>
      <c r="E212" s="278">
        <v>8380</v>
      </c>
      <c r="F212" s="278">
        <v>5010</v>
      </c>
      <c r="G212" s="278">
        <v>1630</v>
      </c>
      <c r="H212" s="276">
        <v>0</v>
      </c>
      <c r="I212" s="276">
        <v>0</v>
      </c>
      <c r="J212" s="276">
        <v>0</v>
      </c>
      <c r="K212" s="276">
        <v>0</v>
      </c>
      <c r="L212" s="276">
        <v>0</v>
      </c>
      <c r="M212" s="276">
        <v>0</v>
      </c>
    </row>
    <row r="213" spans="1:13" ht="15" customHeight="1">
      <c r="A213" s="278">
        <v>2100</v>
      </c>
      <c r="B213" s="278">
        <v>2110</v>
      </c>
      <c r="C213" s="278">
        <v>22740</v>
      </c>
      <c r="D213" s="278">
        <v>16810</v>
      </c>
      <c r="E213" s="278">
        <v>8580</v>
      </c>
      <c r="F213" s="278">
        <v>5210</v>
      </c>
      <c r="G213" s="278">
        <v>1830</v>
      </c>
      <c r="H213" s="276">
        <v>0</v>
      </c>
      <c r="I213" s="276">
        <v>0</v>
      </c>
      <c r="J213" s="276">
        <v>0</v>
      </c>
      <c r="K213" s="276">
        <v>0</v>
      </c>
      <c r="L213" s="276">
        <v>0</v>
      </c>
      <c r="M213" s="276">
        <v>0</v>
      </c>
    </row>
    <row r="214" spans="1:13" ht="15" customHeight="1">
      <c r="A214" s="278">
        <v>2110</v>
      </c>
      <c r="B214" s="278">
        <v>2120</v>
      </c>
      <c r="C214" s="278">
        <v>23060</v>
      </c>
      <c r="D214" s="278">
        <v>17020</v>
      </c>
      <c r="E214" s="278">
        <v>8780</v>
      </c>
      <c r="F214" s="278">
        <v>5400</v>
      </c>
      <c r="G214" s="278">
        <v>2030</v>
      </c>
      <c r="H214" s="276">
        <v>0</v>
      </c>
      <c r="I214" s="276">
        <v>0</v>
      </c>
      <c r="J214" s="276">
        <v>0</v>
      </c>
      <c r="K214" s="276">
        <v>0</v>
      </c>
      <c r="L214" s="276">
        <v>0</v>
      </c>
      <c r="M214" s="276">
        <v>0</v>
      </c>
    </row>
    <row r="215" spans="1:13" ht="15" customHeight="1">
      <c r="A215" s="278">
        <v>2120</v>
      </c>
      <c r="B215" s="278">
        <v>2130</v>
      </c>
      <c r="C215" s="278">
        <v>23380</v>
      </c>
      <c r="D215" s="278">
        <v>17220</v>
      </c>
      <c r="E215" s="278">
        <v>8980</v>
      </c>
      <c r="F215" s="278">
        <v>5600</v>
      </c>
      <c r="G215" s="278">
        <v>2230</v>
      </c>
      <c r="H215" s="276">
        <v>0</v>
      </c>
      <c r="I215" s="276">
        <v>0</v>
      </c>
      <c r="J215" s="276">
        <v>0</v>
      </c>
      <c r="K215" s="276">
        <v>0</v>
      </c>
      <c r="L215" s="276">
        <v>0</v>
      </c>
      <c r="M215" s="276">
        <v>0</v>
      </c>
    </row>
    <row r="216" spans="1:13" ht="15" customHeight="1">
      <c r="A216" s="278">
        <v>2130</v>
      </c>
      <c r="B216" s="278">
        <v>2140</v>
      </c>
      <c r="C216" s="278">
        <v>23700</v>
      </c>
      <c r="D216" s="278">
        <v>17430</v>
      </c>
      <c r="E216" s="278">
        <v>9180</v>
      </c>
      <c r="F216" s="278">
        <v>5800</v>
      </c>
      <c r="G216" s="278">
        <v>2430</v>
      </c>
      <c r="H216" s="276">
        <v>0</v>
      </c>
      <c r="I216" s="276">
        <v>0</v>
      </c>
      <c r="J216" s="276">
        <v>0</v>
      </c>
      <c r="K216" s="276">
        <v>0</v>
      </c>
      <c r="L216" s="276">
        <v>0</v>
      </c>
      <c r="M216" s="276">
        <v>0</v>
      </c>
    </row>
    <row r="217" spans="1:13" ht="15" customHeight="1">
      <c r="A217" s="278">
        <v>2140</v>
      </c>
      <c r="B217" s="278">
        <v>2150</v>
      </c>
      <c r="C217" s="278">
        <v>24020</v>
      </c>
      <c r="D217" s="278">
        <v>17640</v>
      </c>
      <c r="E217" s="278">
        <v>9380</v>
      </c>
      <c r="F217" s="278">
        <v>6000</v>
      </c>
      <c r="G217" s="278">
        <v>2630</v>
      </c>
      <c r="H217" s="276">
        <v>0</v>
      </c>
      <c r="I217" s="276">
        <v>0</v>
      </c>
      <c r="J217" s="276">
        <v>0</v>
      </c>
      <c r="K217" s="276">
        <v>0</v>
      </c>
      <c r="L217" s="276">
        <v>0</v>
      </c>
      <c r="M217" s="276">
        <v>0</v>
      </c>
    </row>
    <row r="218" spans="1:13" ht="15" customHeight="1">
      <c r="A218" s="278">
        <v>2150</v>
      </c>
      <c r="B218" s="278">
        <v>2160</v>
      </c>
      <c r="C218" s="278">
        <v>24340</v>
      </c>
      <c r="D218" s="278">
        <v>17840</v>
      </c>
      <c r="E218" s="278">
        <v>9570</v>
      </c>
      <c r="F218" s="278">
        <v>6200</v>
      </c>
      <c r="G218" s="278">
        <v>2820</v>
      </c>
      <c r="H218" s="276">
        <v>0</v>
      </c>
      <c r="I218" s="276">
        <v>0</v>
      </c>
      <c r="J218" s="276">
        <v>0</v>
      </c>
      <c r="K218" s="276">
        <v>0</v>
      </c>
      <c r="L218" s="276">
        <v>0</v>
      </c>
      <c r="M218" s="276">
        <v>0</v>
      </c>
    </row>
    <row r="219" spans="1:13" ht="15" customHeight="1">
      <c r="A219" s="278">
        <v>2160</v>
      </c>
      <c r="B219" s="278">
        <v>2170</v>
      </c>
      <c r="C219" s="278">
        <v>24660</v>
      </c>
      <c r="D219" s="278">
        <v>18050</v>
      </c>
      <c r="E219" s="278">
        <v>9770</v>
      </c>
      <c r="F219" s="278">
        <v>6400</v>
      </c>
      <c r="G219" s="278">
        <v>3020</v>
      </c>
      <c r="H219" s="276">
        <v>0</v>
      </c>
      <c r="I219" s="276">
        <v>0</v>
      </c>
      <c r="J219" s="276">
        <v>0</v>
      </c>
      <c r="K219" s="276">
        <v>0</v>
      </c>
      <c r="L219" s="276">
        <v>0</v>
      </c>
      <c r="M219" s="276">
        <v>0</v>
      </c>
    </row>
    <row r="220" spans="1:13" ht="15" customHeight="1">
      <c r="A220" s="278">
        <v>2170</v>
      </c>
      <c r="B220" s="278">
        <v>2180</v>
      </c>
      <c r="C220" s="278">
        <v>24990</v>
      </c>
      <c r="D220" s="278">
        <v>18260</v>
      </c>
      <c r="E220" s="278">
        <v>9970</v>
      </c>
      <c r="F220" s="278">
        <v>6600</v>
      </c>
      <c r="G220" s="278">
        <v>3220</v>
      </c>
      <c r="H220" s="276">
        <v>0</v>
      </c>
      <c r="I220" s="276">
        <v>0</v>
      </c>
      <c r="J220" s="276">
        <v>0</v>
      </c>
      <c r="K220" s="276">
        <v>0</v>
      </c>
      <c r="L220" s="276">
        <v>0</v>
      </c>
      <c r="M220" s="276">
        <v>0</v>
      </c>
    </row>
    <row r="221" spans="1:13" ht="15" customHeight="1">
      <c r="A221" s="278">
        <v>2180</v>
      </c>
      <c r="B221" s="278">
        <v>2190</v>
      </c>
      <c r="C221" s="278">
        <v>25310</v>
      </c>
      <c r="D221" s="278">
        <v>18460</v>
      </c>
      <c r="E221" s="278">
        <v>10170</v>
      </c>
      <c r="F221" s="278">
        <v>6790</v>
      </c>
      <c r="G221" s="278">
        <v>3420</v>
      </c>
      <c r="H221" s="276">
        <v>0</v>
      </c>
      <c r="I221" s="276">
        <v>0</v>
      </c>
      <c r="J221" s="276">
        <v>0</v>
      </c>
      <c r="K221" s="276">
        <v>0</v>
      </c>
      <c r="L221" s="276">
        <v>0</v>
      </c>
      <c r="M221" s="276">
        <v>0</v>
      </c>
    </row>
    <row r="222" spans="1:13" ht="15" customHeight="1">
      <c r="A222" s="278">
        <v>2190</v>
      </c>
      <c r="B222" s="278">
        <v>2200</v>
      </c>
      <c r="C222" s="278">
        <v>25630</v>
      </c>
      <c r="D222" s="278">
        <v>18670</v>
      </c>
      <c r="E222" s="278">
        <v>10370</v>
      </c>
      <c r="F222" s="278">
        <v>6990</v>
      </c>
      <c r="G222" s="278">
        <v>3620</v>
      </c>
      <c r="H222" s="276">
        <v>0</v>
      </c>
      <c r="I222" s="276">
        <v>0</v>
      </c>
      <c r="J222" s="276">
        <v>0</v>
      </c>
      <c r="K222" s="276">
        <v>0</v>
      </c>
      <c r="L222" s="276">
        <v>0</v>
      </c>
      <c r="M222" s="276">
        <v>0</v>
      </c>
    </row>
    <row r="223" spans="1:13" ht="15" customHeight="1">
      <c r="A223" s="278">
        <v>2200</v>
      </c>
      <c r="B223" s="278">
        <v>2210</v>
      </c>
      <c r="C223" s="278">
        <v>25950</v>
      </c>
      <c r="D223" s="278">
        <v>18950</v>
      </c>
      <c r="E223" s="278">
        <v>10570</v>
      </c>
      <c r="F223" s="278">
        <v>7190</v>
      </c>
      <c r="G223" s="278">
        <v>3820</v>
      </c>
      <c r="H223" s="276">
        <v>0</v>
      </c>
      <c r="I223" s="276">
        <v>0</v>
      </c>
      <c r="J223" s="276">
        <v>0</v>
      </c>
      <c r="K223" s="276">
        <v>0</v>
      </c>
      <c r="L223" s="276">
        <v>0</v>
      </c>
      <c r="M223" s="276">
        <v>0</v>
      </c>
    </row>
    <row r="224" spans="1:13" ht="15" customHeight="1">
      <c r="A224" s="278">
        <v>2210</v>
      </c>
      <c r="B224" s="278">
        <v>2220</v>
      </c>
      <c r="C224" s="278">
        <v>26270</v>
      </c>
      <c r="D224" s="278">
        <v>19270</v>
      </c>
      <c r="E224" s="278">
        <v>10760</v>
      </c>
      <c r="F224" s="278">
        <v>7390</v>
      </c>
      <c r="G224" s="278">
        <v>4010</v>
      </c>
      <c r="H224" s="276">
        <v>0</v>
      </c>
      <c r="I224" s="276">
        <v>0</v>
      </c>
      <c r="J224" s="276">
        <v>0</v>
      </c>
      <c r="K224" s="276">
        <v>0</v>
      </c>
      <c r="L224" s="276">
        <v>0</v>
      </c>
      <c r="M224" s="276">
        <v>0</v>
      </c>
    </row>
    <row r="225" spans="1:13" ht="15" customHeight="1">
      <c r="A225" s="278">
        <v>2220</v>
      </c>
      <c r="B225" s="278">
        <v>2230</v>
      </c>
      <c r="C225" s="278">
        <v>26590</v>
      </c>
      <c r="D225" s="278">
        <v>19590</v>
      </c>
      <c r="E225" s="278">
        <v>10960</v>
      </c>
      <c r="F225" s="278">
        <v>7590</v>
      </c>
      <c r="G225" s="278">
        <v>4210</v>
      </c>
      <c r="H225" s="276">
        <v>0</v>
      </c>
      <c r="I225" s="276">
        <v>0</v>
      </c>
      <c r="J225" s="276">
        <v>0</v>
      </c>
      <c r="K225" s="276">
        <v>0</v>
      </c>
      <c r="L225" s="276">
        <v>0</v>
      </c>
      <c r="M225" s="276">
        <v>0</v>
      </c>
    </row>
    <row r="226" spans="1:13" ht="15" customHeight="1">
      <c r="A226" s="278">
        <v>2230</v>
      </c>
      <c r="B226" s="278">
        <v>2240</v>
      </c>
      <c r="C226" s="278">
        <v>26910</v>
      </c>
      <c r="D226" s="278">
        <v>19910</v>
      </c>
      <c r="E226" s="278">
        <v>11160</v>
      </c>
      <c r="F226" s="278">
        <v>7790</v>
      </c>
      <c r="G226" s="278">
        <v>4410</v>
      </c>
      <c r="H226" s="278">
        <v>1040</v>
      </c>
      <c r="I226" s="276">
        <v>0</v>
      </c>
      <c r="J226" s="276">
        <v>0</v>
      </c>
      <c r="K226" s="276">
        <v>0</v>
      </c>
      <c r="L226" s="276">
        <v>0</v>
      </c>
      <c r="M226" s="276">
        <v>0</v>
      </c>
    </row>
    <row r="227" spans="1:13" ht="15" customHeight="1">
      <c r="A227" s="278">
        <v>2240</v>
      </c>
      <c r="B227" s="278">
        <v>2250</v>
      </c>
      <c r="C227" s="278">
        <v>27240</v>
      </c>
      <c r="D227" s="278">
        <v>20240</v>
      </c>
      <c r="E227" s="278">
        <v>11360</v>
      </c>
      <c r="F227" s="278">
        <v>7980</v>
      </c>
      <c r="G227" s="278">
        <v>4610</v>
      </c>
      <c r="H227" s="278">
        <v>1230</v>
      </c>
      <c r="I227" s="276">
        <v>0</v>
      </c>
      <c r="J227" s="276">
        <v>0</v>
      </c>
      <c r="K227" s="276">
        <v>0</v>
      </c>
      <c r="L227" s="276">
        <v>0</v>
      </c>
      <c r="M227" s="276">
        <v>0</v>
      </c>
    </row>
    <row r="228" spans="1:13" ht="15" customHeight="1">
      <c r="A228" s="278">
        <v>2250</v>
      </c>
      <c r="B228" s="278">
        <v>2260</v>
      </c>
      <c r="C228" s="278">
        <v>27560</v>
      </c>
      <c r="D228" s="278">
        <v>20560</v>
      </c>
      <c r="E228" s="278">
        <v>11560</v>
      </c>
      <c r="F228" s="278">
        <v>8180</v>
      </c>
      <c r="G228" s="278">
        <v>4810</v>
      </c>
      <c r="H228" s="278">
        <v>1430</v>
      </c>
      <c r="I228" s="276">
        <v>0</v>
      </c>
      <c r="J228" s="276">
        <v>0</v>
      </c>
      <c r="K228" s="276">
        <v>0</v>
      </c>
      <c r="L228" s="276">
        <v>0</v>
      </c>
      <c r="M228" s="276">
        <v>0</v>
      </c>
    </row>
    <row r="229" spans="1:13" ht="15" customHeight="1">
      <c r="A229" s="278">
        <v>2260</v>
      </c>
      <c r="B229" s="278">
        <v>2270</v>
      </c>
      <c r="C229" s="278">
        <v>27880</v>
      </c>
      <c r="D229" s="278">
        <v>20880</v>
      </c>
      <c r="E229" s="278">
        <v>11760</v>
      </c>
      <c r="F229" s="278">
        <v>8380</v>
      </c>
      <c r="G229" s="278">
        <v>5010</v>
      </c>
      <c r="H229" s="278">
        <v>1630</v>
      </c>
      <c r="I229" s="276">
        <v>0</v>
      </c>
      <c r="J229" s="276">
        <v>0</v>
      </c>
      <c r="K229" s="276">
        <v>0</v>
      </c>
      <c r="L229" s="276">
        <v>0</v>
      </c>
      <c r="M229" s="276">
        <v>0</v>
      </c>
    </row>
    <row r="230" spans="1:13" ht="15" customHeight="1">
      <c r="A230" s="278">
        <v>2270</v>
      </c>
      <c r="B230" s="278">
        <v>2280</v>
      </c>
      <c r="C230" s="278">
        <v>28200</v>
      </c>
      <c r="D230" s="278">
        <v>21200</v>
      </c>
      <c r="E230" s="278">
        <v>11960</v>
      </c>
      <c r="F230" s="278">
        <v>8580</v>
      </c>
      <c r="G230" s="278">
        <v>5210</v>
      </c>
      <c r="H230" s="278">
        <v>1830</v>
      </c>
      <c r="I230" s="276">
        <v>0</v>
      </c>
      <c r="J230" s="276">
        <v>0</v>
      </c>
      <c r="K230" s="276">
        <v>0</v>
      </c>
      <c r="L230" s="276">
        <v>0</v>
      </c>
      <c r="M230" s="276">
        <v>0</v>
      </c>
    </row>
    <row r="231" spans="1:13" ht="15" customHeight="1">
      <c r="A231" s="278">
        <v>2280</v>
      </c>
      <c r="B231" s="278">
        <v>2290</v>
      </c>
      <c r="C231" s="278">
        <v>28520</v>
      </c>
      <c r="D231" s="278">
        <v>21520</v>
      </c>
      <c r="E231" s="278">
        <v>12150</v>
      </c>
      <c r="F231" s="278">
        <v>8780</v>
      </c>
      <c r="G231" s="278">
        <v>5400</v>
      </c>
      <c r="H231" s="278">
        <v>2030</v>
      </c>
      <c r="I231" s="276">
        <v>0</v>
      </c>
      <c r="J231" s="276">
        <v>0</v>
      </c>
      <c r="K231" s="276">
        <v>0</v>
      </c>
      <c r="L231" s="276">
        <v>0</v>
      </c>
      <c r="M231" s="276">
        <v>0</v>
      </c>
    </row>
    <row r="232" spans="1:13" ht="15" customHeight="1">
      <c r="A232" s="278">
        <v>2290</v>
      </c>
      <c r="B232" s="278">
        <v>2300</v>
      </c>
      <c r="C232" s="278">
        <v>28840</v>
      </c>
      <c r="D232" s="278">
        <v>21840</v>
      </c>
      <c r="E232" s="278">
        <v>12350</v>
      </c>
      <c r="F232" s="278">
        <v>8980</v>
      </c>
      <c r="G232" s="278">
        <v>5600</v>
      </c>
      <c r="H232" s="278">
        <v>2230</v>
      </c>
      <c r="I232" s="276">
        <v>0</v>
      </c>
      <c r="J232" s="276">
        <v>0</v>
      </c>
      <c r="K232" s="276">
        <v>0</v>
      </c>
      <c r="L232" s="276">
        <v>0</v>
      </c>
      <c r="M232" s="276">
        <v>0</v>
      </c>
    </row>
    <row r="233" spans="1:13" ht="15" customHeight="1">
      <c r="A233" s="278">
        <v>2300</v>
      </c>
      <c r="B233" s="278">
        <v>2310</v>
      </c>
      <c r="C233" s="278">
        <v>29160</v>
      </c>
      <c r="D233" s="278">
        <v>22160</v>
      </c>
      <c r="E233" s="278">
        <v>12550</v>
      </c>
      <c r="F233" s="278">
        <v>9180</v>
      </c>
      <c r="G233" s="278">
        <v>5800</v>
      </c>
      <c r="H233" s="278">
        <v>2430</v>
      </c>
      <c r="I233" s="276">
        <v>0</v>
      </c>
      <c r="J233" s="276">
        <v>0</v>
      </c>
      <c r="K233" s="276">
        <v>0</v>
      </c>
      <c r="L233" s="276">
        <v>0</v>
      </c>
      <c r="M233" s="276">
        <v>0</v>
      </c>
    </row>
    <row r="234" spans="1:13" ht="15" customHeight="1">
      <c r="A234" s="278">
        <v>2310</v>
      </c>
      <c r="B234" s="278">
        <v>2320</v>
      </c>
      <c r="C234" s="278">
        <v>29480</v>
      </c>
      <c r="D234" s="278">
        <v>22480</v>
      </c>
      <c r="E234" s="278">
        <v>12750</v>
      </c>
      <c r="F234" s="278">
        <v>9370</v>
      </c>
      <c r="G234" s="278">
        <v>6000</v>
      </c>
      <c r="H234" s="278">
        <v>2620</v>
      </c>
      <c r="I234" s="276">
        <v>0</v>
      </c>
      <c r="J234" s="276">
        <v>0</v>
      </c>
      <c r="K234" s="276">
        <v>0</v>
      </c>
      <c r="L234" s="276">
        <v>0</v>
      </c>
      <c r="M234" s="276">
        <v>0</v>
      </c>
    </row>
    <row r="235" spans="1:13" ht="15" customHeight="1">
      <c r="A235" s="278">
        <v>2320</v>
      </c>
      <c r="B235" s="278">
        <v>2330</v>
      </c>
      <c r="C235" s="278">
        <v>29810</v>
      </c>
      <c r="D235" s="278">
        <v>22810</v>
      </c>
      <c r="E235" s="278">
        <v>12950</v>
      </c>
      <c r="F235" s="278">
        <v>9570</v>
      </c>
      <c r="G235" s="278">
        <v>6200</v>
      </c>
      <c r="H235" s="278">
        <v>2820</v>
      </c>
      <c r="I235" s="276">
        <v>0</v>
      </c>
      <c r="J235" s="276">
        <v>0</v>
      </c>
      <c r="K235" s="276">
        <v>0</v>
      </c>
      <c r="L235" s="276">
        <v>0</v>
      </c>
      <c r="M235" s="276">
        <v>0</v>
      </c>
    </row>
    <row r="236" spans="1:13" ht="15" customHeight="1">
      <c r="A236" s="278">
        <v>2330</v>
      </c>
      <c r="B236" s="278">
        <v>2340</v>
      </c>
      <c r="C236" s="278">
        <v>30130</v>
      </c>
      <c r="D236" s="278">
        <v>23130</v>
      </c>
      <c r="E236" s="278">
        <v>13150</v>
      </c>
      <c r="F236" s="278">
        <v>9770</v>
      </c>
      <c r="G236" s="278">
        <v>6400</v>
      </c>
      <c r="H236" s="278">
        <v>3020</v>
      </c>
      <c r="I236" s="276">
        <v>0</v>
      </c>
      <c r="J236" s="276">
        <v>0</v>
      </c>
      <c r="K236" s="276">
        <v>0</v>
      </c>
      <c r="L236" s="276">
        <v>0</v>
      </c>
      <c r="M236" s="276">
        <v>0</v>
      </c>
    </row>
    <row r="237" spans="1:13" ht="15" customHeight="1">
      <c r="A237" s="278">
        <v>2340</v>
      </c>
      <c r="B237" s="278">
        <v>2350</v>
      </c>
      <c r="C237" s="278">
        <v>30450</v>
      </c>
      <c r="D237" s="278">
        <v>23450</v>
      </c>
      <c r="E237" s="278">
        <v>13340</v>
      </c>
      <c r="F237" s="278">
        <v>9970</v>
      </c>
      <c r="G237" s="278">
        <v>6590</v>
      </c>
      <c r="H237" s="278">
        <v>3220</v>
      </c>
      <c r="I237" s="276">
        <v>0</v>
      </c>
      <c r="J237" s="276">
        <v>0</v>
      </c>
      <c r="K237" s="276">
        <v>0</v>
      </c>
      <c r="L237" s="276">
        <v>0</v>
      </c>
      <c r="M237" s="276">
        <v>0</v>
      </c>
    </row>
    <row r="238" spans="1:13" ht="15" customHeight="1">
      <c r="A238" s="278">
        <v>2350</v>
      </c>
      <c r="B238" s="278">
        <v>2360</v>
      </c>
      <c r="C238" s="278">
        <v>30770</v>
      </c>
      <c r="D238" s="278">
        <v>23770</v>
      </c>
      <c r="E238" s="278">
        <v>13540</v>
      </c>
      <c r="F238" s="278">
        <v>10170</v>
      </c>
      <c r="G238" s="278">
        <v>6790</v>
      </c>
      <c r="H238" s="278">
        <v>3420</v>
      </c>
      <c r="I238" s="276">
        <v>0</v>
      </c>
      <c r="J238" s="276">
        <v>0</v>
      </c>
      <c r="K238" s="276">
        <v>0</v>
      </c>
      <c r="L238" s="276">
        <v>0</v>
      </c>
      <c r="M238" s="276">
        <v>0</v>
      </c>
    </row>
    <row r="239" spans="1:13" ht="15" customHeight="1">
      <c r="A239" s="278">
        <v>2360</v>
      </c>
      <c r="B239" s="278">
        <v>2370</v>
      </c>
      <c r="C239" s="278">
        <v>31090</v>
      </c>
      <c r="D239" s="278">
        <v>24090</v>
      </c>
      <c r="E239" s="278">
        <v>13740</v>
      </c>
      <c r="F239" s="278">
        <v>10370</v>
      </c>
      <c r="G239" s="278">
        <v>6990</v>
      </c>
      <c r="H239" s="278">
        <v>3620</v>
      </c>
      <c r="I239" s="276">
        <v>0</v>
      </c>
      <c r="J239" s="276">
        <v>0</v>
      </c>
      <c r="K239" s="276">
        <v>0</v>
      </c>
      <c r="L239" s="276">
        <v>0</v>
      </c>
      <c r="M239" s="276">
        <v>0</v>
      </c>
    </row>
    <row r="240" spans="1:13" ht="15" customHeight="1">
      <c r="A240" s="278">
        <v>2370</v>
      </c>
      <c r="B240" s="278">
        <v>2380</v>
      </c>
      <c r="C240" s="278">
        <v>31410</v>
      </c>
      <c r="D240" s="278">
        <v>24410</v>
      </c>
      <c r="E240" s="278">
        <v>13940</v>
      </c>
      <c r="F240" s="278">
        <v>10560</v>
      </c>
      <c r="G240" s="278">
        <v>7190</v>
      </c>
      <c r="H240" s="278">
        <v>3810</v>
      </c>
      <c r="I240" s="276">
        <v>0</v>
      </c>
      <c r="J240" s="276">
        <v>0</v>
      </c>
      <c r="K240" s="276">
        <v>0</v>
      </c>
      <c r="L240" s="276">
        <v>0</v>
      </c>
      <c r="M240" s="276">
        <v>0</v>
      </c>
    </row>
    <row r="241" spans="1:13" ht="15" customHeight="1">
      <c r="A241" s="278">
        <v>2380</v>
      </c>
      <c r="B241" s="278">
        <v>2390</v>
      </c>
      <c r="C241" s="278">
        <v>31970</v>
      </c>
      <c r="D241" s="278">
        <v>24730</v>
      </c>
      <c r="E241" s="278">
        <v>14140</v>
      </c>
      <c r="F241" s="278">
        <v>10760</v>
      </c>
      <c r="G241" s="278">
        <v>7390</v>
      </c>
      <c r="H241" s="278">
        <v>4010</v>
      </c>
      <c r="I241" s="276">
        <v>0</v>
      </c>
      <c r="J241" s="276">
        <v>0</v>
      </c>
      <c r="K241" s="276">
        <v>0</v>
      </c>
      <c r="L241" s="276">
        <v>0</v>
      </c>
      <c r="M241" s="276">
        <v>0</v>
      </c>
    </row>
    <row r="242" spans="1:13" ht="15" customHeight="1">
      <c r="A242" s="278">
        <v>2390</v>
      </c>
      <c r="B242" s="278">
        <v>2400</v>
      </c>
      <c r="C242" s="278">
        <v>32770</v>
      </c>
      <c r="D242" s="278">
        <v>25050</v>
      </c>
      <c r="E242" s="278">
        <v>14340</v>
      </c>
      <c r="F242" s="278">
        <v>10960</v>
      </c>
      <c r="G242" s="278">
        <v>7590</v>
      </c>
      <c r="H242" s="278">
        <v>4210</v>
      </c>
      <c r="I242" s="276">
        <v>0</v>
      </c>
      <c r="J242" s="276">
        <v>0</v>
      </c>
      <c r="K242" s="276">
        <v>0</v>
      </c>
      <c r="L242" s="276">
        <v>0</v>
      </c>
      <c r="M242" s="276">
        <v>0</v>
      </c>
    </row>
    <row r="243" spans="1:13" ht="15" customHeight="1">
      <c r="A243" s="278">
        <v>2400</v>
      </c>
      <c r="B243" s="278">
        <v>2410</v>
      </c>
      <c r="C243" s="278">
        <v>33570</v>
      </c>
      <c r="D243" s="278">
        <v>25380</v>
      </c>
      <c r="E243" s="278">
        <v>14530</v>
      </c>
      <c r="F243" s="278">
        <v>11160</v>
      </c>
      <c r="G243" s="278">
        <v>7780</v>
      </c>
      <c r="H243" s="278">
        <v>4410</v>
      </c>
      <c r="I243" s="278">
        <v>1030</v>
      </c>
      <c r="J243" s="276">
        <v>0</v>
      </c>
      <c r="K243" s="276">
        <v>0</v>
      </c>
      <c r="L243" s="276">
        <v>0</v>
      </c>
      <c r="M243" s="276">
        <v>0</v>
      </c>
    </row>
    <row r="244" spans="1:13" ht="15" customHeight="1">
      <c r="A244" s="278">
        <v>2410</v>
      </c>
      <c r="B244" s="278">
        <v>2420</v>
      </c>
      <c r="C244" s="278">
        <v>34380</v>
      </c>
      <c r="D244" s="278">
        <v>25700</v>
      </c>
      <c r="E244" s="278">
        <v>14730</v>
      </c>
      <c r="F244" s="278">
        <v>11360</v>
      </c>
      <c r="G244" s="278">
        <v>7980</v>
      </c>
      <c r="H244" s="278">
        <v>4610</v>
      </c>
      <c r="I244" s="278">
        <v>1230</v>
      </c>
      <c r="J244" s="276">
        <v>0</v>
      </c>
      <c r="K244" s="276">
        <v>0</v>
      </c>
      <c r="L244" s="276">
        <v>0</v>
      </c>
      <c r="M244" s="276">
        <v>0</v>
      </c>
    </row>
    <row r="245" spans="1:13" ht="15" customHeight="1">
      <c r="A245" s="278">
        <v>2420</v>
      </c>
      <c r="B245" s="278">
        <v>2430</v>
      </c>
      <c r="C245" s="278">
        <v>35180</v>
      </c>
      <c r="D245" s="278">
        <v>26020</v>
      </c>
      <c r="E245" s="278">
        <v>14930</v>
      </c>
      <c r="F245" s="278">
        <v>11560</v>
      </c>
      <c r="G245" s="278">
        <v>8180</v>
      </c>
      <c r="H245" s="278">
        <v>4810</v>
      </c>
      <c r="I245" s="278">
        <v>1430</v>
      </c>
      <c r="J245" s="276">
        <v>0</v>
      </c>
      <c r="K245" s="276">
        <v>0</v>
      </c>
      <c r="L245" s="276">
        <v>0</v>
      </c>
      <c r="M245" s="276">
        <v>0</v>
      </c>
    </row>
    <row r="246" spans="1:13" ht="15" customHeight="1">
      <c r="A246" s="278">
        <v>2430</v>
      </c>
      <c r="B246" s="278">
        <v>2440</v>
      </c>
      <c r="C246" s="278">
        <v>35980</v>
      </c>
      <c r="D246" s="278">
        <v>26340</v>
      </c>
      <c r="E246" s="278">
        <v>15130</v>
      </c>
      <c r="F246" s="278">
        <v>11760</v>
      </c>
      <c r="G246" s="278">
        <v>8380</v>
      </c>
      <c r="H246" s="278">
        <v>5010</v>
      </c>
      <c r="I246" s="278">
        <v>1630</v>
      </c>
      <c r="J246" s="276">
        <v>0</v>
      </c>
      <c r="K246" s="276">
        <v>0</v>
      </c>
      <c r="L246" s="276">
        <v>0</v>
      </c>
      <c r="M246" s="276">
        <v>0</v>
      </c>
    </row>
    <row r="247" spans="1:13" ht="15" customHeight="1">
      <c r="A247" s="278">
        <v>2440</v>
      </c>
      <c r="B247" s="278">
        <v>2450</v>
      </c>
      <c r="C247" s="278">
        <v>36790</v>
      </c>
      <c r="D247" s="278">
        <v>26660</v>
      </c>
      <c r="E247" s="278">
        <v>15330</v>
      </c>
      <c r="F247" s="278">
        <v>11950</v>
      </c>
      <c r="G247" s="278">
        <v>8580</v>
      </c>
      <c r="H247" s="278">
        <v>5200</v>
      </c>
      <c r="I247" s="278">
        <v>1830</v>
      </c>
      <c r="J247" s="276">
        <v>0</v>
      </c>
      <c r="K247" s="276">
        <v>0</v>
      </c>
      <c r="L247" s="276">
        <v>0</v>
      </c>
      <c r="M247" s="276">
        <v>0</v>
      </c>
    </row>
    <row r="248" spans="1:13" ht="15" customHeight="1">
      <c r="A248" s="278">
        <v>2450</v>
      </c>
      <c r="B248" s="278">
        <v>2460</v>
      </c>
      <c r="C248" s="278">
        <v>37590</v>
      </c>
      <c r="D248" s="278">
        <v>26980</v>
      </c>
      <c r="E248" s="278">
        <v>15530</v>
      </c>
      <c r="F248" s="278">
        <v>12150</v>
      </c>
      <c r="G248" s="278">
        <v>8780</v>
      </c>
      <c r="H248" s="278">
        <v>5400</v>
      </c>
      <c r="I248" s="278">
        <v>2030</v>
      </c>
      <c r="J248" s="276">
        <v>0</v>
      </c>
      <c r="K248" s="276">
        <v>0</v>
      </c>
      <c r="L248" s="276">
        <v>0</v>
      </c>
      <c r="M248" s="276">
        <v>0</v>
      </c>
    </row>
    <row r="249" spans="1:13" ht="15" customHeight="1">
      <c r="A249" s="278">
        <v>2460</v>
      </c>
      <c r="B249" s="278">
        <v>2470</v>
      </c>
      <c r="C249" s="278">
        <v>38390</v>
      </c>
      <c r="D249" s="278">
        <v>27300</v>
      </c>
      <c r="E249" s="278">
        <v>15730</v>
      </c>
      <c r="F249" s="278">
        <v>12350</v>
      </c>
      <c r="G249" s="278">
        <v>8980</v>
      </c>
      <c r="H249" s="278">
        <v>5600</v>
      </c>
      <c r="I249" s="278">
        <v>2230</v>
      </c>
      <c r="J249" s="276">
        <v>0</v>
      </c>
      <c r="K249" s="276">
        <v>0</v>
      </c>
      <c r="L249" s="276">
        <v>0</v>
      </c>
      <c r="M249" s="276">
        <v>0</v>
      </c>
    </row>
    <row r="250" spans="1:13" ht="15" customHeight="1">
      <c r="A250" s="278">
        <v>2470</v>
      </c>
      <c r="B250" s="278">
        <v>2480</v>
      </c>
      <c r="C250" s="278">
        <v>39200</v>
      </c>
      <c r="D250" s="278">
        <v>27630</v>
      </c>
      <c r="E250" s="278">
        <v>15920</v>
      </c>
      <c r="F250" s="278">
        <v>12550</v>
      </c>
      <c r="G250" s="278">
        <v>9170</v>
      </c>
      <c r="H250" s="278">
        <v>5800</v>
      </c>
      <c r="I250" s="278">
        <v>2420</v>
      </c>
      <c r="J250" s="276">
        <v>0</v>
      </c>
      <c r="K250" s="276">
        <v>0</v>
      </c>
      <c r="L250" s="276">
        <v>0</v>
      </c>
      <c r="M250" s="276">
        <v>0</v>
      </c>
    </row>
    <row r="251" spans="1:13" ht="15" customHeight="1">
      <c r="A251" s="278">
        <v>2480</v>
      </c>
      <c r="B251" s="278">
        <v>2490</v>
      </c>
      <c r="C251" s="278">
        <v>40000</v>
      </c>
      <c r="D251" s="278">
        <v>27950</v>
      </c>
      <c r="E251" s="278">
        <v>16120</v>
      </c>
      <c r="F251" s="278">
        <v>12750</v>
      </c>
      <c r="G251" s="278">
        <v>9370</v>
      </c>
      <c r="H251" s="278">
        <v>6000</v>
      </c>
      <c r="I251" s="278">
        <v>2620</v>
      </c>
      <c r="J251" s="276">
        <v>0</v>
      </c>
      <c r="K251" s="276">
        <v>0</v>
      </c>
      <c r="L251" s="276">
        <v>0</v>
      </c>
      <c r="M251" s="276">
        <v>0</v>
      </c>
    </row>
    <row r="252" spans="1:13" ht="15" customHeight="1">
      <c r="A252" s="278">
        <v>2490</v>
      </c>
      <c r="B252" s="278">
        <v>2500</v>
      </c>
      <c r="C252" s="278">
        <v>40800</v>
      </c>
      <c r="D252" s="278">
        <v>28270</v>
      </c>
      <c r="E252" s="278">
        <v>16320</v>
      </c>
      <c r="F252" s="278">
        <v>12950</v>
      </c>
      <c r="G252" s="278">
        <v>9570</v>
      </c>
      <c r="H252" s="278">
        <v>6200</v>
      </c>
      <c r="I252" s="278">
        <v>2820</v>
      </c>
      <c r="J252" s="276">
        <v>0</v>
      </c>
      <c r="K252" s="276">
        <v>0</v>
      </c>
      <c r="L252" s="276">
        <v>0</v>
      </c>
      <c r="M252" s="276">
        <v>0</v>
      </c>
    </row>
    <row r="253" spans="1:13" ht="15" customHeight="1">
      <c r="A253" s="278">
        <v>2500</v>
      </c>
      <c r="B253" s="278">
        <v>2510</v>
      </c>
      <c r="C253" s="278">
        <v>41630</v>
      </c>
      <c r="D253" s="278">
        <v>28600</v>
      </c>
      <c r="E253" s="278">
        <v>16530</v>
      </c>
      <c r="F253" s="278">
        <v>13150</v>
      </c>
      <c r="G253" s="278">
        <v>9780</v>
      </c>
      <c r="H253" s="278">
        <v>6400</v>
      </c>
      <c r="I253" s="278">
        <v>3030</v>
      </c>
      <c r="J253" s="276">
        <v>0</v>
      </c>
      <c r="K253" s="276">
        <v>0</v>
      </c>
      <c r="L253" s="276">
        <v>0</v>
      </c>
      <c r="M253" s="276">
        <v>0</v>
      </c>
    </row>
    <row r="254" spans="1:13" ht="15" customHeight="1">
      <c r="A254" s="278">
        <v>2510</v>
      </c>
      <c r="B254" s="278">
        <v>2520</v>
      </c>
      <c r="C254" s="278">
        <v>42490</v>
      </c>
      <c r="D254" s="278">
        <v>28940</v>
      </c>
      <c r="E254" s="278">
        <v>16740</v>
      </c>
      <c r="F254" s="278">
        <v>13360</v>
      </c>
      <c r="G254" s="278">
        <v>9990</v>
      </c>
      <c r="H254" s="278">
        <v>6610</v>
      </c>
      <c r="I254" s="278">
        <v>3240</v>
      </c>
      <c r="J254" s="276">
        <v>0</v>
      </c>
      <c r="K254" s="276">
        <v>0</v>
      </c>
      <c r="L254" s="276">
        <v>0</v>
      </c>
      <c r="M254" s="276">
        <v>0</v>
      </c>
    </row>
    <row r="255" spans="1:13" ht="15" customHeight="1">
      <c r="A255" s="278">
        <v>2520</v>
      </c>
      <c r="B255" s="278">
        <v>2530</v>
      </c>
      <c r="C255" s="278">
        <v>43340</v>
      </c>
      <c r="D255" s="278">
        <v>29280</v>
      </c>
      <c r="E255" s="278">
        <v>16950</v>
      </c>
      <c r="F255" s="278">
        <v>13580</v>
      </c>
      <c r="G255" s="278">
        <v>10200</v>
      </c>
      <c r="H255" s="278">
        <v>6830</v>
      </c>
      <c r="I255" s="278">
        <v>3450</v>
      </c>
      <c r="J255" s="276">
        <v>0</v>
      </c>
      <c r="K255" s="276">
        <v>0</v>
      </c>
      <c r="L255" s="276">
        <v>0</v>
      </c>
      <c r="M255" s="276">
        <v>0</v>
      </c>
    </row>
    <row r="256" spans="1:13" ht="15" customHeight="1">
      <c r="A256" s="278">
        <v>2530</v>
      </c>
      <c r="B256" s="278">
        <v>2540</v>
      </c>
      <c r="C256" s="278">
        <v>44200</v>
      </c>
      <c r="D256" s="278">
        <v>29630</v>
      </c>
      <c r="E256" s="278">
        <v>17160</v>
      </c>
      <c r="F256" s="278">
        <v>13790</v>
      </c>
      <c r="G256" s="278">
        <v>10410</v>
      </c>
      <c r="H256" s="278">
        <v>7040</v>
      </c>
      <c r="I256" s="278">
        <v>3660</v>
      </c>
      <c r="J256" s="276">
        <v>0</v>
      </c>
      <c r="K256" s="276">
        <v>0</v>
      </c>
      <c r="L256" s="276">
        <v>0</v>
      </c>
      <c r="M256" s="276">
        <v>0</v>
      </c>
    </row>
    <row r="257" spans="1:13" ht="15" customHeight="1">
      <c r="A257" s="278">
        <v>2540</v>
      </c>
      <c r="B257" s="278">
        <v>2550</v>
      </c>
      <c r="C257" s="278">
        <v>45050</v>
      </c>
      <c r="D257" s="278">
        <v>29970</v>
      </c>
      <c r="E257" s="278">
        <v>17370</v>
      </c>
      <c r="F257" s="278">
        <v>14000</v>
      </c>
      <c r="G257" s="278">
        <v>10620</v>
      </c>
      <c r="H257" s="278">
        <v>7250</v>
      </c>
      <c r="I257" s="278">
        <v>3870</v>
      </c>
      <c r="J257" s="276">
        <v>0</v>
      </c>
      <c r="K257" s="276">
        <v>0</v>
      </c>
      <c r="L257" s="276">
        <v>0</v>
      </c>
      <c r="M257" s="276">
        <v>0</v>
      </c>
    </row>
    <row r="258" spans="1:13" ht="15" customHeight="1">
      <c r="A258" s="278">
        <v>2550</v>
      </c>
      <c r="B258" s="278">
        <v>2560</v>
      </c>
      <c r="C258" s="278">
        <v>45910</v>
      </c>
      <c r="D258" s="278">
        <v>30310</v>
      </c>
      <c r="E258" s="278">
        <v>17590</v>
      </c>
      <c r="F258" s="278">
        <v>14210</v>
      </c>
      <c r="G258" s="278">
        <v>10840</v>
      </c>
      <c r="H258" s="278">
        <v>7460</v>
      </c>
      <c r="I258" s="278">
        <v>4090</v>
      </c>
      <c r="J258" s="276">
        <v>0</v>
      </c>
      <c r="K258" s="276">
        <v>0</v>
      </c>
      <c r="L258" s="276">
        <v>0</v>
      </c>
      <c r="M258" s="276">
        <v>0</v>
      </c>
    </row>
    <row r="259" spans="1:13" ht="15" customHeight="1">
      <c r="A259" s="278">
        <v>2560</v>
      </c>
      <c r="B259" s="278">
        <v>2570</v>
      </c>
      <c r="C259" s="278">
        <v>46770</v>
      </c>
      <c r="D259" s="278">
        <v>30650</v>
      </c>
      <c r="E259" s="278">
        <v>17800</v>
      </c>
      <c r="F259" s="278">
        <v>14420</v>
      </c>
      <c r="G259" s="278">
        <v>11050</v>
      </c>
      <c r="H259" s="278">
        <v>7670</v>
      </c>
      <c r="I259" s="278">
        <v>4300</v>
      </c>
      <c r="J259" s="276">
        <v>0</v>
      </c>
      <c r="K259" s="276">
        <v>0</v>
      </c>
      <c r="L259" s="276">
        <v>0</v>
      </c>
      <c r="M259" s="276">
        <v>0</v>
      </c>
    </row>
    <row r="260" spans="1:13" ht="15" customHeight="1">
      <c r="A260" s="278">
        <v>2570</v>
      </c>
      <c r="B260" s="278">
        <v>2580</v>
      </c>
      <c r="C260" s="278">
        <v>47620</v>
      </c>
      <c r="D260" s="278">
        <v>31000</v>
      </c>
      <c r="E260" s="278">
        <v>18010</v>
      </c>
      <c r="F260" s="278">
        <v>14630</v>
      </c>
      <c r="G260" s="278">
        <v>11260</v>
      </c>
      <c r="H260" s="278">
        <v>7880</v>
      </c>
      <c r="I260" s="278">
        <v>4510</v>
      </c>
      <c r="J260" s="278">
        <v>1130</v>
      </c>
      <c r="K260" s="276">
        <v>0</v>
      </c>
      <c r="L260" s="276">
        <v>0</v>
      </c>
      <c r="M260" s="276">
        <v>0</v>
      </c>
    </row>
    <row r="261" spans="1:13" ht="15" customHeight="1">
      <c r="A261" s="278">
        <v>2580</v>
      </c>
      <c r="B261" s="278">
        <v>2590</v>
      </c>
      <c r="C261" s="278">
        <v>48480</v>
      </c>
      <c r="D261" s="278">
        <v>31340</v>
      </c>
      <c r="E261" s="278">
        <v>18220</v>
      </c>
      <c r="F261" s="278">
        <v>14850</v>
      </c>
      <c r="G261" s="278">
        <v>11470</v>
      </c>
      <c r="H261" s="278">
        <v>8100</v>
      </c>
      <c r="I261" s="278">
        <v>4720</v>
      </c>
      <c r="J261" s="278">
        <v>1350</v>
      </c>
      <c r="K261" s="276">
        <v>0</v>
      </c>
      <c r="L261" s="276">
        <v>0</v>
      </c>
      <c r="M261" s="276">
        <v>0</v>
      </c>
    </row>
    <row r="262" spans="1:13" ht="15" customHeight="1">
      <c r="A262" s="278">
        <v>2590</v>
      </c>
      <c r="B262" s="278">
        <v>2600</v>
      </c>
      <c r="C262" s="278">
        <v>49330</v>
      </c>
      <c r="D262" s="278">
        <v>31830</v>
      </c>
      <c r="E262" s="278">
        <v>18430</v>
      </c>
      <c r="F262" s="278">
        <v>15060</v>
      </c>
      <c r="G262" s="278">
        <v>11680</v>
      </c>
      <c r="H262" s="278">
        <v>8310</v>
      </c>
      <c r="I262" s="278">
        <v>4930</v>
      </c>
      <c r="J262" s="278">
        <v>1560</v>
      </c>
      <c r="K262" s="276">
        <v>0</v>
      </c>
      <c r="L262" s="276">
        <v>0</v>
      </c>
      <c r="M262" s="276">
        <v>0</v>
      </c>
    </row>
    <row r="263" spans="1:13" ht="15" customHeight="1">
      <c r="A263" s="278">
        <v>2600</v>
      </c>
      <c r="B263" s="278">
        <v>2610</v>
      </c>
      <c r="C263" s="278">
        <v>50190</v>
      </c>
      <c r="D263" s="278">
        <v>32690</v>
      </c>
      <c r="E263" s="278">
        <v>18650</v>
      </c>
      <c r="F263" s="278">
        <v>15270</v>
      </c>
      <c r="G263" s="278">
        <v>11900</v>
      </c>
      <c r="H263" s="278">
        <v>8520</v>
      </c>
      <c r="I263" s="278">
        <v>5150</v>
      </c>
      <c r="J263" s="278">
        <v>1770</v>
      </c>
      <c r="K263" s="276">
        <v>0</v>
      </c>
      <c r="L263" s="276">
        <v>0</v>
      </c>
      <c r="M263" s="276">
        <v>0</v>
      </c>
    </row>
    <row r="264" spans="1:13" ht="15" customHeight="1">
      <c r="A264" s="278">
        <v>2610</v>
      </c>
      <c r="B264" s="278">
        <v>2620</v>
      </c>
      <c r="C264" s="278">
        <v>51040</v>
      </c>
      <c r="D264" s="278">
        <v>33540</v>
      </c>
      <c r="E264" s="278">
        <v>18920</v>
      </c>
      <c r="F264" s="278">
        <v>15480</v>
      </c>
      <c r="G264" s="278">
        <v>12110</v>
      </c>
      <c r="H264" s="278">
        <v>8730</v>
      </c>
      <c r="I264" s="278">
        <v>5360</v>
      </c>
      <c r="J264" s="278">
        <v>1980</v>
      </c>
      <c r="K264" s="276">
        <v>0</v>
      </c>
      <c r="L264" s="276">
        <v>0</v>
      </c>
      <c r="M264" s="276">
        <v>0</v>
      </c>
    </row>
    <row r="265" spans="1:13" ht="15" customHeight="1">
      <c r="A265" s="278">
        <v>2620</v>
      </c>
      <c r="B265" s="278">
        <v>2630</v>
      </c>
      <c r="C265" s="278">
        <v>51900</v>
      </c>
      <c r="D265" s="278">
        <v>34400</v>
      </c>
      <c r="E265" s="278">
        <v>19250</v>
      </c>
      <c r="F265" s="278">
        <v>15690</v>
      </c>
      <c r="G265" s="278">
        <v>12320</v>
      </c>
      <c r="H265" s="278">
        <v>8940</v>
      </c>
      <c r="I265" s="278">
        <v>5570</v>
      </c>
      <c r="J265" s="278">
        <v>2190</v>
      </c>
      <c r="K265" s="276">
        <v>0</v>
      </c>
      <c r="L265" s="276">
        <v>0</v>
      </c>
      <c r="M265" s="276">
        <v>0</v>
      </c>
    </row>
    <row r="266" spans="1:13" ht="15" customHeight="1">
      <c r="A266" s="278">
        <v>2630</v>
      </c>
      <c r="B266" s="278">
        <v>2640</v>
      </c>
      <c r="C266" s="278">
        <v>52760</v>
      </c>
      <c r="D266" s="278">
        <v>35260</v>
      </c>
      <c r="E266" s="278">
        <v>19580</v>
      </c>
      <c r="F266" s="278">
        <v>15910</v>
      </c>
      <c r="G266" s="278">
        <v>12530</v>
      </c>
      <c r="H266" s="278">
        <v>9160</v>
      </c>
      <c r="I266" s="278">
        <v>5780</v>
      </c>
      <c r="J266" s="278">
        <v>2410</v>
      </c>
      <c r="K266" s="276">
        <v>0</v>
      </c>
      <c r="L266" s="276">
        <v>0</v>
      </c>
      <c r="M266" s="276">
        <v>0</v>
      </c>
    </row>
    <row r="267" spans="1:13" ht="15" customHeight="1">
      <c r="A267" s="278">
        <v>2640</v>
      </c>
      <c r="B267" s="278">
        <v>2650</v>
      </c>
      <c r="C267" s="278">
        <v>53610</v>
      </c>
      <c r="D267" s="278">
        <v>36110</v>
      </c>
      <c r="E267" s="278">
        <v>19910</v>
      </c>
      <c r="F267" s="278">
        <v>16120</v>
      </c>
      <c r="G267" s="278">
        <v>12740</v>
      </c>
      <c r="H267" s="278">
        <v>9370</v>
      </c>
      <c r="I267" s="278">
        <v>5990</v>
      </c>
      <c r="J267" s="278">
        <v>2620</v>
      </c>
      <c r="K267" s="276">
        <v>0</v>
      </c>
      <c r="L267" s="276">
        <v>0</v>
      </c>
      <c r="M267" s="276">
        <v>0</v>
      </c>
    </row>
    <row r="268" spans="1:13" ht="15" customHeight="1">
      <c r="A268" s="278">
        <v>2650</v>
      </c>
      <c r="B268" s="278">
        <v>2660</v>
      </c>
      <c r="C268" s="278">
        <v>54470</v>
      </c>
      <c r="D268" s="278">
        <v>36970</v>
      </c>
      <c r="E268" s="278">
        <v>20240</v>
      </c>
      <c r="F268" s="278">
        <v>16330</v>
      </c>
      <c r="G268" s="278">
        <v>12960</v>
      </c>
      <c r="H268" s="278">
        <v>9580</v>
      </c>
      <c r="I268" s="278">
        <v>6210</v>
      </c>
      <c r="J268" s="278">
        <v>2830</v>
      </c>
      <c r="K268" s="276">
        <v>0</v>
      </c>
      <c r="L268" s="276">
        <v>0</v>
      </c>
      <c r="M268" s="276">
        <v>0</v>
      </c>
    </row>
    <row r="269" spans="1:13" ht="15" customHeight="1">
      <c r="A269" s="278">
        <v>2660</v>
      </c>
      <c r="B269" s="278">
        <v>2670</v>
      </c>
      <c r="C269" s="278">
        <v>55320</v>
      </c>
      <c r="D269" s="278">
        <v>37820</v>
      </c>
      <c r="E269" s="278">
        <v>20570</v>
      </c>
      <c r="F269" s="278">
        <v>16540</v>
      </c>
      <c r="G269" s="278">
        <v>13170</v>
      </c>
      <c r="H269" s="278">
        <v>9790</v>
      </c>
      <c r="I269" s="278">
        <v>6420</v>
      </c>
      <c r="J269" s="278">
        <v>3040</v>
      </c>
      <c r="K269" s="276">
        <v>0</v>
      </c>
      <c r="L269" s="276">
        <v>0</v>
      </c>
      <c r="M269" s="276">
        <v>0</v>
      </c>
    </row>
    <row r="270" spans="1:13" ht="15" customHeight="1">
      <c r="A270" s="278">
        <v>2670</v>
      </c>
      <c r="B270" s="278">
        <v>2680</v>
      </c>
      <c r="C270" s="278">
        <v>56180</v>
      </c>
      <c r="D270" s="278">
        <v>38680</v>
      </c>
      <c r="E270" s="278">
        <v>20900</v>
      </c>
      <c r="F270" s="278">
        <v>16750</v>
      </c>
      <c r="G270" s="278">
        <v>13380</v>
      </c>
      <c r="H270" s="278">
        <v>10000</v>
      </c>
      <c r="I270" s="278">
        <v>6630</v>
      </c>
      <c r="J270" s="278">
        <v>3250</v>
      </c>
      <c r="K270" s="276">
        <v>0</v>
      </c>
      <c r="L270" s="276">
        <v>0</v>
      </c>
      <c r="M270" s="276">
        <v>0</v>
      </c>
    </row>
    <row r="271" spans="1:13" ht="15" customHeight="1">
      <c r="A271" s="278">
        <v>2680</v>
      </c>
      <c r="B271" s="278">
        <v>2690</v>
      </c>
      <c r="C271" s="278">
        <v>57040</v>
      </c>
      <c r="D271" s="278">
        <v>39540</v>
      </c>
      <c r="E271" s="278">
        <v>21230</v>
      </c>
      <c r="F271" s="278">
        <v>16970</v>
      </c>
      <c r="G271" s="278">
        <v>13590</v>
      </c>
      <c r="H271" s="278">
        <v>10220</v>
      </c>
      <c r="I271" s="278">
        <v>6840</v>
      </c>
      <c r="J271" s="278">
        <v>3470</v>
      </c>
      <c r="K271" s="276">
        <v>0</v>
      </c>
      <c r="L271" s="276">
        <v>0</v>
      </c>
      <c r="M271" s="276">
        <v>0</v>
      </c>
    </row>
    <row r="272" spans="1:13" ht="15" customHeight="1">
      <c r="A272" s="278">
        <v>2690</v>
      </c>
      <c r="B272" s="278">
        <v>2700</v>
      </c>
      <c r="C272" s="278">
        <v>57890</v>
      </c>
      <c r="D272" s="278">
        <v>40390</v>
      </c>
      <c r="E272" s="278">
        <v>21560</v>
      </c>
      <c r="F272" s="278">
        <v>17180</v>
      </c>
      <c r="G272" s="278">
        <v>13800</v>
      </c>
      <c r="H272" s="278">
        <v>10430</v>
      </c>
      <c r="I272" s="278">
        <v>7050</v>
      </c>
      <c r="J272" s="278">
        <v>3680</v>
      </c>
      <c r="K272" s="276">
        <v>0</v>
      </c>
      <c r="L272" s="276">
        <v>0</v>
      </c>
      <c r="M272" s="276">
        <v>0</v>
      </c>
    </row>
    <row r="273" spans="1:13" ht="15" customHeight="1">
      <c r="A273" s="278">
        <v>2700</v>
      </c>
      <c r="B273" s="278">
        <v>2710</v>
      </c>
      <c r="C273" s="278">
        <v>58750</v>
      </c>
      <c r="D273" s="278">
        <v>41250</v>
      </c>
      <c r="E273" s="278">
        <v>21890</v>
      </c>
      <c r="F273" s="278">
        <v>17390</v>
      </c>
      <c r="G273" s="278">
        <v>14020</v>
      </c>
      <c r="H273" s="278">
        <v>10640</v>
      </c>
      <c r="I273" s="278">
        <v>7270</v>
      </c>
      <c r="J273" s="278">
        <v>3890</v>
      </c>
      <c r="K273" s="276">
        <v>0</v>
      </c>
      <c r="L273" s="276">
        <v>0</v>
      </c>
      <c r="M273" s="276">
        <v>0</v>
      </c>
    </row>
    <row r="274" spans="1:13" ht="15" customHeight="1">
      <c r="A274" s="278">
        <v>2710</v>
      </c>
      <c r="B274" s="278">
        <v>2720</v>
      </c>
      <c r="C274" s="278">
        <v>59600</v>
      </c>
      <c r="D274" s="278">
        <v>42100</v>
      </c>
      <c r="E274" s="278">
        <v>22220</v>
      </c>
      <c r="F274" s="278">
        <v>17600</v>
      </c>
      <c r="G274" s="278">
        <v>14230</v>
      </c>
      <c r="H274" s="278">
        <v>10850</v>
      </c>
      <c r="I274" s="278">
        <v>7480</v>
      </c>
      <c r="J274" s="278">
        <v>4100</v>
      </c>
      <c r="K274" s="276">
        <v>0</v>
      </c>
      <c r="L274" s="276">
        <v>0</v>
      </c>
      <c r="M274" s="276">
        <v>0</v>
      </c>
    </row>
    <row r="275" spans="1:13" ht="15" customHeight="1">
      <c r="A275" s="278">
        <v>2720</v>
      </c>
      <c r="B275" s="278">
        <v>2730</v>
      </c>
      <c r="C275" s="278">
        <v>60460</v>
      </c>
      <c r="D275" s="278">
        <v>42960</v>
      </c>
      <c r="E275" s="278">
        <v>22550</v>
      </c>
      <c r="F275" s="278">
        <v>17810</v>
      </c>
      <c r="G275" s="278">
        <v>14440</v>
      </c>
      <c r="H275" s="278">
        <v>11060</v>
      </c>
      <c r="I275" s="278">
        <v>7690</v>
      </c>
      <c r="J275" s="278">
        <v>4310</v>
      </c>
      <c r="K275" s="276">
        <v>0</v>
      </c>
      <c r="L275" s="276">
        <v>0</v>
      </c>
      <c r="M275" s="276">
        <v>0</v>
      </c>
    </row>
    <row r="276" spans="1:13" ht="15" customHeight="1">
      <c r="A276" s="278">
        <v>2730</v>
      </c>
      <c r="B276" s="278">
        <v>2740</v>
      </c>
      <c r="C276" s="278">
        <v>61310</v>
      </c>
      <c r="D276" s="278">
        <v>43810</v>
      </c>
      <c r="E276" s="278">
        <v>22880</v>
      </c>
      <c r="F276" s="278">
        <v>18030</v>
      </c>
      <c r="G276" s="278">
        <v>14650</v>
      </c>
      <c r="H276" s="278">
        <v>11280</v>
      </c>
      <c r="I276" s="278">
        <v>7900</v>
      </c>
      <c r="J276" s="278">
        <v>4530</v>
      </c>
      <c r="K276" s="278">
        <v>1150</v>
      </c>
      <c r="L276" s="276">
        <v>0</v>
      </c>
      <c r="M276" s="276">
        <v>0</v>
      </c>
    </row>
    <row r="277" spans="1:13" ht="15" customHeight="1">
      <c r="A277" s="278">
        <v>2740</v>
      </c>
      <c r="B277" s="278">
        <v>2750</v>
      </c>
      <c r="C277" s="278">
        <v>62170</v>
      </c>
      <c r="D277" s="278">
        <v>44670</v>
      </c>
      <c r="E277" s="278">
        <v>23210</v>
      </c>
      <c r="F277" s="278">
        <v>18240</v>
      </c>
      <c r="G277" s="278">
        <v>14860</v>
      </c>
      <c r="H277" s="278">
        <v>11490</v>
      </c>
      <c r="I277" s="278">
        <v>8110</v>
      </c>
      <c r="J277" s="278">
        <v>4740</v>
      </c>
      <c r="K277" s="278">
        <v>1360</v>
      </c>
      <c r="L277" s="276">
        <v>0</v>
      </c>
      <c r="M277" s="276">
        <v>0</v>
      </c>
    </row>
    <row r="278" spans="1:13" ht="15" customHeight="1">
      <c r="A278" s="278">
        <v>2750</v>
      </c>
      <c r="B278" s="278">
        <v>2760</v>
      </c>
      <c r="C278" s="278">
        <v>63030</v>
      </c>
      <c r="D278" s="278">
        <v>45530</v>
      </c>
      <c r="E278" s="278">
        <v>23540</v>
      </c>
      <c r="F278" s="278">
        <v>18450</v>
      </c>
      <c r="G278" s="278">
        <v>15070</v>
      </c>
      <c r="H278" s="278">
        <v>11700</v>
      </c>
      <c r="I278" s="278">
        <v>8320</v>
      </c>
      <c r="J278" s="278">
        <v>4950</v>
      </c>
      <c r="K278" s="278">
        <v>1570</v>
      </c>
      <c r="L278" s="276">
        <v>0</v>
      </c>
      <c r="M278" s="276">
        <v>0</v>
      </c>
    </row>
    <row r="279" spans="1:13" ht="15" customHeight="1">
      <c r="A279" s="278">
        <v>2760</v>
      </c>
      <c r="B279" s="278">
        <v>2770</v>
      </c>
      <c r="C279" s="278">
        <v>63880</v>
      </c>
      <c r="D279" s="278">
        <v>46380</v>
      </c>
      <c r="E279" s="278">
        <v>23870</v>
      </c>
      <c r="F279" s="278">
        <v>18660</v>
      </c>
      <c r="G279" s="278">
        <v>15290</v>
      </c>
      <c r="H279" s="278">
        <v>11910</v>
      </c>
      <c r="I279" s="278">
        <v>8540</v>
      </c>
      <c r="J279" s="278">
        <v>5160</v>
      </c>
      <c r="K279" s="278">
        <v>1790</v>
      </c>
      <c r="L279" s="276">
        <v>0</v>
      </c>
      <c r="M279" s="276">
        <v>0</v>
      </c>
    </row>
    <row r="280" spans="1:13" ht="15" customHeight="1">
      <c r="A280" s="278">
        <v>2770</v>
      </c>
      <c r="B280" s="278">
        <v>2780</v>
      </c>
      <c r="C280" s="278">
        <v>64740</v>
      </c>
      <c r="D280" s="278">
        <v>47240</v>
      </c>
      <c r="E280" s="278">
        <v>24200</v>
      </c>
      <c r="F280" s="278">
        <v>18950</v>
      </c>
      <c r="G280" s="278">
        <v>15500</v>
      </c>
      <c r="H280" s="278">
        <v>12120</v>
      </c>
      <c r="I280" s="278">
        <v>8750</v>
      </c>
      <c r="J280" s="278">
        <v>5370</v>
      </c>
      <c r="K280" s="278">
        <v>2000</v>
      </c>
      <c r="L280" s="276">
        <v>0</v>
      </c>
      <c r="M280" s="276">
        <v>0</v>
      </c>
    </row>
    <row r="281" spans="1:13" ht="15" customHeight="1">
      <c r="A281" s="278">
        <v>2780</v>
      </c>
      <c r="B281" s="278">
        <v>2790</v>
      </c>
      <c r="C281" s="278">
        <v>65590</v>
      </c>
      <c r="D281" s="278">
        <v>48090</v>
      </c>
      <c r="E281" s="278">
        <v>24520</v>
      </c>
      <c r="F281" s="278">
        <v>19270</v>
      </c>
      <c r="G281" s="278">
        <v>15710</v>
      </c>
      <c r="H281" s="278">
        <v>12340</v>
      </c>
      <c r="I281" s="278">
        <v>8960</v>
      </c>
      <c r="J281" s="278">
        <v>5590</v>
      </c>
      <c r="K281" s="278">
        <v>2210</v>
      </c>
      <c r="L281" s="276">
        <v>0</v>
      </c>
      <c r="M281" s="276">
        <v>0</v>
      </c>
    </row>
    <row r="282" spans="1:13" ht="15" customHeight="1">
      <c r="A282" s="278">
        <v>2790</v>
      </c>
      <c r="B282" s="278">
        <v>2800</v>
      </c>
      <c r="C282" s="278">
        <v>66450</v>
      </c>
      <c r="D282" s="278">
        <v>48950</v>
      </c>
      <c r="E282" s="278">
        <v>24850</v>
      </c>
      <c r="F282" s="278">
        <v>19600</v>
      </c>
      <c r="G282" s="278">
        <v>15920</v>
      </c>
      <c r="H282" s="278">
        <v>12550</v>
      </c>
      <c r="I282" s="278">
        <v>9170</v>
      </c>
      <c r="J282" s="278">
        <v>5800</v>
      </c>
      <c r="K282" s="278">
        <v>2420</v>
      </c>
      <c r="L282" s="276">
        <v>0</v>
      </c>
      <c r="M282" s="276">
        <v>0</v>
      </c>
    </row>
    <row r="283" spans="1:13" ht="15" customHeight="1">
      <c r="A283" s="278">
        <v>2800</v>
      </c>
      <c r="B283" s="278">
        <v>2810</v>
      </c>
      <c r="C283" s="278">
        <v>67300</v>
      </c>
      <c r="D283" s="278">
        <v>49800</v>
      </c>
      <c r="E283" s="278">
        <v>25180</v>
      </c>
      <c r="F283" s="278">
        <v>19930</v>
      </c>
      <c r="G283" s="278">
        <v>16130</v>
      </c>
      <c r="H283" s="278">
        <v>12760</v>
      </c>
      <c r="I283" s="278">
        <v>9380</v>
      </c>
      <c r="J283" s="278">
        <v>6010</v>
      </c>
      <c r="K283" s="278">
        <v>2630</v>
      </c>
      <c r="L283" s="276">
        <v>0</v>
      </c>
      <c r="M283" s="276">
        <v>0</v>
      </c>
    </row>
    <row r="284" spans="1:13" ht="15" customHeight="1">
      <c r="A284" s="278">
        <v>2810</v>
      </c>
      <c r="B284" s="278">
        <v>2820</v>
      </c>
      <c r="C284" s="278">
        <v>68160</v>
      </c>
      <c r="D284" s="278">
        <v>50660</v>
      </c>
      <c r="E284" s="278">
        <v>25510</v>
      </c>
      <c r="F284" s="278">
        <v>20260</v>
      </c>
      <c r="G284" s="278">
        <v>16350</v>
      </c>
      <c r="H284" s="278">
        <v>12970</v>
      </c>
      <c r="I284" s="278">
        <v>9600</v>
      </c>
      <c r="J284" s="278">
        <v>6220</v>
      </c>
      <c r="K284" s="278">
        <v>2850</v>
      </c>
      <c r="L284" s="276">
        <v>0</v>
      </c>
      <c r="M284" s="276">
        <v>0</v>
      </c>
    </row>
    <row r="285" spans="1:13" ht="15" customHeight="1">
      <c r="A285" s="278">
        <v>2820</v>
      </c>
      <c r="B285" s="278">
        <v>2830</v>
      </c>
      <c r="C285" s="278">
        <v>69020</v>
      </c>
      <c r="D285" s="278">
        <v>51520</v>
      </c>
      <c r="E285" s="278">
        <v>25840</v>
      </c>
      <c r="F285" s="278">
        <v>20590</v>
      </c>
      <c r="G285" s="278">
        <v>16560</v>
      </c>
      <c r="H285" s="278">
        <v>13180</v>
      </c>
      <c r="I285" s="278">
        <v>9810</v>
      </c>
      <c r="J285" s="278">
        <v>6430</v>
      </c>
      <c r="K285" s="278">
        <v>3060</v>
      </c>
      <c r="L285" s="276">
        <v>0</v>
      </c>
      <c r="M285" s="276">
        <v>0</v>
      </c>
    </row>
    <row r="286" spans="1:13" ht="15" customHeight="1">
      <c r="A286" s="278">
        <v>2830</v>
      </c>
      <c r="B286" s="278">
        <v>2840</v>
      </c>
      <c r="C286" s="278">
        <v>69870</v>
      </c>
      <c r="D286" s="278">
        <v>52370</v>
      </c>
      <c r="E286" s="278">
        <v>26170</v>
      </c>
      <c r="F286" s="278">
        <v>20920</v>
      </c>
      <c r="G286" s="278">
        <v>16770</v>
      </c>
      <c r="H286" s="278">
        <v>13400</v>
      </c>
      <c r="I286" s="278">
        <v>10020</v>
      </c>
      <c r="J286" s="278">
        <v>6650</v>
      </c>
      <c r="K286" s="278">
        <v>3270</v>
      </c>
      <c r="L286" s="276">
        <v>0</v>
      </c>
      <c r="M286" s="276">
        <v>0</v>
      </c>
    </row>
    <row r="287" spans="1:13" ht="15" customHeight="1">
      <c r="A287" s="278">
        <v>2840</v>
      </c>
      <c r="B287" s="278">
        <v>2850</v>
      </c>
      <c r="C287" s="278">
        <v>70730</v>
      </c>
      <c r="D287" s="278">
        <v>53230</v>
      </c>
      <c r="E287" s="278">
        <v>26500</v>
      </c>
      <c r="F287" s="278">
        <v>21250</v>
      </c>
      <c r="G287" s="278">
        <v>16980</v>
      </c>
      <c r="H287" s="278">
        <v>13610</v>
      </c>
      <c r="I287" s="278">
        <v>10230</v>
      </c>
      <c r="J287" s="278">
        <v>6860</v>
      </c>
      <c r="K287" s="278">
        <v>3480</v>
      </c>
      <c r="L287" s="276">
        <v>0</v>
      </c>
      <c r="M287" s="276">
        <v>0</v>
      </c>
    </row>
    <row r="288" spans="1:13" ht="15" customHeight="1">
      <c r="A288" s="278">
        <v>2850</v>
      </c>
      <c r="B288" s="278">
        <v>2860</v>
      </c>
      <c r="C288" s="278">
        <v>71580</v>
      </c>
      <c r="D288" s="278">
        <v>54080</v>
      </c>
      <c r="E288" s="278">
        <v>26830</v>
      </c>
      <c r="F288" s="278">
        <v>21580</v>
      </c>
      <c r="G288" s="278">
        <v>17190</v>
      </c>
      <c r="H288" s="278">
        <v>13820</v>
      </c>
      <c r="I288" s="278">
        <v>10440</v>
      </c>
      <c r="J288" s="278">
        <v>7070</v>
      </c>
      <c r="K288" s="278">
        <v>3690</v>
      </c>
      <c r="L288" s="276">
        <v>0</v>
      </c>
      <c r="M288" s="276">
        <v>0</v>
      </c>
    </row>
    <row r="289" spans="1:13" ht="15" customHeight="1">
      <c r="A289" s="278">
        <v>2860</v>
      </c>
      <c r="B289" s="278">
        <v>2870</v>
      </c>
      <c r="C289" s="278">
        <v>72440</v>
      </c>
      <c r="D289" s="278">
        <v>54940</v>
      </c>
      <c r="E289" s="278">
        <v>27160</v>
      </c>
      <c r="F289" s="278">
        <v>21910</v>
      </c>
      <c r="G289" s="278">
        <v>17410</v>
      </c>
      <c r="H289" s="278">
        <v>14030</v>
      </c>
      <c r="I289" s="278">
        <v>10660</v>
      </c>
      <c r="J289" s="278">
        <v>7280</v>
      </c>
      <c r="K289" s="278">
        <v>3910</v>
      </c>
      <c r="L289" s="276">
        <v>0</v>
      </c>
      <c r="M289" s="276">
        <v>0</v>
      </c>
    </row>
    <row r="290" spans="1:13" ht="15" customHeight="1">
      <c r="A290" s="278">
        <v>2870</v>
      </c>
      <c r="B290" s="278">
        <v>2880</v>
      </c>
      <c r="C290" s="278">
        <v>73290</v>
      </c>
      <c r="D290" s="278">
        <v>55790</v>
      </c>
      <c r="E290" s="278">
        <v>27490</v>
      </c>
      <c r="F290" s="278">
        <v>22240</v>
      </c>
      <c r="G290" s="278">
        <v>17620</v>
      </c>
      <c r="H290" s="278">
        <v>14240</v>
      </c>
      <c r="I290" s="278">
        <v>10870</v>
      </c>
      <c r="J290" s="278">
        <v>7490</v>
      </c>
      <c r="K290" s="278">
        <v>4120</v>
      </c>
      <c r="L290" s="276">
        <v>0</v>
      </c>
      <c r="M290" s="276">
        <v>0</v>
      </c>
    </row>
    <row r="291" spans="1:13" ht="15" customHeight="1">
      <c r="A291" s="278">
        <v>2880</v>
      </c>
      <c r="B291" s="278">
        <v>2890</v>
      </c>
      <c r="C291" s="278">
        <v>74150</v>
      </c>
      <c r="D291" s="278">
        <v>56650</v>
      </c>
      <c r="E291" s="278">
        <v>27820</v>
      </c>
      <c r="F291" s="278">
        <v>22570</v>
      </c>
      <c r="G291" s="278">
        <v>17830</v>
      </c>
      <c r="H291" s="278">
        <v>14460</v>
      </c>
      <c r="I291" s="278">
        <v>11080</v>
      </c>
      <c r="J291" s="278">
        <v>7710</v>
      </c>
      <c r="K291" s="278">
        <v>4330</v>
      </c>
      <c r="L291" s="276">
        <v>0</v>
      </c>
      <c r="M291" s="276">
        <v>0</v>
      </c>
    </row>
    <row r="292" spans="1:13" ht="15" customHeight="1">
      <c r="A292" s="278">
        <v>2890</v>
      </c>
      <c r="B292" s="278">
        <v>2900</v>
      </c>
      <c r="C292" s="278">
        <v>75010</v>
      </c>
      <c r="D292" s="278">
        <v>57510</v>
      </c>
      <c r="E292" s="278">
        <v>28150</v>
      </c>
      <c r="F292" s="278">
        <v>22900</v>
      </c>
      <c r="G292" s="278">
        <v>18040</v>
      </c>
      <c r="H292" s="278">
        <v>14670</v>
      </c>
      <c r="I292" s="278">
        <v>11290</v>
      </c>
      <c r="J292" s="278">
        <v>7920</v>
      </c>
      <c r="K292" s="278">
        <v>4540</v>
      </c>
      <c r="L292" s="278">
        <v>1170</v>
      </c>
      <c r="M292" s="276">
        <v>0</v>
      </c>
    </row>
    <row r="293" spans="1:13" ht="15" customHeight="1">
      <c r="A293" s="278">
        <v>2900</v>
      </c>
      <c r="B293" s="278">
        <v>2910</v>
      </c>
      <c r="C293" s="278">
        <v>75860</v>
      </c>
      <c r="D293" s="278">
        <v>58360</v>
      </c>
      <c r="E293" s="278">
        <v>28480</v>
      </c>
      <c r="F293" s="278">
        <v>23230</v>
      </c>
      <c r="G293" s="278">
        <v>18250</v>
      </c>
      <c r="H293" s="278">
        <v>14880</v>
      </c>
      <c r="I293" s="278">
        <v>11500</v>
      </c>
      <c r="J293" s="278">
        <v>8130</v>
      </c>
      <c r="K293" s="278">
        <v>4750</v>
      </c>
      <c r="L293" s="278">
        <v>1380</v>
      </c>
      <c r="M293" s="276">
        <v>0</v>
      </c>
    </row>
    <row r="294" spans="1:13" ht="15" customHeight="1">
      <c r="A294" s="278">
        <v>2910</v>
      </c>
      <c r="B294" s="278">
        <v>2920</v>
      </c>
      <c r="C294" s="278">
        <v>76720</v>
      </c>
      <c r="D294" s="278">
        <v>59220</v>
      </c>
      <c r="E294" s="278">
        <v>28810</v>
      </c>
      <c r="F294" s="278">
        <v>23560</v>
      </c>
      <c r="G294" s="278">
        <v>18470</v>
      </c>
      <c r="H294" s="278">
        <v>15090</v>
      </c>
      <c r="I294" s="278">
        <v>11720</v>
      </c>
      <c r="J294" s="278">
        <v>8340</v>
      </c>
      <c r="K294" s="278">
        <v>4970</v>
      </c>
      <c r="L294" s="278">
        <v>1590</v>
      </c>
      <c r="M294" s="276">
        <v>0</v>
      </c>
    </row>
    <row r="295" spans="1:13" ht="15" customHeight="1">
      <c r="A295" s="278">
        <v>2920</v>
      </c>
      <c r="B295" s="278">
        <v>2930</v>
      </c>
      <c r="C295" s="278">
        <v>77570</v>
      </c>
      <c r="D295" s="278">
        <v>60070</v>
      </c>
      <c r="E295" s="278">
        <v>29140</v>
      </c>
      <c r="F295" s="278">
        <v>23890</v>
      </c>
      <c r="G295" s="278">
        <v>18680</v>
      </c>
      <c r="H295" s="278">
        <v>15300</v>
      </c>
      <c r="I295" s="278">
        <v>11930</v>
      </c>
      <c r="J295" s="278">
        <v>8550</v>
      </c>
      <c r="K295" s="278">
        <v>5180</v>
      </c>
      <c r="L295" s="278">
        <v>1800</v>
      </c>
      <c r="M295" s="276">
        <v>0</v>
      </c>
    </row>
    <row r="296" spans="1:13" ht="15" customHeight="1">
      <c r="A296" s="278">
        <v>2930</v>
      </c>
      <c r="B296" s="278">
        <v>2940</v>
      </c>
      <c r="C296" s="278">
        <v>78430</v>
      </c>
      <c r="D296" s="278">
        <v>60930</v>
      </c>
      <c r="E296" s="278">
        <v>29470</v>
      </c>
      <c r="F296" s="278">
        <v>24220</v>
      </c>
      <c r="G296" s="278">
        <v>18970</v>
      </c>
      <c r="H296" s="278">
        <v>15510</v>
      </c>
      <c r="I296" s="278">
        <v>12140</v>
      </c>
      <c r="J296" s="278">
        <v>8760</v>
      </c>
      <c r="K296" s="278">
        <v>5390</v>
      </c>
      <c r="L296" s="278">
        <v>2010</v>
      </c>
      <c r="M296" s="276">
        <v>0</v>
      </c>
    </row>
    <row r="297" spans="1:13" ht="15" customHeight="1">
      <c r="A297" s="278">
        <v>2940</v>
      </c>
      <c r="B297" s="278">
        <v>2950</v>
      </c>
      <c r="C297" s="278">
        <v>79280</v>
      </c>
      <c r="D297" s="278">
        <v>61780</v>
      </c>
      <c r="E297" s="278">
        <v>29800</v>
      </c>
      <c r="F297" s="278">
        <v>24550</v>
      </c>
      <c r="G297" s="278">
        <v>19300</v>
      </c>
      <c r="H297" s="278">
        <v>15730</v>
      </c>
      <c r="I297" s="278">
        <v>12350</v>
      </c>
      <c r="J297" s="278">
        <v>8980</v>
      </c>
      <c r="K297" s="278">
        <v>5600</v>
      </c>
      <c r="L297" s="278">
        <v>2230</v>
      </c>
      <c r="M297" s="276">
        <v>0</v>
      </c>
    </row>
    <row r="298" spans="1:13" ht="15" customHeight="1">
      <c r="A298" s="278">
        <v>2950</v>
      </c>
      <c r="B298" s="278">
        <v>2960</v>
      </c>
      <c r="C298" s="278">
        <v>80140</v>
      </c>
      <c r="D298" s="278">
        <v>62640</v>
      </c>
      <c r="E298" s="278">
        <v>30130</v>
      </c>
      <c r="F298" s="278">
        <v>24880</v>
      </c>
      <c r="G298" s="278">
        <v>19630</v>
      </c>
      <c r="H298" s="278">
        <v>15940</v>
      </c>
      <c r="I298" s="278">
        <v>12560</v>
      </c>
      <c r="J298" s="278">
        <v>9190</v>
      </c>
      <c r="K298" s="278">
        <v>5810</v>
      </c>
      <c r="L298" s="278">
        <v>2440</v>
      </c>
      <c r="M298" s="276">
        <v>0</v>
      </c>
    </row>
    <row r="299" spans="1:13" ht="15" customHeight="1">
      <c r="A299" s="278">
        <v>2960</v>
      </c>
      <c r="B299" s="278">
        <v>2970</v>
      </c>
      <c r="C299" s="278">
        <v>81000</v>
      </c>
      <c r="D299" s="278">
        <v>63500</v>
      </c>
      <c r="E299" s="278">
        <v>30460</v>
      </c>
      <c r="F299" s="278">
        <v>25210</v>
      </c>
      <c r="G299" s="278">
        <v>19960</v>
      </c>
      <c r="H299" s="278">
        <v>16150</v>
      </c>
      <c r="I299" s="278">
        <v>12780</v>
      </c>
      <c r="J299" s="278">
        <v>9400</v>
      </c>
      <c r="K299" s="278">
        <v>6030</v>
      </c>
      <c r="L299" s="278">
        <v>2650</v>
      </c>
      <c r="M299" s="276">
        <v>0</v>
      </c>
    </row>
    <row r="300" spans="1:13" ht="15" customHeight="1">
      <c r="A300" s="278">
        <v>2970</v>
      </c>
      <c r="B300" s="278">
        <v>2980</v>
      </c>
      <c r="C300" s="278">
        <v>81850</v>
      </c>
      <c r="D300" s="278">
        <v>64350</v>
      </c>
      <c r="E300" s="278">
        <v>30790</v>
      </c>
      <c r="F300" s="278">
        <v>25540</v>
      </c>
      <c r="G300" s="278">
        <v>20290</v>
      </c>
      <c r="H300" s="278">
        <v>16360</v>
      </c>
      <c r="I300" s="278">
        <v>12990</v>
      </c>
      <c r="J300" s="278">
        <v>9610</v>
      </c>
      <c r="K300" s="278">
        <v>6240</v>
      </c>
      <c r="L300" s="278">
        <v>2860</v>
      </c>
      <c r="M300" s="276">
        <v>0</v>
      </c>
    </row>
    <row r="301" spans="1:13" ht="15" customHeight="1">
      <c r="A301" s="278">
        <v>2980</v>
      </c>
      <c r="B301" s="278">
        <v>2990</v>
      </c>
      <c r="C301" s="278">
        <v>82710</v>
      </c>
      <c r="D301" s="278">
        <v>65210</v>
      </c>
      <c r="E301" s="278">
        <v>31120</v>
      </c>
      <c r="F301" s="278">
        <v>25870</v>
      </c>
      <c r="G301" s="278">
        <v>20620</v>
      </c>
      <c r="H301" s="278">
        <v>16570</v>
      </c>
      <c r="I301" s="278">
        <v>13200</v>
      </c>
      <c r="J301" s="278">
        <v>9820</v>
      </c>
      <c r="K301" s="278">
        <v>6450</v>
      </c>
      <c r="L301" s="278">
        <v>3070</v>
      </c>
      <c r="M301" s="276">
        <v>0</v>
      </c>
    </row>
    <row r="302" spans="1:13" ht="15" customHeight="1">
      <c r="A302" s="278">
        <v>2990</v>
      </c>
      <c r="B302" s="278">
        <v>3000</v>
      </c>
      <c r="C302" s="278">
        <v>83560</v>
      </c>
      <c r="D302" s="278">
        <v>66060</v>
      </c>
      <c r="E302" s="278">
        <v>31450</v>
      </c>
      <c r="F302" s="278">
        <v>26200</v>
      </c>
      <c r="G302" s="278">
        <v>20950</v>
      </c>
      <c r="H302" s="278">
        <v>16790</v>
      </c>
      <c r="I302" s="278">
        <v>13410</v>
      </c>
      <c r="J302" s="278">
        <v>10040</v>
      </c>
      <c r="K302" s="278">
        <v>6660</v>
      </c>
      <c r="L302" s="278">
        <v>3290</v>
      </c>
      <c r="M302" s="276">
        <v>0</v>
      </c>
    </row>
    <row r="303" spans="1:13" ht="15" customHeight="1">
      <c r="A303" s="278">
        <v>3000</v>
      </c>
      <c r="B303" s="278">
        <v>3020</v>
      </c>
      <c r="C303" s="278">
        <v>84850</v>
      </c>
      <c r="D303" s="278">
        <v>67350</v>
      </c>
      <c r="E303" s="278">
        <v>32490</v>
      </c>
      <c r="F303" s="278">
        <v>26690</v>
      </c>
      <c r="G303" s="278">
        <v>21440</v>
      </c>
      <c r="H303" s="278">
        <v>17100</v>
      </c>
      <c r="I303" s="278">
        <v>13730</v>
      </c>
      <c r="J303" s="278">
        <v>10350</v>
      </c>
      <c r="K303" s="278">
        <v>6980</v>
      </c>
      <c r="L303" s="278">
        <v>3600</v>
      </c>
      <c r="M303" s="276">
        <v>0</v>
      </c>
    </row>
    <row r="304" spans="1:13" ht="15" customHeight="1">
      <c r="A304" s="278">
        <v>3020</v>
      </c>
      <c r="B304" s="278">
        <v>3040</v>
      </c>
      <c r="C304" s="278">
        <v>86560</v>
      </c>
      <c r="D304" s="278">
        <v>69060</v>
      </c>
      <c r="E304" s="278">
        <v>34140</v>
      </c>
      <c r="F304" s="278">
        <v>27350</v>
      </c>
      <c r="G304" s="278">
        <v>22100</v>
      </c>
      <c r="H304" s="278">
        <v>17530</v>
      </c>
      <c r="I304" s="278">
        <v>14150</v>
      </c>
      <c r="J304" s="278">
        <v>10780</v>
      </c>
      <c r="K304" s="278">
        <v>7400</v>
      </c>
      <c r="L304" s="278">
        <v>4030</v>
      </c>
      <c r="M304" s="276">
        <v>0</v>
      </c>
    </row>
    <row r="305" spans="1:13" ht="15" customHeight="1">
      <c r="A305" s="278">
        <v>3040</v>
      </c>
      <c r="B305" s="278">
        <v>3060</v>
      </c>
      <c r="C305" s="278">
        <v>88270</v>
      </c>
      <c r="D305" s="278">
        <v>70770</v>
      </c>
      <c r="E305" s="278">
        <v>35790</v>
      </c>
      <c r="F305" s="278">
        <v>28010</v>
      </c>
      <c r="G305" s="278">
        <v>22760</v>
      </c>
      <c r="H305" s="278">
        <v>17950</v>
      </c>
      <c r="I305" s="278">
        <v>14580</v>
      </c>
      <c r="J305" s="278">
        <v>11200</v>
      </c>
      <c r="K305" s="278">
        <v>7830</v>
      </c>
      <c r="L305" s="278">
        <v>4450</v>
      </c>
      <c r="M305" s="278">
        <v>1080</v>
      </c>
    </row>
    <row r="306" spans="1:13" ht="15" customHeight="1">
      <c r="A306" s="278">
        <v>3060</v>
      </c>
      <c r="B306" s="278">
        <v>3080</v>
      </c>
      <c r="C306" s="278">
        <v>89980</v>
      </c>
      <c r="D306" s="278">
        <v>72480</v>
      </c>
      <c r="E306" s="278">
        <v>37440</v>
      </c>
      <c r="F306" s="278">
        <v>28670</v>
      </c>
      <c r="G306" s="278">
        <v>23420</v>
      </c>
      <c r="H306" s="278">
        <v>18380</v>
      </c>
      <c r="I306" s="278">
        <v>15000</v>
      </c>
      <c r="J306" s="278">
        <v>11630</v>
      </c>
      <c r="K306" s="278">
        <v>8250</v>
      </c>
      <c r="L306" s="278">
        <v>4880</v>
      </c>
      <c r="M306" s="278">
        <v>1500</v>
      </c>
    </row>
    <row r="307" spans="1:13" ht="15" customHeight="1">
      <c r="A307" s="278">
        <v>3080</v>
      </c>
      <c r="B307" s="278">
        <v>3100</v>
      </c>
      <c r="C307" s="278">
        <v>91690</v>
      </c>
      <c r="D307" s="278">
        <v>74190</v>
      </c>
      <c r="E307" s="278">
        <v>39080</v>
      </c>
      <c r="F307" s="278">
        <v>29330</v>
      </c>
      <c r="G307" s="278">
        <v>24080</v>
      </c>
      <c r="H307" s="278">
        <v>18830</v>
      </c>
      <c r="I307" s="278">
        <v>15430</v>
      </c>
      <c r="J307" s="278">
        <v>12050</v>
      </c>
      <c r="K307" s="278">
        <v>8680</v>
      </c>
      <c r="L307" s="278">
        <v>5300</v>
      </c>
      <c r="M307" s="278">
        <v>1930</v>
      </c>
    </row>
    <row r="308" spans="1:13" ht="15" customHeight="1">
      <c r="A308" s="278">
        <v>3100</v>
      </c>
      <c r="B308" s="278">
        <v>3120</v>
      </c>
      <c r="C308" s="278">
        <v>93400</v>
      </c>
      <c r="D308" s="278">
        <v>75900</v>
      </c>
      <c r="E308" s="278">
        <v>40730</v>
      </c>
      <c r="F308" s="278">
        <v>29990</v>
      </c>
      <c r="G308" s="278">
        <v>24740</v>
      </c>
      <c r="H308" s="278">
        <v>19490</v>
      </c>
      <c r="I308" s="278">
        <v>15850</v>
      </c>
      <c r="J308" s="278">
        <v>12470</v>
      </c>
      <c r="K308" s="278">
        <v>9100</v>
      </c>
      <c r="L308" s="278">
        <v>5720</v>
      </c>
      <c r="M308" s="278">
        <v>2350</v>
      </c>
    </row>
    <row r="309" spans="1:13" ht="15" customHeight="1">
      <c r="A309" s="278">
        <v>3120</v>
      </c>
      <c r="B309" s="278">
        <v>3140</v>
      </c>
      <c r="C309" s="278">
        <v>95760</v>
      </c>
      <c r="D309" s="278">
        <v>77620</v>
      </c>
      <c r="E309" s="278">
        <v>42380</v>
      </c>
      <c r="F309" s="278">
        <v>30650</v>
      </c>
      <c r="G309" s="278">
        <v>25400</v>
      </c>
      <c r="H309" s="278">
        <v>20150</v>
      </c>
      <c r="I309" s="278">
        <v>16270</v>
      </c>
      <c r="J309" s="278">
        <v>12900</v>
      </c>
      <c r="K309" s="278">
        <v>9520</v>
      </c>
      <c r="L309" s="278">
        <v>6150</v>
      </c>
      <c r="M309" s="278">
        <v>2770</v>
      </c>
    </row>
    <row r="310" spans="1:13" ht="15" customHeight="1">
      <c r="A310" s="278">
        <v>3140</v>
      </c>
      <c r="B310" s="278">
        <v>3160</v>
      </c>
      <c r="C310" s="278">
        <v>98210</v>
      </c>
      <c r="D310" s="278">
        <v>79330</v>
      </c>
      <c r="E310" s="278">
        <v>44030</v>
      </c>
      <c r="F310" s="278">
        <v>31310</v>
      </c>
      <c r="G310" s="278">
        <v>26060</v>
      </c>
      <c r="H310" s="278">
        <v>20810</v>
      </c>
      <c r="I310" s="278">
        <v>16700</v>
      </c>
      <c r="J310" s="278">
        <v>13320</v>
      </c>
      <c r="K310" s="278">
        <v>9950</v>
      </c>
      <c r="L310" s="278">
        <v>6570</v>
      </c>
      <c r="M310" s="278">
        <v>3200</v>
      </c>
    </row>
    <row r="311" spans="1:13" ht="15" customHeight="1">
      <c r="A311" s="278">
        <v>3160</v>
      </c>
      <c r="B311" s="278">
        <v>3180</v>
      </c>
      <c r="C311" s="278">
        <v>100650</v>
      </c>
      <c r="D311" s="278">
        <v>81040</v>
      </c>
      <c r="E311" s="278">
        <v>45680</v>
      </c>
      <c r="F311" s="278">
        <v>32550</v>
      </c>
      <c r="G311" s="278">
        <v>26720</v>
      </c>
      <c r="H311" s="278">
        <v>21470</v>
      </c>
      <c r="I311" s="278">
        <v>17120</v>
      </c>
      <c r="J311" s="278">
        <v>13750</v>
      </c>
      <c r="K311" s="278">
        <v>10370</v>
      </c>
      <c r="L311" s="278">
        <v>7000</v>
      </c>
      <c r="M311" s="278">
        <v>3620</v>
      </c>
    </row>
    <row r="312" spans="1:13" ht="15" customHeight="1">
      <c r="A312" s="278">
        <v>3180</v>
      </c>
      <c r="B312" s="278">
        <v>3200</v>
      </c>
      <c r="C312" s="278">
        <v>103100</v>
      </c>
      <c r="D312" s="278">
        <v>82750</v>
      </c>
      <c r="E312" s="278">
        <v>47330</v>
      </c>
      <c r="F312" s="278">
        <v>34200</v>
      </c>
      <c r="G312" s="278">
        <v>27380</v>
      </c>
      <c r="H312" s="278">
        <v>22130</v>
      </c>
      <c r="I312" s="278">
        <v>17540</v>
      </c>
      <c r="J312" s="278">
        <v>14170</v>
      </c>
      <c r="K312" s="278">
        <v>10790</v>
      </c>
      <c r="L312" s="278">
        <v>7420</v>
      </c>
      <c r="M312" s="278">
        <v>4040</v>
      </c>
    </row>
    <row r="313" spans="1:13" ht="15" customHeight="1">
      <c r="A313" s="278">
        <v>3200</v>
      </c>
      <c r="B313" s="278">
        <v>3220</v>
      </c>
      <c r="C313" s="278">
        <v>105540</v>
      </c>
      <c r="D313" s="278">
        <v>84460</v>
      </c>
      <c r="E313" s="278">
        <v>48980</v>
      </c>
      <c r="F313" s="278">
        <v>35850</v>
      </c>
      <c r="G313" s="278">
        <v>28040</v>
      </c>
      <c r="H313" s="278">
        <v>22790</v>
      </c>
      <c r="I313" s="278">
        <v>17970</v>
      </c>
      <c r="J313" s="278">
        <v>14590</v>
      </c>
      <c r="K313" s="278">
        <v>11220</v>
      </c>
      <c r="L313" s="278">
        <v>7840</v>
      </c>
      <c r="M313" s="278">
        <v>4470</v>
      </c>
    </row>
    <row r="314" spans="1:13" ht="15" customHeight="1">
      <c r="A314" s="278">
        <v>3220</v>
      </c>
      <c r="B314" s="278">
        <v>3240</v>
      </c>
      <c r="C314" s="278">
        <v>107990</v>
      </c>
      <c r="D314" s="278">
        <v>86170</v>
      </c>
      <c r="E314" s="278">
        <v>50620</v>
      </c>
      <c r="F314" s="278">
        <v>37500</v>
      </c>
      <c r="G314" s="278">
        <v>28700</v>
      </c>
      <c r="H314" s="278">
        <v>23450</v>
      </c>
      <c r="I314" s="278">
        <v>18390</v>
      </c>
      <c r="J314" s="278">
        <v>15020</v>
      </c>
      <c r="K314" s="278">
        <v>11640</v>
      </c>
      <c r="L314" s="278">
        <v>8270</v>
      </c>
      <c r="M314" s="278">
        <v>4890</v>
      </c>
    </row>
    <row r="315" spans="1:13" ht="15" customHeight="1">
      <c r="A315" s="278">
        <v>3240</v>
      </c>
      <c r="B315" s="278">
        <v>3260</v>
      </c>
      <c r="C315" s="278">
        <v>110430</v>
      </c>
      <c r="D315" s="278">
        <v>87880</v>
      </c>
      <c r="E315" s="278">
        <v>52270</v>
      </c>
      <c r="F315" s="278">
        <v>39150</v>
      </c>
      <c r="G315" s="278">
        <v>29360</v>
      </c>
      <c r="H315" s="278">
        <v>24110</v>
      </c>
      <c r="I315" s="278">
        <v>18860</v>
      </c>
      <c r="J315" s="278">
        <v>15440</v>
      </c>
      <c r="K315" s="278">
        <v>12070</v>
      </c>
      <c r="L315" s="278">
        <v>8690</v>
      </c>
      <c r="M315" s="278">
        <v>5320</v>
      </c>
    </row>
    <row r="316" spans="1:13" ht="15" customHeight="1">
      <c r="A316" s="278">
        <v>3260</v>
      </c>
      <c r="B316" s="278">
        <v>3280</v>
      </c>
      <c r="C316" s="278">
        <v>112880</v>
      </c>
      <c r="D316" s="278">
        <v>89600</v>
      </c>
      <c r="E316" s="278">
        <v>53920</v>
      </c>
      <c r="F316" s="278">
        <v>40800</v>
      </c>
      <c r="G316" s="278">
        <v>30020</v>
      </c>
      <c r="H316" s="278">
        <v>24770</v>
      </c>
      <c r="I316" s="278">
        <v>19520</v>
      </c>
      <c r="J316" s="278">
        <v>15870</v>
      </c>
      <c r="K316" s="278">
        <v>12490</v>
      </c>
      <c r="L316" s="278">
        <v>9120</v>
      </c>
      <c r="M316" s="278">
        <v>5740</v>
      </c>
    </row>
    <row r="317" spans="1:13" ht="15" customHeight="1">
      <c r="A317" s="278">
        <v>3280</v>
      </c>
      <c r="B317" s="278">
        <v>3300</v>
      </c>
      <c r="C317" s="278">
        <v>115320</v>
      </c>
      <c r="D317" s="278">
        <v>91310</v>
      </c>
      <c r="E317" s="278">
        <v>55570</v>
      </c>
      <c r="F317" s="278">
        <v>42440</v>
      </c>
      <c r="G317" s="278">
        <v>30670</v>
      </c>
      <c r="H317" s="278">
        <v>25420</v>
      </c>
      <c r="I317" s="278">
        <v>20170</v>
      </c>
      <c r="J317" s="278">
        <v>16290</v>
      </c>
      <c r="K317" s="278">
        <v>12910</v>
      </c>
      <c r="L317" s="278">
        <v>9540</v>
      </c>
      <c r="M317" s="278">
        <v>6160</v>
      </c>
    </row>
    <row r="318" spans="1:13" ht="15" customHeight="1">
      <c r="A318" s="278">
        <v>3300</v>
      </c>
      <c r="B318" s="278">
        <v>3320</v>
      </c>
      <c r="C318" s="278">
        <v>117770</v>
      </c>
      <c r="D318" s="278">
        <v>93020</v>
      </c>
      <c r="E318" s="278">
        <v>57220</v>
      </c>
      <c r="F318" s="278">
        <v>44090</v>
      </c>
      <c r="G318" s="278">
        <v>31330</v>
      </c>
      <c r="H318" s="278">
        <v>26080</v>
      </c>
      <c r="I318" s="278">
        <v>20830</v>
      </c>
      <c r="J318" s="278">
        <v>16710</v>
      </c>
      <c r="K318" s="278">
        <v>13340</v>
      </c>
      <c r="L318" s="278">
        <v>9960</v>
      </c>
      <c r="M318" s="278">
        <v>6590</v>
      </c>
    </row>
    <row r="319" spans="1:13" ht="15" customHeight="1">
      <c r="A319" s="278">
        <v>3320</v>
      </c>
      <c r="B319" s="278">
        <v>3340</v>
      </c>
      <c r="C319" s="278">
        <v>120210</v>
      </c>
      <c r="D319" s="278">
        <v>95210</v>
      </c>
      <c r="E319" s="278">
        <v>58870</v>
      </c>
      <c r="F319" s="278">
        <v>45740</v>
      </c>
      <c r="G319" s="278">
        <v>32620</v>
      </c>
      <c r="H319" s="278">
        <v>26740</v>
      </c>
      <c r="I319" s="278">
        <v>21490</v>
      </c>
      <c r="J319" s="278">
        <v>17140</v>
      </c>
      <c r="K319" s="278">
        <v>13760</v>
      </c>
      <c r="L319" s="278">
        <v>10390</v>
      </c>
      <c r="M319" s="278">
        <v>7010</v>
      </c>
    </row>
    <row r="320" spans="1:13" ht="15" customHeight="1">
      <c r="A320" s="278">
        <v>3340</v>
      </c>
      <c r="B320" s="278">
        <v>3360</v>
      </c>
      <c r="C320" s="278">
        <v>122660</v>
      </c>
      <c r="D320" s="278">
        <v>97660</v>
      </c>
      <c r="E320" s="278">
        <v>60440</v>
      </c>
      <c r="F320" s="278">
        <v>47320</v>
      </c>
      <c r="G320" s="278">
        <v>34190</v>
      </c>
      <c r="H320" s="278">
        <v>27370</v>
      </c>
      <c r="I320" s="278">
        <v>22120</v>
      </c>
      <c r="J320" s="278">
        <v>17540</v>
      </c>
      <c r="K320" s="278">
        <v>14170</v>
      </c>
      <c r="L320" s="278">
        <v>10790</v>
      </c>
      <c r="M320" s="278">
        <v>7420</v>
      </c>
    </row>
    <row r="321" spans="1:13" ht="15" customHeight="1">
      <c r="A321" s="278">
        <v>3360</v>
      </c>
      <c r="B321" s="278">
        <v>3380</v>
      </c>
      <c r="C321" s="278">
        <v>125100</v>
      </c>
      <c r="D321" s="278">
        <v>100100</v>
      </c>
      <c r="E321" s="278">
        <v>62010</v>
      </c>
      <c r="F321" s="278">
        <v>48880</v>
      </c>
      <c r="G321" s="278">
        <v>35760</v>
      </c>
      <c r="H321" s="278">
        <v>28000</v>
      </c>
      <c r="I321" s="278">
        <v>22750</v>
      </c>
      <c r="J321" s="278">
        <v>17950</v>
      </c>
      <c r="K321" s="278">
        <v>14570</v>
      </c>
      <c r="L321" s="278">
        <v>11200</v>
      </c>
      <c r="M321" s="278">
        <v>7820</v>
      </c>
    </row>
    <row r="322" spans="1:13" ht="15" customHeight="1">
      <c r="A322" s="278">
        <v>3380</v>
      </c>
      <c r="B322" s="278">
        <v>3400</v>
      </c>
      <c r="C322" s="278">
        <v>127550</v>
      </c>
      <c r="D322" s="278">
        <v>102550</v>
      </c>
      <c r="E322" s="278">
        <v>63570</v>
      </c>
      <c r="F322" s="278">
        <v>50450</v>
      </c>
      <c r="G322" s="278">
        <v>37320</v>
      </c>
      <c r="H322" s="278">
        <v>28630</v>
      </c>
      <c r="I322" s="278">
        <v>23380</v>
      </c>
      <c r="J322" s="278">
        <v>18350</v>
      </c>
      <c r="K322" s="278">
        <v>14970</v>
      </c>
      <c r="L322" s="278">
        <v>11600</v>
      </c>
      <c r="M322" s="278">
        <v>8220</v>
      </c>
    </row>
    <row r="323" spans="1:13" ht="15" customHeight="1">
      <c r="A323" s="278">
        <v>3400</v>
      </c>
      <c r="B323" s="278">
        <v>3420</v>
      </c>
      <c r="C323" s="278">
        <v>129990</v>
      </c>
      <c r="D323" s="278">
        <v>104990</v>
      </c>
      <c r="E323" s="278">
        <v>65140</v>
      </c>
      <c r="F323" s="278">
        <v>52010</v>
      </c>
      <c r="G323" s="278">
        <v>38890</v>
      </c>
      <c r="H323" s="278">
        <v>29250</v>
      </c>
      <c r="I323" s="278">
        <v>24000</v>
      </c>
      <c r="J323" s="278">
        <v>18750</v>
      </c>
      <c r="K323" s="278">
        <v>15370</v>
      </c>
      <c r="L323" s="278">
        <v>12000</v>
      </c>
      <c r="M323" s="278">
        <v>8620</v>
      </c>
    </row>
    <row r="324" spans="1:13" ht="15" customHeight="1">
      <c r="A324" s="278">
        <v>3420</v>
      </c>
      <c r="B324" s="278">
        <v>3440</v>
      </c>
      <c r="C324" s="278">
        <v>132440</v>
      </c>
      <c r="D324" s="278">
        <v>107440</v>
      </c>
      <c r="E324" s="278">
        <v>66700</v>
      </c>
      <c r="F324" s="278">
        <v>53580</v>
      </c>
      <c r="G324" s="278">
        <v>40450</v>
      </c>
      <c r="H324" s="278">
        <v>29880</v>
      </c>
      <c r="I324" s="278">
        <v>24630</v>
      </c>
      <c r="J324" s="278">
        <v>19380</v>
      </c>
      <c r="K324" s="278">
        <v>15780</v>
      </c>
      <c r="L324" s="278">
        <v>12400</v>
      </c>
      <c r="M324" s="278">
        <v>9030</v>
      </c>
    </row>
    <row r="325" spans="1:13" ht="15" customHeight="1">
      <c r="A325" s="278">
        <v>3440</v>
      </c>
      <c r="B325" s="278">
        <v>3460</v>
      </c>
      <c r="C325" s="278">
        <v>134880</v>
      </c>
      <c r="D325" s="278">
        <v>109880</v>
      </c>
      <c r="E325" s="278">
        <v>68270</v>
      </c>
      <c r="F325" s="278">
        <v>55140</v>
      </c>
      <c r="G325" s="278">
        <v>42020</v>
      </c>
      <c r="H325" s="278">
        <v>30500</v>
      </c>
      <c r="I325" s="278">
        <v>25250</v>
      </c>
      <c r="J325" s="278">
        <v>20000</v>
      </c>
      <c r="K325" s="278">
        <v>16180</v>
      </c>
      <c r="L325" s="278">
        <v>12800</v>
      </c>
      <c r="M325" s="278">
        <v>9430</v>
      </c>
    </row>
    <row r="326" spans="1:13" ht="15" customHeight="1">
      <c r="A326" s="278">
        <v>3460</v>
      </c>
      <c r="B326" s="278">
        <v>3480</v>
      </c>
      <c r="C326" s="278">
        <v>137330</v>
      </c>
      <c r="D326" s="278">
        <v>112330</v>
      </c>
      <c r="E326" s="278">
        <v>69830</v>
      </c>
      <c r="F326" s="278">
        <v>56710</v>
      </c>
      <c r="G326" s="278">
        <v>43580</v>
      </c>
      <c r="H326" s="278">
        <v>31130</v>
      </c>
      <c r="I326" s="278">
        <v>25880</v>
      </c>
      <c r="J326" s="278">
        <v>20630</v>
      </c>
      <c r="K326" s="278">
        <v>16580</v>
      </c>
      <c r="L326" s="278">
        <v>13210</v>
      </c>
      <c r="M326" s="278">
        <v>9830</v>
      </c>
    </row>
    <row r="327" spans="1:13" ht="15" customHeight="1">
      <c r="A327" s="278">
        <v>3480</v>
      </c>
      <c r="B327" s="278">
        <v>3500</v>
      </c>
      <c r="C327" s="278">
        <v>139770</v>
      </c>
      <c r="D327" s="278">
        <v>114770</v>
      </c>
      <c r="E327" s="278">
        <v>71400</v>
      </c>
      <c r="F327" s="278">
        <v>58270</v>
      </c>
      <c r="G327" s="278">
        <v>45150</v>
      </c>
      <c r="H327" s="278">
        <v>32020</v>
      </c>
      <c r="I327" s="278">
        <v>26510</v>
      </c>
      <c r="J327" s="278">
        <v>21260</v>
      </c>
      <c r="K327" s="278">
        <v>16980</v>
      </c>
      <c r="L327" s="278">
        <v>13610</v>
      </c>
      <c r="M327" s="278">
        <v>10230</v>
      </c>
    </row>
    <row r="328" spans="1:13" ht="15" customHeight="1">
      <c r="A328" s="278">
        <v>3500</v>
      </c>
      <c r="B328" s="278">
        <v>3520</v>
      </c>
      <c r="C328" s="278">
        <v>142220</v>
      </c>
      <c r="D328" s="278">
        <v>117220</v>
      </c>
      <c r="E328" s="278">
        <v>72960</v>
      </c>
      <c r="F328" s="278">
        <v>59840</v>
      </c>
      <c r="G328" s="278">
        <v>46710</v>
      </c>
      <c r="H328" s="278">
        <v>33590</v>
      </c>
      <c r="I328" s="278">
        <v>27130</v>
      </c>
      <c r="J328" s="278">
        <v>21880</v>
      </c>
      <c r="K328" s="278">
        <v>17390</v>
      </c>
      <c r="L328" s="278">
        <v>14010</v>
      </c>
      <c r="M328" s="278">
        <v>10640</v>
      </c>
    </row>
    <row r="329" spans="1:13" ht="15" customHeight="1">
      <c r="A329" s="278">
        <v>3520</v>
      </c>
      <c r="B329" s="278">
        <v>3540</v>
      </c>
      <c r="C329" s="278">
        <v>144660</v>
      </c>
      <c r="D329" s="278">
        <v>119660</v>
      </c>
      <c r="E329" s="278">
        <v>74530</v>
      </c>
      <c r="F329" s="278">
        <v>61400</v>
      </c>
      <c r="G329" s="278">
        <v>48280</v>
      </c>
      <c r="H329" s="278">
        <v>35150</v>
      </c>
      <c r="I329" s="278">
        <v>27760</v>
      </c>
      <c r="J329" s="278">
        <v>22510</v>
      </c>
      <c r="K329" s="278">
        <v>17790</v>
      </c>
      <c r="L329" s="278">
        <v>14410</v>
      </c>
      <c r="M329" s="278">
        <v>11040</v>
      </c>
    </row>
    <row r="330" spans="1:13" ht="15" customHeight="1">
      <c r="A330" s="278">
        <v>3540</v>
      </c>
      <c r="B330" s="278">
        <v>3560</v>
      </c>
      <c r="C330" s="278">
        <v>147110</v>
      </c>
      <c r="D330" s="278">
        <v>122110</v>
      </c>
      <c r="E330" s="278">
        <v>76090</v>
      </c>
      <c r="F330" s="278">
        <v>62960</v>
      </c>
      <c r="G330" s="278">
        <v>49840</v>
      </c>
      <c r="H330" s="278">
        <v>36710</v>
      </c>
      <c r="I330" s="278">
        <v>28380</v>
      </c>
      <c r="J330" s="278">
        <v>23130</v>
      </c>
      <c r="K330" s="278">
        <v>18190</v>
      </c>
      <c r="L330" s="278">
        <v>14820</v>
      </c>
      <c r="M330" s="278">
        <v>11440</v>
      </c>
    </row>
    <row r="331" spans="1:13" ht="15" customHeight="1">
      <c r="A331" s="278">
        <v>3560</v>
      </c>
      <c r="B331" s="278">
        <v>3580</v>
      </c>
      <c r="C331" s="278">
        <v>149550</v>
      </c>
      <c r="D331" s="278">
        <v>124550</v>
      </c>
      <c r="E331" s="278">
        <v>77650</v>
      </c>
      <c r="F331" s="278">
        <v>64530</v>
      </c>
      <c r="G331" s="278">
        <v>51400</v>
      </c>
      <c r="H331" s="278">
        <v>38280</v>
      </c>
      <c r="I331" s="278">
        <v>29010</v>
      </c>
      <c r="J331" s="278">
        <v>23760</v>
      </c>
      <c r="K331" s="278">
        <v>18590</v>
      </c>
      <c r="L331" s="278">
        <v>15220</v>
      </c>
      <c r="M331" s="278">
        <v>11840</v>
      </c>
    </row>
    <row r="332" spans="1:13" ht="15" customHeight="1">
      <c r="A332" s="278">
        <v>3580</v>
      </c>
      <c r="B332" s="278">
        <v>3600</v>
      </c>
      <c r="C332" s="278">
        <v>152000</v>
      </c>
      <c r="D332" s="278">
        <v>127000</v>
      </c>
      <c r="E332" s="278">
        <v>79220</v>
      </c>
      <c r="F332" s="278">
        <v>66090</v>
      </c>
      <c r="G332" s="278">
        <v>52970</v>
      </c>
      <c r="H332" s="278">
        <v>39840</v>
      </c>
      <c r="I332" s="278">
        <v>29630</v>
      </c>
      <c r="J332" s="278">
        <v>24380</v>
      </c>
      <c r="K332" s="278">
        <v>19130</v>
      </c>
      <c r="L332" s="278">
        <v>15620</v>
      </c>
      <c r="M332" s="278">
        <v>12250</v>
      </c>
    </row>
    <row r="333" spans="1:13" ht="15" customHeight="1">
      <c r="A333" s="278">
        <v>3600</v>
      </c>
      <c r="B333" s="278">
        <v>3620</v>
      </c>
      <c r="C333" s="278">
        <v>154440</v>
      </c>
      <c r="D333" s="278">
        <v>129440</v>
      </c>
      <c r="E333" s="278">
        <v>80780</v>
      </c>
      <c r="F333" s="278">
        <v>67660</v>
      </c>
      <c r="G333" s="278">
        <v>54530</v>
      </c>
      <c r="H333" s="278">
        <v>41410</v>
      </c>
      <c r="I333" s="278">
        <v>30260</v>
      </c>
      <c r="J333" s="278">
        <v>25010</v>
      </c>
      <c r="K333" s="278">
        <v>19760</v>
      </c>
      <c r="L333" s="278">
        <v>16020</v>
      </c>
      <c r="M333" s="278">
        <v>12650</v>
      </c>
    </row>
    <row r="334" spans="1:13" ht="15" customHeight="1">
      <c r="A334" s="278">
        <v>3620</v>
      </c>
      <c r="B334" s="278">
        <v>3640</v>
      </c>
      <c r="C334" s="278">
        <v>156890</v>
      </c>
      <c r="D334" s="278">
        <v>131890</v>
      </c>
      <c r="E334" s="278">
        <v>82350</v>
      </c>
      <c r="F334" s="278">
        <v>69220</v>
      </c>
      <c r="G334" s="278">
        <v>56100</v>
      </c>
      <c r="H334" s="278">
        <v>42970</v>
      </c>
      <c r="I334" s="278">
        <v>30890</v>
      </c>
      <c r="J334" s="278">
        <v>25640</v>
      </c>
      <c r="K334" s="278">
        <v>20390</v>
      </c>
      <c r="L334" s="278">
        <v>16420</v>
      </c>
      <c r="M334" s="278">
        <v>13050</v>
      </c>
    </row>
    <row r="335" spans="1:13" ht="15" customHeight="1">
      <c r="A335" s="278">
        <v>3640</v>
      </c>
      <c r="B335" s="278">
        <v>3660</v>
      </c>
      <c r="C335" s="278">
        <v>159330</v>
      </c>
      <c r="D335" s="278">
        <v>134330</v>
      </c>
      <c r="E335" s="278">
        <v>83910</v>
      </c>
      <c r="F335" s="278">
        <v>70790</v>
      </c>
      <c r="G335" s="278">
        <v>57660</v>
      </c>
      <c r="H335" s="278">
        <v>44540</v>
      </c>
      <c r="I335" s="278">
        <v>31510</v>
      </c>
      <c r="J335" s="278">
        <v>26260</v>
      </c>
      <c r="K335" s="278">
        <v>21010</v>
      </c>
      <c r="L335" s="278">
        <v>16830</v>
      </c>
      <c r="M335" s="278">
        <v>13450</v>
      </c>
    </row>
    <row r="336" spans="1:13" ht="15" customHeight="1">
      <c r="A336" s="278">
        <v>3660</v>
      </c>
      <c r="B336" s="278">
        <v>3680</v>
      </c>
      <c r="C336" s="278">
        <v>161780</v>
      </c>
      <c r="D336" s="278">
        <v>136780</v>
      </c>
      <c r="E336" s="278">
        <v>85480</v>
      </c>
      <c r="F336" s="278">
        <v>72350</v>
      </c>
      <c r="G336" s="278">
        <v>59230</v>
      </c>
      <c r="H336" s="278">
        <v>46100</v>
      </c>
      <c r="I336" s="278">
        <v>32980</v>
      </c>
      <c r="J336" s="278">
        <v>26890</v>
      </c>
      <c r="K336" s="278">
        <v>21640</v>
      </c>
      <c r="L336" s="278">
        <v>17230</v>
      </c>
      <c r="M336" s="278">
        <v>13850</v>
      </c>
    </row>
    <row r="337" spans="1:13" ht="15" customHeight="1">
      <c r="A337" s="278">
        <v>3680</v>
      </c>
      <c r="B337" s="278">
        <v>3700</v>
      </c>
      <c r="C337" s="278">
        <v>164220</v>
      </c>
      <c r="D337" s="278">
        <v>139220</v>
      </c>
      <c r="E337" s="278">
        <v>87040</v>
      </c>
      <c r="F337" s="278">
        <v>73920</v>
      </c>
      <c r="G337" s="278">
        <v>60790</v>
      </c>
      <c r="H337" s="278">
        <v>47670</v>
      </c>
      <c r="I337" s="278">
        <v>34540</v>
      </c>
      <c r="J337" s="278">
        <v>27510</v>
      </c>
      <c r="K337" s="278">
        <v>22260</v>
      </c>
      <c r="L337" s="278">
        <v>17630</v>
      </c>
      <c r="M337" s="278">
        <v>14260</v>
      </c>
    </row>
    <row r="338" spans="1:13" ht="15" customHeight="1">
      <c r="A338" s="278">
        <v>3700</v>
      </c>
      <c r="B338" s="278">
        <v>3720</v>
      </c>
      <c r="C338" s="278">
        <v>166670</v>
      </c>
      <c r="D338" s="278">
        <v>141670</v>
      </c>
      <c r="E338" s="278">
        <v>88610</v>
      </c>
      <c r="F338" s="278">
        <v>75480</v>
      </c>
      <c r="G338" s="278">
        <v>62360</v>
      </c>
      <c r="H338" s="278">
        <v>49230</v>
      </c>
      <c r="I338" s="278">
        <v>36110</v>
      </c>
      <c r="J338" s="278">
        <v>28140</v>
      </c>
      <c r="K338" s="278">
        <v>22890</v>
      </c>
      <c r="L338" s="278">
        <v>18030</v>
      </c>
      <c r="M338" s="278">
        <v>14660</v>
      </c>
    </row>
    <row r="339" spans="1:13" ht="15" customHeight="1">
      <c r="A339" s="278">
        <v>3720</v>
      </c>
      <c r="B339" s="278">
        <v>3740</v>
      </c>
      <c r="C339" s="278">
        <v>169110</v>
      </c>
      <c r="D339" s="278">
        <v>144110</v>
      </c>
      <c r="E339" s="278">
        <v>90170</v>
      </c>
      <c r="F339" s="278">
        <v>77050</v>
      </c>
      <c r="G339" s="278">
        <v>63920</v>
      </c>
      <c r="H339" s="278">
        <v>50800</v>
      </c>
      <c r="I339" s="278">
        <v>37670</v>
      </c>
      <c r="J339" s="278">
        <v>28770</v>
      </c>
      <c r="K339" s="278">
        <v>23520</v>
      </c>
      <c r="L339" s="278">
        <v>18440</v>
      </c>
      <c r="M339" s="278">
        <v>15060</v>
      </c>
    </row>
    <row r="340" spans="1:13" ht="15" customHeight="1">
      <c r="A340" s="278">
        <v>3740</v>
      </c>
      <c r="B340" s="278">
        <v>3760</v>
      </c>
      <c r="C340" s="278">
        <v>171560</v>
      </c>
      <c r="D340" s="278">
        <v>146560</v>
      </c>
      <c r="E340" s="278">
        <v>91730</v>
      </c>
      <c r="F340" s="278">
        <v>78610</v>
      </c>
      <c r="G340" s="278">
        <v>65480</v>
      </c>
      <c r="H340" s="278">
        <v>52360</v>
      </c>
      <c r="I340" s="278">
        <v>39230</v>
      </c>
      <c r="J340" s="278">
        <v>29390</v>
      </c>
      <c r="K340" s="278">
        <v>24140</v>
      </c>
      <c r="L340" s="278">
        <v>18890</v>
      </c>
      <c r="M340" s="278">
        <v>15460</v>
      </c>
    </row>
    <row r="341" spans="1:13" ht="15" customHeight="1">
      <c r="A341" s="278">
        <v>3760</v>
      </c>
      <c r="B341" s="278">
        <v>3780</v>
      </c>
      <c r="C341" s="278">
        <v>178920</v>
      </c>
      <c r="D341" s="278">
        <v>151090</v>
      </c>
      <c r="E341" s="278">
        <v>95250</v>
      </c>
      <c r="F341" s="278">
        <v>81630</v>
      </c>
      <c r="G341" s="278">
        <v>68510</v>
      </c>
      <c r="H341" s="278">
        <v>55380</v>
      </c>
      <c r="I341" s="278">
        <v>42260</v>
      </c>
      <c r="J341" s="278">
        <v>30600</v>
      </c>
      <c r="K341" s="278">
        <v>25350</v>
      </c>
      <c r="L341" s="278">
        <v>20100</v>
      </c>
      <c r="M341" s="278">
        <v>16240</v>
      </c>
    </row>
    <row r="342" spans="1:13" ht="15" customHeight="1">
      <c r="A342" s="278">
        <v>3780</v>
      </c>
      <c r="B342" s="278">
        <v>3800</v>
      </c>
      <c r="C342" s="278">
        <v>181590</v>
      </c>
      <c r="D342" s="278">
        <v>153740</v>
      </c>
      <c r="E342" s="278">
        <v>97700</v>
      </c>
      <c r="F342" s="278">
        <v>83350</v>
      </c>
      <c r="G342" s="278">
        <v>70220</v>
      </c>
      <c r="H342" s="278">
        <v>57100</v>
      </c>
      <c r="I342" s="278">
        <v>43970</v>
      </c>
      <c r="J342" s="278">
        <v>31290</v>
      </c>
      <c r="K342" s="278">
        <v>26040</v>
      </c>
      <c r="L342" s="278">
        <v>20790</v>
      </c>
      <c r="M342" s="278">
        <v>16680</v>
      </c>
    </row>
    <row r="343" spans="1:13" ht="15" customHeight="1">
      <c r="A343" s="278">
        <v>3800</v>
      </c>
      <c r="B343" s="278">
        <v>3820</v>
      </c>
      <c r="C343" s="278">
        <v>184260</v>
      </c>
      <c r="D343" s="278">
        <v>156400</v>
      </c>
      <c r="E343" s="278">
        <v>100140</v>
      </c>
      <c r="F343" s="278">
        <v>85060</v>
      </c>
      <c r="G343" s="278">
        <v>71930</v>
      </c>
      <c r="H343" s="278">
        <v>58810</v>
      </c>
      <c r="I343" s="278">
        <v>45680</v>
      </c>
      <c r="J343" s="278">
        <v>32560</v>
      </c>
      <c r="K343" s="278">
        <v>26720</v>
      </c>
      <c r="L343" s="278">
        <v>21470</v>
      </c>
      <c r="M343" s="278">
        <v>17120</v>
      </c>
    </row>
    <row r="344" spans="1:13" ht="15" customHeight="1">
      <c r="A344" s="278">
        <v>3820</v>
      </c>
      <c r="B344" s="278">
        <v>3840</v>
      </c>
      <c r="C344" s="278">
        <v>186930</v>
      </c>
      <c r="D344" s="278">
        <v>159050</v>
      </c>
      <c r="E344" s="278">
        <v>102590</v>
      </c>
      <c r="F344" s="278">
        <v>86770</v>
      </c>
      <c r="G344" s="278">
        <v>73640</v>
      </c>
      <c r="H344" s="278">
        <v>60520</v>
      </c>
      <c r="I344" s="278">
        <v>47390</v>
      </c>
      <c r="J344" s="278">
        <v>34270</v>
      </c>
      <c r="K344" s="278">
        <v>27400</v>
      </c>
      <c r="L344" s="278">
        <v>22150</v>
      </c>
      <c r="M344" s="278">
        <v>17560</v>
      </c>
    </row>
    <row r="345" spans="1:13" ht="15" customHeight="1">
      <c r="A345" s="278">
        <v>3840</v>
      </c>
      <c r="B345" s="278">
        <v>3860</v>
      </c>
      <c r="C345" s="278">
        <v>189600</v>
      </c>
      <c r="D345" s="278">
        <v>161710</v>
      </c>
      <c r="E345" s="278">
        <v>105030</v>
      </c>
      <c r="F345" s="278">
        <v>88480</v>
      </c>
      <c r="G345" s="278">
        <v>75350</v>
      </c>
      <c r="H345" s="278">
        <v>62230</v>
      </c>
      <c r="I345" s="278">
        <v>49100</v>
      </c>
      <c r="J345" s="278">
        <v>35980</v>
      </c>
      <c r="K345" s="278">
        <v>28090</v>
      </c>
      <c r="L345" s="278">
        <v>22840</v>
      </c>
      <c r="M345" s="278">
        <v>18000</v>
      </c>
    </row>
    <row r="346" spans="1:13" ht="15" customHeight="1">
      <c r="A346" s="278">
        <v>3860</v>
      </c>
      <c r="B346" s="278">
        <v>3880</v>
      </c>
      <c r="C346" s="278">
        <v>192270</v>
      </c>
      <c r="D346" s="278">
        <v>164360</v>
      </c>
      <c r="E346" s="278">
        <v>107480</v>
      </c>
      <c r="F346" s="278">
        <v>90190</v>
      </c>
      <c r="G346" s="278">
        <v>77070</v>
      </c>
      <c r="H346" s="278">
        <v>63940</v>
      </c>
      <c r="I346" s="278">
        <v>50820</v>
      </c>
      <c r="J346" s="278">
        <v>37690</v>
      </c>
      <c r="K346" s="278">
        <v>28770</v>
      </c>
      <c r="L346" s="278">
        <v>23520</v>
      </c>
      <c r="M346" s="278">
        <v>18440</v>
      </c>
    </row>
    <row r="347" spans="1:13" ht="15" customHeight="1">
      <c r="A347" s="278">
        <v>3880</v>
      </c>
      <c r="B347" s="278">
        <v>3900</v>
      </c>
      <c r="C347" s="278">
        <v>194940</v>
      </c>
      <c r="D347" s="278">
        <v>167020</v>
      </c>
      <c r="E347" s="278">
        <v>109920</v>
      </c>
      <c r="F347" s="278">
        <v>91900</v>
      </c>
      <c r="G347" s="278">
        <v>78780</v>
      </c>
      <c r="H347" s="278">
        <v>65650</v>
      </c>
      <c r="I347" s="278">
        <v>52530</v>
      </c>
      <c r="J347" s="278">
        <v>39400</v>
      </c>
      <c r="K347" s="278">
        <v>29460</v>
      </c>
      <c r="L347" s="278">
        <v>24210</v>
      </c>
      <c r="M347" s="278">
        <v>18960</v>
      </c>
    </row>
    <row r="348" spans="1:13" ht="15" customHeight="1">
      <c r="A348" s="278">
        <v>3900</v>
      </c>
      <c r="B348" s="278">
        <v>3920</v>
      </c>
      <c r="C348" s="278">
        <v>197610</v>
      </c>
      <c r="D348" s="278">
        <v>169670</v>
      </c>
      <c r="E348" s="278">
        <v>112370</v>
      </c>
      <c r="F348" s="278">
        <v>93620</v>
      </c>
      <c r="G348" s="278">
        <v>80490</v>
      </c>
      <c r="H348" s="278">
        <v>67360</v>
      </c>
      <c r="I348" s="278">
        <v>54240</v>
      </c>
      <c r="J348" s="278">
        <v>41110</v>
      </c>
      <c r="K348" s="278">
        <v>30140</v>
      </c>
      <c r="L348" s="278">
        <v>24890</v>
      </c>
      <c r="M348" s="278">
        <v>19640</v>
      </c>
    </row>
    <row r="349" spans="1:13" ht="15" customHeight="1">
      <c r="A349" s="278">
        <v>3920</v>
      </c>
      <c r="B349" s="278">
        <v>3940</v>
      </c>
      <c r="C349" s="278">
        <v>200280</v>
      </c>
      <c r="D349" s="278">
        <v>172330</v>
      </c>
      <c r="E349" s="278">
        <v>114810</v>
      </c>
      <c r="F349" s="278">
        <v>96060</v>
      </c>
      <c r="G349" s="278">
        <v>82200</v>
      </c>
      <c r="H349" s="278">
        <v>69080</v>
      </c>
      <c r="I349" s="278">
        <v>55950</v>
      </c>
      <c r="J349" s="278">
        <v>42830</v>
      </c>
      <c r="K349" s="278">
        <v>30830</v>
      </c>
      <c r="L349" s="278">
        <v>25580</v>
      </c>
      <c r="M349" s="278">
        <v>20330</v>
      </c>
    </row>
    <row r="350" spans="1:13" ht="15" customHeight="1">
      <c r="A350" s="278">
        <v>3940</v>
      </c>
      <c r="B350" s="278">
        <v>3960</v>
      </c>
      <c r="C350" s="278">
        <v>202950</v>
      </c>
      <c r="D350" s="278">
        <v>174980</v>
      </c>
      <c r="E350" s="278">
        <v>117260</v>
      </c>
      <c r="F350" s="278">
        <v>98510</v>
      </c>
      <c r="G350" s="278">
        <v>83910</v>
      </c>
      <c r="H350" s="278">
        <v>70790</v>
      </c>
      <c r="I350" s="278">
        <v>57660</v>
      </c>
      <c r="J350" s="278">
        <v>44540</v>
      </c>
      <c r="K350" s="278">
        <v>31510</v>
      </c>
      <c r="L350" s="278">
        <v>26260</v>
      </c>
      <c r="M350" s="278">
        <v>21010</v>
      </c>
    </row>
    <row r="351" spans="1:13" ht="15" customHeight="1">
      <c r="A351" s="278">
        <v>3960</v>
      </c>
      <c r="B351" s="278">
        <v>3980</v>
      </c>
      <c r="C351" s="278">
        <v>205620</v>
      </c>
      <c r="D351" s="278">
        <v>177640</v>
      </c>
      <c r="E351" s="278">
        <v>119700</v>
      </c>
      <c r="F351" s="278">
        <v>100950</v>
      </c>
      <c r="G351" s="278">
        <v>85620</v>
      </c>
      <c r="H351" s="278">
        <v>72500</v>
      </c>
      <c r="I351" s="278">
        <v>59370</v>
      </c>
      <c r="J351" s="278">
        <v>46250</v>
      </c>
      <c r="K351" s="278">
        <v>33120</v>
      </c>
      <c r="L351" s="278">
        <v>26950</v>
      </c>
      <c r="M351" s="278">
        <v>21700</v>
      </c>
    </row>
    <row r="352" spans="1:13" ht="15" customHeight="1">
      <c r="A352" s="278">
        <v>3980</v>
      </c>
      <c r="B352" s="278">
        <v>4000</v>
      </c>
      <c r="C352" s="278">
        <v>208290</v>
      </c>
      <c r="D352" s="278">
        <v>180290</v>
      </c>
      <c r="E352" s="278">
        <v>122150</v>
      </c>
      <c r="F352" s="278">
        <v>103400</v>
      </c>
      <c r="G352" s="278">
        <v>87340</v>
      </c>
      <c r="H352" s="278">
        <v>74210</v>
      </c>
      <c r="I352" s="278">
        <v>61090</v>
      </c>
      <c r="J352" s="278">
        <v>47960</v>
      </c>
      <c r="K352" s="278">
        <v>34840</v>
      </c>
      <c r="L352" s="278">
        <v>27630</v>
      </c>
      <c r="M352" s="278">
        <v>22380</v>
      </c>
    </row>
    <row r="353" spans="1:13" ht="15" customHeight="1">
      <c r="A353" s="278">
        <v>4000</v>
      </c>
      <c r="B353" s="278">
        <v>4020</v>
      </c>
      <c r="C353" s="278">
        <v>210960</v>
      </c>
      <c r="D353" s="278">
        <v>182950</v>
      </c>
      <c r="E353" s="278">
        <v>124590</v>
      </c>
      <c r="F353" s="278">
        <v>105840</v>
      </c>
      <c r="G353" s="278">
        <v>89050</v>
      </c>
      <c r="H353" s="278">
        <v>75920</v>
      </c>
      <c r="I353" s="278">
        <v>62800</v>
      </c>
      <c r="J353" s="278">
        <v>49670</v>
      </c>
      <c r="K353" s="278">
        <v>36550</v>
      </c>
      <c r="L353" s="278">
        <v>28320</v>
      </c>
      <c r="M353" s="278">
        <v>23070</v>
      </c>
    </row>
    <row r="354" spans="1:13" ht="15" customHeight="1">
      <c r="A354" s="278">
        <v>4020</v>
      </c>
      <c r="B354" s="278">
        <v>4040</v>
      </c>
      <c r="C354" s="278">
        <v>213630</v>
      </c>
      <c r="D354" s="278">
        <v>185600</v>
      </c>
      <c r="E354" s="278">
        <v>127040</v>
      </c>
      <c r="F354" s="278">
        <v>108290</v>
      </c>
      <c r="G354" s="278">
        <v>90760</v>
      </c>
      <c r="H354" s="278">
        <v>77630</v>
      </c>
      <c r="I354" s="278">
        <v>64510</v>
      </c>
      <c r="J354" s="278">
        <v>51380</v>
      </c>
      <c r="K354" s="278">
        <v>38260</v>
      </c>
      <c r="L354" s="278">
        <v>29000</v>
      </c>
      <c r="M354" s="278">
        <v>23750</v>
      </c>
    </row>
    <row r="355" spans="1:13" ht="15" customHeight="1">
      <c r="A355" s="278">
        <v>4040</v>
      </c>
      <c r="B355" s="278">
        <v>4060</v>
      </c>
      <c r="C355" s="278">
        <v>216300</v>
      </c>
      <c r="D355" s="278">
        <v>188260</v>
      </c>
      <c r="E355" s="278">
        <v>129480</v>
      </c>
      <c r="F355" s="278">
        <v>110730</v>
      </c>
      <c r="G355" s="278">
        <v>92470</v>
      </c>
      <c r="H355" s="278">
        <v>79340</v>
      </c>
      <c r="I355" s="278">
        <v>66220</v>
      </c>
      <c r="J355" s="278">
        <v>53090</v>
      </c>
      <c r="K355" s="278">
        <v>39970</v>
      </c>
      <c r="L355" s="278">
        <v>29680</v>
      </c>
      <c r="M355" s="278">
        <v>24430</v>
      </c>
    </row>
    <row r="356" spans="1:13" ht="15" customHeight="1">
      <c r="A356" s="278">
        <v>4060</v>
      </c>
      <c r="B356" s="278">
        <v>4080</v>
      </c>
      <c r="C356" s="278">
        <v>218970</v>
      </c>
      <c r="D356" s="278">
        <v>190910</v>
      </c>
      <c r="E356" s="278">
        <v>131930</v>
      </c>
      <c r="F356" s="278">
        <v>113180</v>
      </c>
      <c r="G356" s="278">
        <v>94430</v>
      </c>
      <c r="H356" s="278">
        <v>81060</v>
      </c>
      <c r="I356" s="278">
        <v>67930</v>
      </c>
      <c r="J356" s="278">
        <v>54810</v>
      </c>
      <c r="K356" s="278">
        <v>41680</v>
      </c>
      <c r="L356" s="278">
        <v>30370</v>
      </c>
      <c r="M356" s="278">
        <v>25120</v>
      </c>
    </row>
    <row r="357" spans="1:13" ht="15" customHeight="1">
      <c r="A357" s="278">
        <v>4080</v>
      </c>
      <c r="B357" s="278">
        <v>4100</v>
      </c>
      <c r="C357" s="278">
        <v>221640</v>
      </c>
      <c r="D357" s="278">
        <v>193570</v>
      </c>
      <c r="E357" s="278">
        <v>134370</v>
      </c>
      <c r="F357" s="278">
        <v>115620</v>
      </c>
      <c r="G357" s="278">
        <v>96870</v>
      </c>
      <c r="H357" s="278">
        <v>82770</v>
      </c>
      <c r="I357" s="278">
        <v>69640</v>
      </c>
      <c r="J357" s="278">
        <v>56520</v>
      </c>
      <c r="K357" s="278">
        <v>43390</v>
      </c>
      <c r="L357" s="278">
        <v>31050</v>
      </c>
      <c r="M357" s="278">
        <v>25800</v>
      </c>
    </row>
    <row r="358" spans="1:13" ht="15" customHeight="1">
      <c r="A358" s="278">
        <v>4100</v>
      </c>
      <c r="B358" s="278">
        <v>4120</v>
      </c>
      <c r="C358" s="278">
        <v>224310</v>
      </c>
      <c r="D358" s="278">
        <v>196220</v>
      </c>
      <c r="E358" s="278">
        <v>136820</v>
      </c>
      <c r="F358" s="278">
        <v>118070</v>
      </c>
      <c r="G358" s="278">
        <v>99320</v>
      </c>
      <c r="H358" s="278">
        <v>84480</v>
      </c>
      <c r="I358" s="278">
        <v>71350</v>
      </c>
      <c r="J358" s="278">
        <v>58230</v>
      </c>
      <c r="K358" s="278">
        <v>45100</v>
      </c>
      <c r="L358" s="278">
        <v>31980</v>
      </c>
      <c r="M358" s="278">
        <v>26490</v>
      </c>
    </row>
    <row r="359" spans="1:13" ht="15" customHeight="1">
      <c r="A359" s="278">
        <v>4120</v>
      </c>
      <c r="B359" s="278">
        <v>4140</v>
      </c>
      <c r="C359" s="278">
        <v>226980</v>
      </c>
      <c r="D359" s="278">
        <v>198880</v>
      </c>
      <c r="E359" s="278">
        <v>139260</v>
      </c>
      <c r="F359" s="278">
        <v>120510</v>
      </c>
      <c r="G359" s="278">
        <v>101760</v>
      </c>
      <c r="H359" s="278">
        <v>86190</v>
      </c>
      <c r="I359" s="278">
        <v>73070</v>
      </c>
      <c r="J359" s="278">
        <v>59940</v>
      </c>
      <c r="K359" s="278">
        <v>46820</v>
      </c>
      <c r="L359" s="278">
        <v>33690</v>
      </c>
      <c r="M359" s="278">
        <v>27170</v>
      </c>
    </row>
    <row r="360" spans="1:13" ht="15" customHeight="1">
      <c r="A360" s="278">
        <v>4140</v>
      </c>
      <c r="B360" s="278">
        <v>4160</v>
      </c>
      <c r="C360" s="278">
        <v>229650</v>
      </c>
      <c r="D360" s="278">
        <v>201530</v>
      </c>
      <c r="E360" s="278">
        <v>141710</v>
      </c>
      <c r="F360" s="278">
        <v>122960</v>
      </c>
      <c r="G360" s="278">
        <v>104210</v>
      </c>
      <c r="H360" s="278">
        <v>87900</v>
      </c>
      <c r="I360" s="278">
        <v>74780</v>
      </c>
      <c r="J360" s="278">
        <v>61650</v>
      </c>
      <c r="K360" s="278">
        <v>48530</v>
      </c>
      <c r="L360" s="278">
        <v>35400</v>
      </c>
      <c r="M360" s="278">
        <v>27860</v>
      </c>
    </row>
    <row r="361" spans="1:13" ht="15" customHeight="1">
      <c r="A361" s="278">
        <v>4160</v>
      </c>
      <c r="B361" s="278">
        <v>4180</v>
      </c>
      <c r="C361" s="278">
        <v>232320</v>
      </c>
      <c r="D361" s="278">
        <v>204190</v>
      </c>
      <c r="E361" s="278">
        <v>144150</v>
      </c>
      <c r="F361" s="278">
        <v>125400</v>
      </c>
      <c r="G361" s="278">
        <v>106650</v>
      </c>
      <c r="H361" s="278">
        <v>89610</v>
      </c>
      <c r="I361" s="278">
        <v>76490</v>
      </c>
      <c r="J361" s="278">
        <v>63360</v>
      </c>
      <c r="K361" s="278">
        <v>50240</v>
      </c>
      <c r="L361" s="278">
        <v>37110</v>
      </c>
      <c r="M361" s="278">
        <v>28540</v>
      </c>
    </row>
    <row r="362" spans="1:13" ht="15" customHeight="1">
      <c r="A362" s="278">
        <v>4180</v>
      </c>
      <c r="B362" s="278">
        <v>4200</v>
      </c>
      <c r="C362" s="278">
        <v>234990</v>
      </c>
      <c r="D362" s="278">
        <v>206840</v>
      </c>
      <c r="E362" s="278">
        <v>146600</v>
      </c>
      <c r="F362" s="278">
        <v>127850</v>
      </c>
      <c r="G362" s="278">
        <v>109100</v>
      </c>
      <c r="H362" s="278">
        <v>91330</v>
      </c>
      <c r="I362" s="278">
        <v>78200</v>
      </c>
      <c r="J362" s="278">
        <v>65080</v>
      </c>
      <c r="K362" s="278">
        <v>51950</v>
      </c>
      <c r="L362" s="278">
        <v>38830</v>
      </c>
      <c r="M362" s="278">
        <v>29230</v>
      </c>
    </row>
    <row r="363" spans="1:13" ht="15" customHeight="1">
      <c r="A363" s="278">
        <v>4200</v>
      </c>
      <c r="B363" s="278">
        <v>4220</v>
      </c>
      <c r="C363" s="278">
        <v>237660</v>
      </c>
      <c r="D363" s="278">
        <v>209500</v>
      </c>
      <c r="E363" s="278">
        <v>149040</v>
      </c>
      <c r="F363" s="278">
        <v>130290</v>
      </c>
      <c r="G363" s="278">
        <v>111540</v>
      </c>
      <c r="H363" s="278">
        <v>93040</v>
      </c>
      <c r="I363" s="278">
        <v>79910</v>
      </c>
      <c r="J363" s="278">
        <v>66790</v>
      </c>
      <c r="K363" s="278">
        <v>53660</v>
      </c>
      <c r="L363" s="278">
        <v>40540</v>
      </c>
      <c r="M363" s="278">
        <v>29910</v>
      </c>
    </row>
    <row r="364" spans="1:13" ht="15" customHeight="1">
      <c r="A364" s="278">
        <v>4220</v>
      </c>
      <c r="B364" s="278">
        <v>4240</v>
      </c>
      <c r="C364" s="278">
        <v>240330</v>
      </c>
      <c r="D364" s="278">
        <v>212150</v>
      </c>
      <c r="E364" s="278">
        <v>151490</v>
      </c>
      <c r="F364" s="278">
        <v>132740</v>
      </c>
      <c r="G364" s="278">
        <v>113990</v>
      </c>
      <c r="H364" s="278">
        <v>95240</v>
      </c>
      <c r="I364" s="278">
        <v>81620</v>
      </c>
      <c r="J364" s="278">
        <v>68500</v>
      </c>
      <c r="K364" s="278">
        <v>55370</v>
      </c>
      <c r="L364" s="278">
        <v>42250</v>
      </c>
      <c r="M364" s="278">
        <v>30600</v>
      </c>
    </row>
    <row r="365" spans="1:13" ht="15" customHeight="1">
      <c r="A365" s="278">
        <v>4240</v>
      </c>
      <c r="B365" s="278">
        <v>4260</v>
      </c>
      <c r="C365" s="278">
        <v>243000</v>
      </c>
      <c r="D365" s="278">
        <v>214810</v>
      </c>
      <c r="E365" s="278">
        <v>153930</v>
      </c>
      <c r="F365" s="278">
        <v>135180</v>
      </c>
      <c r="G365" s="278">
        <v>116430</v>
      </c>
      <c r="H365" s="278">
        <v>97680</v>
      </c>
      <c r="I365" s="278">
        <v>83330</v>
      </c>
      <c r="J365" s="278">
        <v>70210</v>
      </c>
      <c r="K365" s="278">
        <v>57080</v>
      </c>
      <c r="L365" s="278">
        <v>43960</v>
      </c>
      <c r="M365" s="278">
        <v>31280</v>
      </c>
    </row>
    <row r="366" spans="1:13" ht="15" customHeight="1">
      <c r="A366" s="278">
        <v>4260</v>
      </c>
      <c r="B366" s="278">
        <v>4280</v>
      </c>
      <c r="C366" s="278">
        <v>245670</v>
      </c>
      <c r="D366" s="278">
        <v>217460</v>
      </c>
      <c r="E366" s="278">
        <v>156380</v>
      </c>
      <c r="F366" s="278">
        <v>137630</v>
      </c>
      <c r="G366" s="278">
        <v>118880</v>
      </c>
      <c r="H366" s="278">
        <v>100130</v>
      </c>
      <c r="I366" s="278">
        <v>85050</v>
      </c>
      <c r="J366" s="278">
        <v>71920</v>
      </c>
      <c r="K366" s="278">
        <v>58800</v>
      </c>
      <c r="L366" s="278">
        <v>45670</v>
      </c>
      <c r="M366" s="278">
        <v>32550</v>
      </c>
    </row>
    <row r="367" spans="1:13" ht="15" customHeight="1">
      <c r="A367" s="278">
        <v>4280</v>
      </c>
      <c r="B367" s="278">
        <v>4300</v>
      </c>
      <c r="C367" s="278">
        <v>248340</v>
      </c>
      <c r="D367" s="278">
        <v>220120</v>
      </c>
      <c r="E367" s="278">
        <v>158820</v>
      </c>
      <c r="F367" s="278">
        <v>140070</v>
      </c>
      <c r="G367" s="278">
        <v>121320</v>
      </c>
      <c r="H367" s="278">
        <v>102570</v>
      </c>
      <c r="I367" s="278">
        <v>86760</v>
      </c>
      <c r="J367" s="278">
        <v>73630</v>
      </c>
      <c r="K367" s="278">
        <v>60510</v>
      </c>
      <c r="L367" s="278">
        <v>47380</v>
      </c>
      <c r="M367" s="278">
        <v>34260</v>
      </c>
    </row>
    <row r="368" spans="1:13" ht="15" customHeight="1">
      <c r="A368" s="278">
        <v>4300</v>
      </c>
      <c r="B368" s="278">
        <v>4320</v>
      </c>
      <c r="C368" s="278">
        <v>251010</v>
      </c>
      <c r="D368" s="278">
        <v>222770</v>
      </c>
      <c r="E368" s="278">
        <v>161270</v>
      </c>
      <c r="F368" s="278">
        <v>142520</v>
      </c>
      <c r="G368" s="278">
        <v>123770</v>
      </c>
      <c r="H368" s="278">
        <v>105020</v>
      </c>
      <c r="I368" s="278">
        <v>88470</v>
      </c>
      <c r="J368" s="278">
        <v>75340</v>
      </c>
      <c r="K368" s="278">
        <v>62220</v>
      </c>
      <c r="L368" s="278">
        <v>49090</v>
      </c>
      <c r="M368" s="278">
        <v>35970</v>
      </c>
    </row>
    <row r="369" spans="1:13" ht="15" customHeight="1">
      <c r="A369" s="278">
        <v>4320</v>
      </c>
      <c r="B369" s="278">
        <v>4340</v>
      </c>
      <c r="C369" s="278">
        <v>253680</v>
      </c>
      <c r="D369" s="278">
        <v>225430</v>
      </c>
      <c r="E369" s="278">
        <v>163710</v>
      </c>
      <c r="F369" s="278">
        <v>144960</v>
      </c>
      <c r="G369" s="278">
        <v>126210</v>
      </c>
      <c r="H369" s="278">
        <v>107460</v>
      </c>
      <c r="I369" s="278">
        <v>90180</v>
      </c>
      <c r="J369" s="278">
        <v>77060</v>
      </c>
      <c r="K369" s="278">
        <v>63930</v>
      </c>
      <c r="L369" s="278">
        <v>50810</v>
      </c>
      <c r="M369" s="278">
        <v>37680</v>
      </c>
    </row>
    <row r="370" spans="1:13" ht="15" customHeight="1">
      <c r="A370" s="278">
        <v>4340</v>
      </c>
      <c r="B370" s="278">
        <v>4360</v>
      </c>
      <c r="C370" s="278">
        <v>256350</v>
      </c>
      <c r="D370" s="278">
        <v>228080</v>
      </c>
      <c r="E370" s="278">
        <v>166160</v>
      </c>
      <c r="F370" s="278">
        <v>147410</v>
      </c>
      <c r="G370" s="278">
        <v>128660</v>
      </c>
      <c r="H370" s="278">
        <v>109910</v>
      </c>
      <c r="I370" s="278">
        <v>91890</v>
      </c>
      <c r="J370" s="278">
        <v>78770</v>
      </c>
      <c r="K370" s="278">
        <v>65640</v>
      </c>
      <c r="L370" s="278">
        <v>52520</v>
      </c>
      <c r="M370" s="278">
        <v>39390</v>
      </c>
    </row>
    <row r="371" spans="1:13" ht="15" customHeight="1">
      <c r="A371" s="278">
        <v>4360</v>
      </c>
      <c r="B371" s="278">
        <v>4380</v>
      </c>
      <c r="C371" s="278">
        <v>259020</v>
      </c>
      <c r="D371" s="278">
        <v>230740</v>
      </c>
      <c r="E371" s="278">
        <v>168600</v>
      </c>
      <c r="F371" s="278">
        <v>149850</v>
      </c>
      <c r="G371" s="278">
        <v>131100</v>
      </c>
      <c r="H371" s="278">
        <v>112350</v>
      </c>
      <c r="I371" s="278">
        <v>93600</v>
      </c>
      <c r="J371" s="278">
        <v>80480</v>
      </c>
      <c r="K371" s="278">
        <v>67350</v>
      </c>
      <c r="L371" s="278">
        <v>54230</v>
      </c>
      <c r="M371" s="278">
        <v>41100</v>
      </c>
    </row>
    <row r="372" spans="1:13" ht="15" customHeight="1">
      <c r="A372" s="278">
        <v>4380</v>
      </c>
      <c r="B372" s="278">
        <v>4400</v>
      </c>
      <c r="C372" s="278">
        <v>261690</v>
      </c>
      <c r="D372" s="278">
        <v>233390</v>
      </c>
      <c r="E372" s="278">
        <v>171050</v>
      </c>
      <c r="F372" s="278">
        <v>152300</v>
      </c>
      <c r="G372" s="278">
        <v>133550</v>
      </c>
      <c r="H372" s="278">
        <v>114800</v>
      </c>
      <c r="I372" s="278">
        <v>96050</v>
      </c>
      <c r="J372" s="278">
        <v>82190</v>
      </c>
      <c r="K372" s="278">
        <v>69070</v>
      </c>
      <c r="L372" s="278">
        <v>55940</v>
      </c>
      <c r="M372" s="278">
        <v>42820</v>
      </c>
    </row>
    <row r="373" spans="1:13" ht="15" customHeight="1">
      <c r="A373" s="278">
        <v>4400</v>
      </c>
      <c r="B373" s="278">
        <v>4420</v>
      </c>
      <c r="C373" s="278">
        <v>264360</v>
      </c>
      <c r="D373" s="278">
        <v>236050</v>
      </c>
      <c r="E373" s="278">
        <v>173490</v>
      </c>
      <c r="F373" s="278">
        <v>154740</v>
      </c>
      <c r="G373" s="278">
        <v>135990</v>
      </c>
      <c r="H373" s="278">
        <v>117240</v>
      </c>
      <c r="I373" s="278">
        <v>98490</v>
      </c>
      <c r="J373" s="278">
        <v>83900</v>
      </c>
      <c r="K373" s="278">
        <v>70780</v>
      </c>
      <c r="L373" s="278">
        <v>57650</v>
      </c>
      <c r="M373" s="278">
        <v>44530</v>
      </c>
    </row>
    <row r="374" spans="1:13" ht="15" customHeight="1">
      <c r="A374" s="278">
        <v>4420</v>
      </c>
      <c r="B374" s="278">
        <v>4440</v>
      </c>
      <c r="C374" s="278">
        <v>267030</v>
      </c>
      <c r="D374" s="278">
        <v>238700</v>
      </c>
      <c r="E374" s="278">
        <v>175940</v>
      </c>
      <c r="F374" s="278">
        <v>157190</v>
      </c>
      <c r="G374" s="278">
        <v>138440</v>
      </c>
      <c r="H374" s="278">
        <v>119690</v>
      </c>
      <c r="I374" s="278">
        <v>100940</v>
      </c>
      <c r="J374" s="278">
        <v>85610</v>
      </c>
      <c r="K374" s="278">
        <v>72490</v>
      </c>
      <c r="L374" s="278">
        <v>59360</v>
      </c>
      <c r="M374" s="278">
        <v>46240</v>
      </c>
    </row>
    <row r="375" spans="1:13" ht="15" customHeight="1">
      <c r="A375" s="278">
        <v>4440</v>
      </c>
      <c r="B375" s="278">
        <v>4460</v>
      </c>
      <c r="C375" s="278">
        <v>269700</v>
      </c>
      <c r="D375" s="278">
        <v>241360</v>
      </c>
      <c r="E375" s="278">
        <v>178380</v>
      </c>
      <c r="F375" s="278">
        <v>159630</v>
      </c>
      <c r="G375" s="278">
        <v>140880</v>
      </c>
      <c r="H375" s="278">
        <v>122130</v>
      </c>
      <c r="I375" s="278">
        <v>103380</v>
      </c>
      <c r="J375" s="278">
        <v>87320</v>
      </c>
      <c r="K375" s="278">
        <v>74200</v>
      </c>
      <c r="L375" s="278">
        <v>61070</v>
      </c>
      <c r="M375" s="278">
        <v>47950</v>
      </c>
    </row>
    <row r="376" spans="1:13" ht="15" customHeight="1">
      <c r="A376" s="278">
        <v>4460</v>
      </c>
      <c r="B376" s="278">
        <v>4480</v>
      </c>
      <c r="C376" s="278">
        <v>272370</v>
      </c>
      <c r="D376" s="278">
        <v>244010</v>
      </c>
      <c r="E376" s="278">
        <v>180830</v>
      </c>
      <c r="F376" s="278">
        <v>162080</v>
      </c>
      <c r="G376" s="278">
        <v>143330</v>
      </c>
      <c r="H376" s="278">
        <v>124580</v>
      </c>
      <c r="I376" s="278">
        <v>105830</v>
      </c>
      <c r="J376" s="278">
        <v>89040</v>
      </c>
      <c r="K376" s="278">
        <v>75910</v>
      </c>
      <c r="L376" s="278">
        <v>62790</v>
      </c>
      <c r="M376" s="278">
        <v>49660</v>
      </c>
    </row>
    <row r="377" spans="1:13" ht="15" customHeight="1">
      <c r="A377" s="278">
        <v>4480</v>
      </c>
      <c r="B377" s="278">
        <v>4500</v>
      </c>
      <c r="C377" s="278">
        <v>275040</v>
      </c>
      <c r="D377" s="278">
        <v>246670</v>
      </c>
      <c r="E377" s="278">
        <v>183270</v>
      </c>
      <c r="F377" s="278">
        <v>164520</v>
      </c>
      <c r="G377" s="278">
        <v>145770</v>
      </c>
      <c r="H377" s="278">
        <v>127020</v>
      </c>
      <c r="I377" s="278">
        <v>108270</v>
      </c>
      <c r="J377" s="278">
        <v>90750</v>
      </c>
      <c r="K377" s="278">
        <v>77620</v>
      </c>
      <c r="L377" s="278">
        <v>64500</v>
      </c>
      <c r="M377" s="278">
        <v>51370</v>
      </c>
    </row>
    <row r="378" spans="1:13" ht="15" customHeight="1">
      <c r="A378" s="278">
        <v>4500</v>
      </c>
      <c r="B378" s="278">
        <v>4520</v>
      </c>
      <c r="C378" s="278">
        <v>277840</v>
      </c>
      <c r="D378" s="278">
        <v>249460</v>
      </c>
      <c r="E378" s="278">
        <v>185850</v>
      </c>
      <c r="F378" s="278">
        <v>167100</v>
      </c>
      <c r="G378" s="278">
        <v>148350</v>
      </c>
      <c r="H378" s="278">
        <v>129600</v>
      </c>
      <c r="I378" s="278">
        <v>110850</v>
      </c>
      <c r="J378" s="278">
        <v>92550</v>
      </c>
      <c r="K378" s="278">
        <v>79430</v>
      </c>
      <c r="L378" s="278">
        <v>66300</v>
      </c>
      <c r="M378" s="278">
        <v>53180</v>
      </c>
    </row>
    <row r="379" spans="1:13" ht="15" customHeight="1">
      <c r="A379" s="278">
        <v>4520</v>
      </c>
      <c r="B379" s="278">
        <v>4540</v>
      </c>
      <c r="C379" s="278">
        <v>280650</v>
      </c>
      <c r="D379" s="278">
        <v>252250</v>
      </c>
      <c r="E379" s="278">
        <v>188430</v>
      </c>
      <c r="F379" s="278">
        <v>169680</v>
      </c>
      <c r="G379" s="278">
        <v>150930</v>
      </c>
      <c r="H379" s="278">
        <v>132180</v>
      </c>
      <c r="I379" s="278">
        <v>113430</v>
      </c>
      <c r="J379" s="278">
        <v>94680</v>
      </c>
      <c r="K379" s="278">
        <v>81230</v>
      </c>
      <c r="L379" s="278">
        <v>68110</v>
      </c>
      <c r="M379" s="278">
        <v>54980</v>
      </c>
    </row>
    <row r="380" spans="1:13" ht="15" customHeight="1">
      <c r="A380" s="278">
        <v>4540</v>
      </c>
      <c r="B380" s="278">
        <v>4560</v>
      </c>
      <c r="C380" s="278">
        <v>283450</v>
      </c>
      <c r="D380" s="278">
        <v>255040</v>
      </c>
      <c r="E380" s="278">
        <v>191010</v>
      </c>
      <c r="F380" s="278">
        <v>172260</v>
      </c>
      <c r="G380" s="278">
        <v>153510</v>
      </c>
      <c r="H380" s="278">
        <v>134760</v>
      </c>
      <c r="I380" s="278">
        <v>116010</v>
      </c>
      <c r="J380" s="278">
        <v>97260</v>
      </c>
      <c r="K380" s="278">
        <v>83040</v>
      </c>
      <c r="L380" s="278">
        <v>69920</v>
      </c>
      <c r="M380" s="278">
        <v>56790</v>
      </c>
    </row>
    <row r="381" spans="1:13" ht="15" customHeight="1">
      <c r="A381" s="278">
        <v>4560</v>
      </c>
      <c r="B381" s="278">
        <v>4580</v>
      </c>
      <c r="C381" s="278">
        <v>286260</v>
      </c>
      <c r="D381" s="278">
        <v>257830</v>
      </c>
      <c r="E381" s="278">
        <v>193590</v>
      </c>
      <c r="F381" s="278">
        <v>174840</v>
      </c>
      <c r="G381" s="278">
        <v>156090</v>
      </c>
      <c r="H381" s="278">
        <v>137340</v>
      </c>
      <c r="I381" s="278">
        <v>118590</v>
      </c>
      <c r="J381" s="278">
        <v>99840</v>
      </c>
      <c r="K381" s="278">
        <v>84850</v>
      </c>
      <c r="L381" s="278">
        <v>71720</v>
      </c>
      <c r="M381" s="278">
        <v>58600</v>
      </c>
    </row>
    <row r="382" spans="1:13" ht="15" customHeight="1">
      <c r="A382" s="278">
        <v>4580</v>
      </c>
      <c r="B382" s="278">
        <v>4600</v>
      </c>
      <c r="C382" s="278">
        <v>291560</v>
      </c>
      <c r="D382" s="278">
        <v>263120</v>
      </c>
      <c r="E382" s="278">
        <v>198670</v>
      </c>
      <c r="F382" s="278">
        <v>179920</v>
      </c>
      <c r="G382" s="278">
        <v>161170</v>
      </c>
      <c r="H382" s="278">
        <v>142420</v>
      </c>
      <c r="I382" s="278">
        <v>123670</v>
      </c>
      <c r="J382" s="278">
        <v>104920</v>
      </c>
      <c r="K382" s="278">
        <v>86650</v>
      </c>
      <c r="L382" s="278">
        <v>73530</v>
      </c>
      <c r="M382" s="278">
        <v>60400</v>
      </c>
    </row>
    <row r="383" spans="1:13" ht="15" customHeight="1">
      <c r="A383" s="278">
        <v>4600</v>
      </c>
      <c r="B383" s="278">
        <v>4620</v>
      </c>
      <c r="C383" s="278">
        <v>294370</v>
      </c>
      <c r="D383" s="278">
        <v>265910</v>
      </c>
      <c r="E383" s="278">
        <v>201250</v>
      </c>
      <c r="F383" s="278">
        <v>182500</v>
      </c>
      <c r="G383" s="278">
        <v>163750</v>
      </c>
      <c r="H383" s="278">
        <v>145000</v>
      </c>
      <c r="I383" s="278">
        <v>126250</v>
      </c>
      <c r="J383" s="278">
        <v>107500</v>
      </c>
      <c r="K383" s="278">
        <v>88750</v>
      </c>
      <c r="L383" s="278">
        <v>75330</v>
      </c>
      <c r="M383" s="278">
        <v>62210</v>
      </c>
    </row>
    <row r="384" spans="1:13" ht="15" customHeight="1">
      <c r="A384" s="278">
        <v>4620</v>
      </c>
      <c r="B384" s="278">
        <v>4640</v>
      </c>
      <c r="C384" s="278">
        <v>297170</v>
      </c>
      <c r="D384" s="278">
        <v>268700</v>
      </c>
      <c r="E384" s="278">
        <v>203830</v>
      </c>
      <c r="F384" s="278">
        <v>185080</v>
      </c>
      <c r="G384" s="278">
        <v>166330</v>
      </c>
      <c r="H384" s="278">
        <v>147580</v>
      </c>
      <c r="I384" s="278">
        <v>128830</v>
      </c>
      <c r="J384" s="278">
        <v>110080</v>
      </c>
      <c r="K384" s="278">
        <v>91330</v>
      </c>
      <c r="L384" s="278">
        <v>77140</v>
      </c>
      <c r="M384" s="278">
        <v>64010</v>
      </c>
    </row>
    <row r="385" spans="1:13" ht="15" customHeight="1">
      <c r="A385" s="278">
        <v>4640</v>
      </c>
      <c r="B385" s="278">
        <v>4660</v>
      </c>
      <c r="C385" s="278">
        <v>299980</v>
      </c>
      <c r="D385" s="278">
        <v>271490</v>
      </c>
      <c r="E385" s="278">
        <v>206410</v>
      </c>
      <c r="F385" s="278">
        <v>187660</v>
      </c>
      <c r="G385" s="278">
        <v>168910</v>
      </c>
      <c r="H385" s="278">
        <v>150160</v>
      </c>
      <c r="I385" s="278">
        <v>131410</v>
      </c>
      <c r="J385" s="278">
        <v>112660</v>
      </c>
      <c r="K385" s="278">
        <v>93910</v>
      </c>
      <c r="L385" s="278">
        <v>78950</v>
      </c>
      <c r="M385" s="278">
        <v>65820</v>
      </c>
    </row>
    <row r="386" spans="1:13" ht="15" customHeight="1">
      <c r="A386" s="278">
        <v>4660</v>
      </c>
      <c r="B386" s="278">
        <v>4680</v>
      </c>
      <c r="C386" s="278">
        <v>302780</v>
      </c>
      <c r="D386" s="278">
        <v>274280</v>
      </c>
      <c r="E386" s="278">
        <v>208990</v>
      </c>
      <c r="F386" s="278">
        <v>190240</v>
      </c>
      <c r="G386" s="278">
        <v>171490</v>
      </c>
      <c r="H386" s="278">
        <v>152740</v>
      </c>
      <c r="I386" s="278">
        <v>133990</v>
      </c>
      <c r="J386" s="278">
        <v>115240</v>
      </c>
      <c r="K386" s="278">
        <v>96490</v>
      </c>
      <c r="L386" s="278">
        <v>80750</v>
      </c>
      <c r="M386" s="278">
        <v>67630</v>
      </c>
    </row>
    <row r="387" spans="1:13" ht="15" customHeight="1">
      <c r="A387" s="278">
        <v>4680</v>
      </c>
      <c r="B387" s="278">
        <v>4700</v>
      </c>
      <c r="C387" s="278">
        <v>305590</v>
      </c>
      <c r="D387" s="278">
        <v>277070</v>
      </c>
      <c r="E387" s="278">
        <v>211570</v>
      </c>
      <c r="F387" s="278">
        <v>192820</v>
      </c>
      <c r="G387" s="278">
        <v>174070</v>
      </c>
      <c r="H387" s="278">
        <v>155320</v>
      </c>
      <c r="I387" s="278">
        <v>136570</v>
      </c>
      <c r="J387" s="278">
        <v>117820</v>
      </c>
      <c r="K387" s="278">
        <v>99070</v>
      </c>
      <c r="L387" s="278">
        <v>82560</v>
      </c>
      <c r="M387" s="278">
        <v>69430</v>
      </c>
    </row>
    <row r="388" spans="1:13" ht="15" customHeight="1">
      <c r="A388" s="278">
        <v>4700</v>
      </c>
      <c r="B388" s="278">
        <v>4720</v>
      </c>
      <c r="C388" s="278">
        <v>308390</v>
      </c>
      <c r="D388" s="278">
        <v>279860</v>
      </c>
      <c r="E388" s="278">
        <v>214150</v>
      </c>
      <c r="F388" s="278">
        <v>195400</v>
      </c>
      <c r="G388" s="278">
        <v>176650</v>
      </c>
      <c r="H388" s="278">
        <v>157900</v>
      </c>
      <c r="I388" s="278">
        <v>139150</v>
      </c>
      <c r="J388" s="278">
        <v>120400</v>
      </c>
      <c r="K388" s="278">
        <v>101650</v>
      </c>
      <c r="L388" s="278">
        <v>84360</v>
      </c>
      <c r="M388" s="278">
        <v>71240</v>
      </c>
    </row>
    <row r="389" spans="1:13" ht="15" customHeight="1">
      <c r="A389" s="278">
        <v>4720</v>
      </c>
      <c r="B389" s="278">
        <v>4740</v>
      </c>
      <c r="C389" s="278">
        <v>311200</v>
      </c>
      <c r="D389" s="278">
        <v>282650</v>
      </c>
      <c r="E389" s="278">
        <v>216730</v>
      </c>
      <c r="F389" s="278">
        <v>197980</v>
      </c>
      <c r="G389" s="278">
        <v>179230</v>
      </c>
      <c r="H389" s="278">
        <v>160480</v>
      </c>
      <c r="I389" s="278">
        <v>141730</v>
      </c>
      <c r="J389" s="278">
        <v>122980</v>
      </c>
      <c r="K389" s="278">
        <v>104230</v>
      </c>
      <c r="L389" s="278">
        <v>86170</v>
      </c>
      <c r="M389" s="278">
        <v>73040</v>
      </c>
    </row>
    <row r="390" spans="1:13" ht="15" customHeight="1">
      <c r="A390" s="278">
        <v>4740</v>
      </c>
      <c r="B390" s="278">
        <v>4760</v>
      </c>
      <c r="C390" s="278">
        <v>314000</v>
      </c>
      <c r="D390" s="278">
        <v>285440</v>
      </c>
      <c r="E390" s="278">
        <v>219310</v>
      </c>
      <c r="F390" s="278">
        <v>200560</v>
      </c>
      <c r="G390" s="278">
        <v>181810</v>
      </c>
      <c r="H390" s="278">
        <v>163060</v>
      </c>
      <c r="I390" s="278">
        <v>144310</v>
      </c>
      <c r="J390" s="278">
        <v>125560</v>
      </c>
      <c r="K390" s="278">
        <v>106810</v>
      </c>
      <c r="L390" s="278">
        <v>88060</v>
      </c>
      <c r="M390" s="278">
        <v>74850</v>
      </c>
    </row>
    <row r="391" spans="1:13" ht="15" customHeight="1">
      <c r="A391" s="278">
        <v>4760</v>
      </c>
      <c r="B391" s="278">
        <v>4780</v>
      </c>
      <c r="C391" s="278">
        <v>316810</v>
      </c>
      <c r="D391" s="278">
        <v>288230</v>
      </c>
      <c r="E391" s="278">
        <v>221890</v>
      </c>
      <c r="F391" s="278">
        <v>203140</v>
      </c>
      <c r="G391" s="278">
        <v>184390</v>
      </c>
      <c r="H391" s="278">
        <v>165640</v>
      </c>
      <c r="I391" s="278">
        <v>146890</v>
      </c>
      <c r="J391" s="278">
        <v>128140</v>
      </c>
      <c r="K391" s="278">
        <v>109390</v>
      </c>
      <c r="L391" s="278">
        <v>90640</v>
      </c>
      <c r="M391" s="278">
        <v>76660</v>
      </c>
    </row>
    <row r="392" spans="1:13" ht="15" customHeight="1">
      <c r="A392" s="278">
        <v>4780</v>
      </c>
      <c r="B392" s="278">
        <v>4800</v>
      </c>
      <c r="C392" s="278">
        <v>319610</v>
      </c>
      <c r="D392" s="278">
        <v>291020</v>
      </c>
      <c r="E392" s="278">
        <v>224470</v>
      </c>
      <c r="F392" s="278">
        <v>205720</v>
      </c>
      <c r="G392" s="278">
        <v>186970</v>
      </c>
      <c r="H392" s="278">
        <v>168220</v>
      </c>
      <c r="I392" s="278">
        <v>149470</v>
      </c>
      <c r="J392" s="278">
        <v>130720</v>
      </c>
      <c r="K392" s="278">
        <v>111970</v>
      </c>
      <c r="L392" s="278">
        <v>93220</v>
      </c>
      <c r="M392" s="278">
        <v>78460</v>
      </c>
    </row>
    <row r="393" spans="1:13" ht="15" customHeight="1">
      <c r="A393" s="278">
        <v>4800</v>
      </c>
      <c r="B393" s="278">
        <v>4820</v>
      </c>
      <c r="C393" s="278">
        <v>322420</v>
      </c>
      <c r="D393" s="278">
        <v>293810</v>
      </c>
      <c r="E393" s="278">
        <v>227050</v>
      </c>
      <c r="F393" s="278">
        <v>208300</v>
      </c>
      <c r="G393" s="278">
        <v>189550</v>
      </c>
      <c r="H393" s="278">
        <v>170800</v>
      </c>
      <c r="I393" s="278">
        <v>152050</v>
      </c>
      <c r="J393" s="278">
        <v>133300</v>
      </c>
      <c r="K393" s="278">
        <v>114550</v>
      </c>
      <c r="L393" s="278">
        <v>95800</v>
      </c>
      <c r="M393" s="278">
        <v>80270</v>
      </c>
    </row>
    <row r="394" spans="1:13" ht="15" customHeight="1">
      <c r="A394" s="278">
        <v>4820</v>
      </c>
      <c r="B394" s="278">
        <v>4840</v>
      </c>
      <c r="C394" s="278">
        <v>325220</v>
      </c>
      <c r="D394" s="278">
        <v>296600</v>
      </c>
      <c r="E394" s="278">
        <v>229630</v>
      </c>
      <c r="F394" s="278">
        <v>210880</v>
      </c>
      <c r="G394" s="278">
        <v>192130</v>
      </c>
      <c r="H394" s="278">
        <v>173380</v>
      </c>
      <c r="I394" s="278">
        <v>154630</v>
      </c>
      <c r="J394" s="278">
        <v>135880</v>
      </c>
      <c r="K394" s="278">
        <v>117130</v>
      </c>
      <c r="L394" s="278">
        <v>98380</v>
      </c>
      <c r="M394" s="278">
        <v>82070</v>
      </c>
    </row>
    <row r="395" spans="1:13" ht="15" customHeight="1">
      <c r="A395" s="278">
        <v>4840</v>
      </c>
      <c r="B395" s="278">
        <v>4860</v>
      </c>
      <c r="C395" s="278">
        <v>328030</v>
      </c>
      <c r="D395" s="278">
        <v>299390</v>
      </c>
      <c r="E395" s="278">
        <v>232210</v>
      </c>
      <c r="F395" s="278">
        <v>213460</v>
      </c>
      <c r="G395" s="278">
        <v>194710</v>
      </c>
      <c r="H395" s="278">
        <v>175960</v>
      </c>
      <c r="I395" s="278">
        <v>157210</v>
      </c>
      <c r="J395" s="278">
        <v>138460</v>
      </c>
      <c r="K395" s="278">
        <v>119710</v>
      </c>
      <c r="L395" s="278">
        <v>100960</v>
      </c>
      <c r="M395" s="278">
        <v>83880</v>
      </c>
    </row>
    <row r="396" spans="1:13" ht="15" customHeight="1">
      <c r="A396" s="278">
        <v>4860</v>
      </c>
      <c r="B396" s="278">
        <v>4880</v>
      </c>
      <c r="C396" s="278">
        <v>330830</v>
      </c>
      <c r="D396" s="278">
        <v>302180</v>
      </c>
      <c r="E396" s="278">
        <v>234790</v>
      </c>
      <c r="F396" s="278">
        <v>216040</v>
      </c>
      <c r="G396" s="278">
        <v>197290</v>
      </c>
      <c r="H396" s="278">
        <v>178540</v>
      </c>
      <c r="I396" s="278">
        <v>159790</v>
      </c>
      <c r="J396" s="278">
        <v>141040</v>
      </c>
      <c r="K396" s="278">
        <v>122290</v>
      </c>
      <c r="L396" s="278">
        <v>103540</v>
      </c>
      <c r="M396" s="278">
        <v>85690</v>
      </c>
    </row>
    <row r="397" spans="1:13" ht="15" customHeight="1">
      <c r="A397" s="278">
        <v>4880</v>
      </c>
      <c r="B397" s="278">
        <v>4900</v>
      </c>
      <c r="C397" s="278">
        <v>333640</v>
      </c>
      <c r="D397" s="278">
        <v>304970</v>
      </c>
      <c r="E397" s="278">
        <v>237370</v>
      </c>
      <c r="F397" s="278">
        <v>218620</v>
      </c>
      <c r="G397" s="278">
        <v>199870</v>
      </c>
      <c r="H397" s="278">
        <v>181120</v>
      </c>
      <c r="I397" s="278">
        <v>162370</v>
      </c>
      <c r="J397" s="278">
        <v>143620</v>
      </c>
      <c r="K397" s="278">
        <v>124870</v>
      </c>
      <c r="L397" s="278">
        <v>106120</v>
      </c>
      <c r="M397" s="278">
        <v>87490</v>
      </c>
    </row>
    <row r="398" spans="1:13" ht="15" customHeight="1">
      <c r="A398" s="278">
        <v>4900</v>
      </c>
      <c r="B398" s="278">
        <v>4920</v>
      </c>
      <c r="C398" s="278">
        <v>336440</v>
      </c>
      <c r="D398" s="278">
        <v>307760</v>
      </c>
      <c r="E398" s="278">
        <v>239950</v>
      </c>
      <c r="F398" s="278">
        <v>221200</v>
      </c>
      <c r="G398" s="278">
        <v>202450</v>
      </c>
      <c r="H398" s="278">
        <v>183700</v>
      </c>
      <c r="I398" s="278">
        <v>164950</v>
      </c>
      <c r="J398" s="278">
        <v>146200</v>
      </c>
      <c r="K398" s="278">
        <v>127450</v>
      </c>
      <c r="L398" s="278">
        <v>108700</v>
      </c>
      <c r="M398" s="278">
        <v>89950</v>
      </c>
    </row>
    <row r="399" spans="1:13" ht="15" customHeight="1">
      <c r="A399" s="278">
        <v>4920</v>
      </c>
      <c r="B399" s="278">
        <v>4940</v>
      </c>
      <c r="C399" s="278">
        <v>339250</v>
      </c>
      <c r="D399" s="278">
        <v>310550</v>
      </c>
      <c r="E399" s="278">
        <v>242530</v>
      </c>
      <c r="F399" s="278">
        <v>223780</v>
      </c>
      <c r="G399" s="278">
        <v>205030</v>
      </c>
      <c r="H399" s="278">
        <v>186280</v>
      </c>
      <c r="I399" s="278">
        <v>167530</v>
      </c>
      <c r="J399" s="278">
        <v>148780</v>
      </c>
      <c r="K399" s="278">
        <v>130030</v>
      </c>
      <c r="L399" s="278">
        <v>111280</v>
      </c>
      <c r="M399" s="278">
        <v>92530</v>
      </c>
    </row>
    <row r="400" spans="1:13" ht="15" customHeight="1">
      <c r="A400" s="278">
        <v>4940</v>
      </c>
      <c r="B400" s="278">
        <v>4960</v>
      </c>
      <c r="C400" s="278">
        <v>342050</v>
      </c>
      <c r="D400" s="278">
        <v>313340</v>
      </c>
      <c r="E400" s="278">
        <v>245110</v>
      </c>
      <c r="F400" s="278">
        <v>226360</v>
      </c>
      <c r="G400" s="278">
        <v>207610</v>
      </c>
      <c r="H400" s="278">
        <v>188860</v>
      </c>
      <c r="I400" s="278">
        <v>170110</v>
      </c>
      <c r="J400" s="278">
        <v>151360</v>
      </c>
      <c r="K400" s="278">
        <v>132610</v>
      </c>
      <c r="L400" s="278">
        <v>113860</v>
      </c>
      <c r="M400" s="278">
        <v>95110</v>
      </c>
    </row>
    <row r="401" spans="1:13" ht="15" customHeight="1">
      <c r="A401" s="278">
        <v>4960</v>
      </c>
      <c r="B401" s="278">
        <v>4980</v>
      </c>
      <c r="C401" s="278">
        <v>344860</v>
      </c>
      <c r="D401" s="278">
        <v>316130</v>
      </c>
      <c r="E401" s="278">
        <v>247690</v>
      </c>
      <c r="F401" s="278">
        <v>228940</v>
      </c>
      <c r="G401" s="278">
        <v>210190</v>
      </c>
      <c r="H401" s="278">
        <v>191440</v>
      </c>
      <c r="I401" s="278">
        <v>172690</v>
      </c>
      <c r="J401" s="278">
        <v>153940</v>
      </c>
      <c r="K401" s="278">
        <v>135190</v>
      </c>
      <c r="L401" s="278">
        <v>116440</v>
      </c>
      <c r="M401" s="278">
        <v>97690</v>
      </c>
    </row>
    <row r="402" spans="1:13" ht="15" customHeight="1">
      <c r="A402" s="278">
        <v>4980</v>
      </c>
      <c r="B402" s="278">
        <v>5000</v>
      </c>
      <c r="C402" s="278">
        <v>347660</v>
      </c>
      <c r="D402" s="278">
        <v>318920</v>
      </c>
      <c r="E402" s="278">
        <v>250270</v>
      </c>
      <c r="F402" s="278">
        <v>231520</v>
      </c>
      <c r="G402" s="278">
        <v>212770</v>
      </c>
      <c r="H402" s="278">
        <v>194020</v>
      </c>
      <c r="I402" s="278">
        <v>175270</v>
      </c>
      <c r="J402" s="278">
        <v>156520</v>
      </c>
      <c r="K402" s="278">
        <v>137770</v>
      </c>
      <c r="L402" s="278">
        <v>119020</v>
      </c>
      <c r="M402" s="278">
        <v>100270</v>
      </c>
    </row>
    <row r="403" spans="1:13" ht="15" customHeight="1">
      <c r="A403" s="278">
        <v>5000</v>
      </c>
      <c r="B403" s="278">
        <v>5020</v>
      </c>
      <c r="C403" s="278">
        <v>350470</v>
      </c>
      <c r="D403" s="278">
        <v>321710</v>
      </c>
      <c r="E403" s="278">
        <v>252850</v>
      </c>
      <c r="F403" s="278">
        <v>234100</v>
      </c>
      <c r="G403" s="278">
        <v>215350</v>
      </c>
      <c r="H403" s="278">
        <v>196600</v>
      </c>
      <c r="I403" s="278">
        <v>177850</v>
      </c>
      <c r="J403" s="278">
        <v>159100</v>
      </c>
      <c r="K403" s="278">
        <v>140350</v>
      </c>
      <c r="L403" s="278">
        <v>121600</v>
      </c>
      <c r="M403" s="278">
        <v>102850</v>
      </c>
    </row>
    <row r="404" spans="1:13" ht="15" customHeight="1">
      <c r="A404" s="278">
        <v>5020</v>
      </c>
      <c r="B404" s="278">
        <v>5040</v>
      </c>
      <c r="C404" s="278">
        <v>353270</v>
      </c>
      <c r="D404" s="278">
        <v>324500</v>
      </c>
      <c r="E404" s="278">
        <v>255430</v>
      </c>
      <c r="F404" s="278">
        <v>236680</v>
      </c>
      <c r="G404" s="278">
        <v>217930</v>
      </c>
      <c r="H404" s="278">
        <v>199180</v>
      </c>
      <c r="I404" s="278">
        <v>180430</v>
      </c>
      <c r="J404" s="278">
        <v>161680</v>
      </c>
      <c r="K404" s="278">
        <v>142930</v>
      </c>
      <c r="L404" s="278">
        <v>124180</v>
      </c>
      <c r="M404" s="278">
        <v>105430</v>
      </c>
    </row>
    <row r="405" spans="1:13" ht="15" customHeight="1">
      <c r="A405" s="278">
        <v>5040</v>
      </c>
      <c r="B405" s="278">
        <v>5060</v>
      </c>
      <c r="C405" s="278">
        <v>356080</v>
      </c>
      <c r="D405" s="278">
        <v>327290</v>
      </c>
      <c r="E405" s="278">
        <v>258010</v>
      </c>
      <c r="F405" s="278">
        <v>239260</v>
      </c>
      <c r="G405" s="278">
        <v>220510</v>
      </c>
      <c r="H405" s="278">
        <v>201760</v>
      </c>
      <c r="I405" s="278">
        <v>183010</v>
      </c>
      <c r="J405" s="278">
        <v>164260</v>
      </c>
      <c r="K405" s="278">
        <v>145510</v>
      </c>
      <c r="L405" s="278">
        <v>126760</v>
      </c>
      <c r="M405" s="278">
        <v>108010</v>
      </c>
    </row>
    <row r="406" spans="1:13" ht="15" customHeight="1">
      <c r="A406" s="278">
        <v>5060</v>
      </c>
      <c r="B406" s="278">
        <v>5080</v>
      </c>
      <c r="C406" s="278">
        <v>358880</v>
      </c>
      <c r="D406" s="278">
        <v>330080</v>
      </c>
      <c r="E406" s="278">
        <v>260590</v>
      </c>
      <c r="F406" s="278">
        <v>241840</v>
      </c>
      <c r="G406" s="278">
        <v>223090</v>
      </c>
      <c r="H406" s="278">
        <v>204340</v>
      </c>
      <c r="I406" s="278">
        <v>185590</v>
      </c>
      <c r="J406" s="278">
        <v>166840</v>
      </c>
      <c r="K406" s="278">
        <v>148090</v>
      </c>
      <c r="L406" s="278">
        <v>129340</v>
      </c>
      <c r="M406" s="278">
        <v>110590</v>
      </c>
    </row>
    <row r="407" spans="1:13" ht="15" customHeight="1">
      <c r="A407" s="278">
        <v>5080</v>
      </c>
      <c r="B407" s="278">
        <v>5100</v>
      </c>
      <c r="C407" s="278">
        <v>361690</v>
      </c>
      <c r="D407" s="278">
        <v>332870</v>
      </c>
      <c r="E407" s="278">
        <v>263170</v>
      </c>
      <c r="F407" s="278">
        <v>244420</v>
      </c>
      <c r="G407" s="278">
        <v>225670</v>
      </c>
      <c r="H407" s="278">
        <v>206920</v>
      </c>
      <c r="I407" s="278">
        <v>188170</v>
      </c>
      <c r="J407" s="278">
        <v>169420</v>
      </c>
      <c r="K407" s="278">
        <v>150670</v>
      </c>
      <c r="L407" s="278">
        <v>131920</v>
      </c>
      <c r="M407" s="278">
        <v>113170</v>
      </c>
    </row>
    <row r="408" spans="1:13" ht="15" customHeight="1">
      <c r="A408" s="278">
        <v>5100</v>
      </c>
      <c r="B408" s="278">
        <v>5120</v>
      </c>
      <c r="C408" s="278">
        <v>364490</v>
      </c>
      <c r="D408" s="278">
        <v>335660</v>
      </c>
      <c r="E408" s="278">
        <v>265750</v>
      </c>
      <c r="F408" s="278">
        <v>247000</v>
      </c>
      <c r="G408" s="278">
        <v>228250</v>
      </c>
      <c r="H408" s="278">
        <v>209500</v>
      </c>
      <c r="I408" s="278">
        <v>190750</v>
      </c>
      <c r="J408" s="278">
        <v>172000</v>
      </c>
      <c r="K408" s="278">
        <v>153250</v>
      </c>
      <c r="L408" s="278">
        <v>134500</v>
      </c>
      <c r="M408" s="278">
        <v>115750</v>
      </c>
    </row>
    <row r="409" spans="1:13" ht="15" customHeight="1">
      <c r="A409" s="278">
        <v>5120</v>
      </c>
      <c r="B409" s="278">
        <v>5140</v>
      </c>
      <c r="C409" s="278">
        <v>367300</v>
      </c>
      <c r="D409" s="278">
        <v>338450</v>
      </c>
      <c r="E409" s="278">
        <v>268330</v>
      </c>
      <c r="F409" s="278">
        <v>249580</v>
      </c>
      <c r="G409" s="278">
        <v>230830</v>
      </c>
      <c r="H409" s="278">
        <v>212080</v>
      </c>
      <c r="I409" s="278">
        <v>193330</v>
      </c>
      <c r="J409" s="278">
        <v>174580</v>
      </c>
      <c r="K409" s="278">
        <v>155830</v>
      </c>
      <c r="L409" s="278">
        <v>137080</v>
      </c>
      <c r="M409" s="278">
        <v>118330</v>
      </c>
    </row>
    <row r="410" spans="1:13" ht="15" customHeight="1">
      <c r="A410" s="278">
        <v>5140</v>
      </c>
      <c r="B410" s="278">
        <v>5160</v>
      </c>
      <c r="C410" s="278">
        <v>370100</v>
      </c>
      <c r="D410" s="278">
        <v>341240</v>
      </c>
      <c r="E410" s="278">
        <v>270910</v>
      </c>
      <c r="F410" s="278">
        <v>252160</v>
      </c>
      <c r="G410" s="278">
        <v>233410</v>
      </c>
      <c r="H410" s="278">
        <v>214660</v>
      </c>
      <c r="I410" s="278">
        <v>195910</v>
      </c>
      <c r="J410" s="278">
        <v>177160</v>
      </c>
      <c r="K410" s="278">
        <v>158410</v>
      </c>
      <c r="L410" s="278">
        <v>139660</v>
      </c>
      <c r="M410" s="278">
        <v>120910</v>
      </c>
    </row>
    <row r="411" spans="1:13" ht="15" customHeight="1">
      <c r="A411" s="278">
        <v>5160</v>
      </c>
      <c r="B411" s="278">
        <v>5180</v>
      </c>
      <c r="C411" s="278">
        <v>372910</v>
      </c>
      <c r="D411" s="278">
        <v>344030</v>
      </c>
      <c r="E411" s="278">
        <v>273490</v>
      </c>
      <c r="F411" s="278">
        <v>254740</v>
      </c>
      <c r="G411" s="278">
        <v>235990</v>
      </c>
      <c r="H411" s="278">
        <v>217240</v>
      </c>
      <c r="I411" s="278">
        <v>198490</v>
      </c>
      <c r="J411" s="278">
        <v>179740</v>
      </c>
      <c r="K411" s="278">
        <v>160990</v>
      </c>
      <c r="L411" s="278">
        <v>142240</v>
      </c>
      <c r="M411" s="278">
        <v>123490</v>
      </c>
    </row>
    <row r="412" spans="1:13" ht="15" customHeight="1">
      <c r="A412" s="278">
        <v>5180</v>
      </c>
      <c r="B412" s="278">
        <v>5200</v>
      </c>
      <c r="C412" s="278">
        <v>375710</v>
      </c>
      <c r="D412" s="278">
        <v>346820</v>
      </c>
      <c r="E412" s="278">
        <v>276070</v>
      </c>
      <c r="F412" s="278">
        <v>257320</v>
      </c>
      <c r="G412" s="278">
        <v>238570</v>
      </c>
      <c r="H412" s="278">
        <v>219820</v>
      </c>
      <c r="I412" s="278">
        <v>201070</v>
      </c>
      <c r="J412" s="278">
        <v>182320</v>
      </c>
      <c r="K412" s="278">
        <v>163570</v>
      </c>
      <c r="L412" s="278">
        <v>144820</v>
      </c>
      <c r="M412" s="278">
        <v>126070</v>
      </c>
    </row>
    <row r="413" spans="1:13" ht="15" customHeight="1">
      <c r="A413" s="278">
        <v>5200</v>
      </c>
      <c r="B413" s="278">
        <v>5220</v>
      </c>
      <c r="C413" s="278">
        <v>378520</v>
      </c>
      <c r="D413" s="278">
        <v>349610</v>
      </c>
      <c r="E413" s="278">
        <v>278650</v>
      </c>
      <c r="F413" s="278">
        <v>259900</v>
      </c>
      <c r="G413" s="278">
        <v>241150</v>
      </c>
      <c r="H413" s="278">
        <v>222400</v>
      </c>
      <c r="I413" s="278">
        <v>203650</v>
      </c>
      <c r="J413" s="278">
        <v>184900</v>
      </c>
      <c r="K413" s="278">
        <v>166150</v>
      </c>
      <c r="L413" s="278">
        <v>147400</v>
      </c>
      <c r="M413" s="278">
        <v>128650</v>
      </c>
    </row>
    <row r="414" spans="1:13" ht="15" customHeight="1">
      <c r="A414" s="278">
        <v>5220</v>
      </c>
      <c r="B414" s="278">
        <v>5240</v>
      </c>
      <c r="C414" s="278">
        <v>381320</v>
      </c>
      <c r="D414" s="278">
        <v>352400</v>
      </c>
      <c r="E414" s="278">
        <v>281230</v>
      </c>
      <c r="F414" s="278">
        <v>262480</v>
      </c>
      <c r="G414" s="278">
        <v>243730</v>
      </c>
      <c r="H414" s="278">
        <v>224980</v>
      </c>
      <c r="I414" s="278">
        <v>206230</v>
      </c>
      <c r="J414" s="278">
        <v>187480</v>
      </c>
      <c r="K414" s="278">
        <v>168730</v>
      </c>
      <c r="L414" s="278">
        <v>149980</v>
      </c>
      <c r="M414" s="278">
        <v>131230</v>
      </c>
    </row>
    <row r="415" spans="1:13" ht="15" customHeight="1">
      <c r="A415" s="278">
        <v>5240</v>
      </c>
      <c r="B415" s="278">
        <v>5260</v>
      </c>
      <c r="C415" s="278">
        <v>384130</v>
      </c>
      <c r="D415" s="278">
        <v>355190</v>
      </c>
      <c r="E415" s="278">
        <v>283810</v>
      </c>
      <c r="F415" s="278">
        <v>265060</v>
      </c>
      <c r="G415" s="278">
        <v>246310</v>
      </c>
      <c r="H415" s="278">
        <v>227560</v>
      </c>
      <c r="I415" s="278">
        <v>208810</v>
      </c>
      <c r="J415" s="278">
        <v>190060</v>
      </c>
      <c r="K415" s="278">
        <v>171310</v>
      </c>
      <c r="L415" s="278">
        <v>152560</v>
      </c>
      <c r="M415" s="278">
        <v>133810</v>
      </c>
    </row>
    <row r="416" spans="1:13" ht="15" customHeight="1">
      <c r="A416" s="278">
        <v>5260</v>
      </c>
      <c r="B416" s="278">
        <v>5280</v>
      </c>
      <c r="C416" s="278">
        <v>386930</v>
      </c>
      <c r="D416" s="278">
        <v>357980</v>
      </c>
      <c r="E416" s="278">
        <v>286390</v>
      </c>
      <c r="F416" s="278">
        <v>267640</v>
      </c>
      <c r="G416" s="278">
        <v>248890</v>
      </c>
      <c r="H416" s="278">
        <v>230140</v>
      </c>
      <c r="I416" s="278">
        <v>211390</v>
      </c>
      <c r="J416" s="278">
        <v>192640</v>
      </c>
      <c r="K416" s="278">
        <v>173890</v>
      </c>
      <c r="L416" s="278">
        <v>155140</v>
      </c>
      <c r="M416" s="278">
        <v>136390</v>
      </c>
    </row>
    <row r="417" spans="1:13" ht="15" customHeight="1">
      <c r="A417" s="278">
        <v>5280</v>
      </c>
      <c r="B417" s="278">
        <v>5300</v>
      </c>
      <c r="C417" s="278">
        <v>389740</v>
      </c>
      <c r="D417" s="278">
        <v>360770</v>
      </c>
      <c r="E417" s="278">
        <v>288970</v>
      </c>
      <c r="F417" s="278">
        <v>270220</v>
      </c>
      <c r="G417" s="278">
        <v>251470</v>
      </c>
      <c r="H417" s="278">
        <v>232720</v>
      </c>
      <c r="I417" s="278">
        <v>213970</v>
      </c>
      <c r="J417" s="278">
        <v>195220</v>
      </c>
      <c r="K417" s="278">
        <v>176470</v>
      </c>
      <c r="L417" s="278">
        <v>157720</v>
      </c>
      <c r="M417" s="278">
        <v>138970</v>
      </c>
    </row>
    <row r="418" spans="1:13" ht="15" customHeight="1">
      <c r="A418" s="278">
        <v>5300</v>
      </c>
      <c r="B418" s="278">
        <v>5320</v>
      </c>
      <c r="C418" s="278">
        <v>392540</v>
      </c>
      <c r="D418" s="278">
        <v>363560</v>
      </c>
      <c r="E418" s="278">
        <v>291550</v>
      </c>
      <c r="F418" s="278">
        <v>272800</v>
      </c>
      <c r="G418" s="278">
        <v>254050</v>
      </c>
      <c r="H418" s="278">
        <v>235300</v>
      </c>
      <c r="I418" s="278">
        <v>216550</v>
      </c>
      <c r="J418" s="278">
        <v>197800</v>
      </c>
      <c r="K418" s="278">
        <v>179050</v>
      </c>
      <c r="L418" s="278">
        <v>160300</v>
      </c>
      <c r="M418" s="278">
        <v>141550</v>
      </c>
    </row>
    <row r="419" spans="1:13" ht="15" customHeight="1">
      <c r="A419" s="278">
        <v>5320</v>
      </c>
      <c r="B419" s="278">
        <v>5340</v>
      </c>
      <c r="C419" s="278">
        <v>395350</v>
      </c>
      <c r="D419" s="278">
        <v>366350</v>
      </c>
      <c r="E419" s="278">
        <v>294130</v>
      </c>
      <c r="F419" s="278">
        <v>275380</v>
      </c>
      <c r="G419" s="278">
        <v>256630</v>
      </c>
      <c r="H419" s="278">
        <v>237880</v>
      </c>
      <c r="I419" s="278">
        <v>219130</v>
      </c>
      <c r="J419" s="278">
        <v>200380</v>
      </c>
      <c r="K419" s="278">
        <v>181630</v>
      </c>
      <c r="L419" s="278">
        <v>162880</v>
      </c>
      <c r="M419" s="278">
        <v>144130</v>
      </c>
    </row>
    <row r="420" spans="1:13" ht="15" customHeight="1">
      <c r="A420" s="278">
        <v>5340</v>
      </c>
      <c r="B420" s="278">
        <v>5360</v>
      </c>
      <c r="C420" s="278">
        <v>398150</v>
      </c>
      <c r="D420" s="278">
        <v>369140</v>
      </c>
      <c r="E420" s="278">
        <v>296710</v>
      </c>
      <c r="F420" s="278">
        <v>277960</v>
      </c>
      <c r="G420" s="278">
        <v>259210</v>
      </c>
      <c r="H420" s="278">
        <v>240460</v>
      </c>
      <c r="I420" s="278">
        <v>221710</v>
      </c>
      <c r="J420" s="278">
        <v>202960</v>
      </c>
      <c r="K420" s="278">
        <v>184210</v>
      </c>
      <c r="L420" s="278">
        <v>165460</v>
      </c>
      <c r="M420" s="278">
        <v>146710</v>
      </c>
    </row>
    <row r="421" spans="1:13" ht="15" customHeight="1">
      <c r="A421" s="278">
        <v>5360</v>
      </c>
      <c r="B421" s="278">
        <v>5380</v>
      </c>
      <c r="C421" s="278">
        <v>400960</v>
      </c>
      <c r="D421" s="278">
        <v>371930</v>
      </c>
      <c r="E421" s="278">
        <v>299290</v>
      </c>
      <c r="F421" s="278">
        <v>280540</v>
      </c>
      <c r="G421" s="278">
        <v>261790</v>
      </c>
      <c r="H421" s="278">
        <v>243040</v>
      </c>
      <c r="I421" s="278">
        <v>224290</v>
      </c>
      <c r="J421" s="278">
        <v>205540</v>
      </c>
      <c r="K421" s="278">
        <v>186790</v>
      </c>
      <c r="L421" s="278">
        <v>168040</v>
      </c>
      <c r="M421" s="278">
        <v>149290</v>
      </c>
    </row>
    <row r="422" spans="1:13" ht="15" customHeight="1">
      <c r="A422" s="278">
        <v>5380</v>
      </c>
      <c r="B422" s="278">
        <v>5400</v>
      </c>
      <c r="C422" s="278">
        <v>403760</v>
      </c>
      <c r="D422" s="278">
        <v>374720</v>
      </c>
      <c r="E422" s="278">
        <v>301870</v>
      </c>
      <c r="F422" s="278">
        <v>283120</v>
      </c>
      <c r="G422" s="278">
        <v>264370</v>
      </c>
      <c r="H422" s="278">
        <v>245620</v>
      </c>
      <c r="I422" s="278">
        <v>226870</v>
      </c>
      <c r="J422" s="278">
        <v>208120</v>
      </c>
      <c r="K422" s="278">
        <v>189370</v>
      </c>
      <c r="L422" s="278">
        <v>170620</v>
      </c>
      <c r="M422" s="278">
        <v>151870</v>
      </c>
    </row>
    <row r="423" spans="1:13" ht="15" customHeight="1">
      <c r="A423" s="278">
        <v>5400</v>
      </c>
      <c r="B423" s="278">
        <v>5420</v>
      </c>
      <c r="C423" s="278">
        <v>406570</v>
      </c>
      <c r="D423" s="278">
        <v>377510</v>
      </c>
      <c r="E423" s="278">
        <v>304450</v>
      </c>
      <c r="F423" s="278">
        <v>285700</v>
      </c>
      <c r="G423" s="278">
        <v>266950</v>
      </c>
      <c r="H423" s="278">
        <v>248200</v>
      </c>
      <c r="I423" s="278">
        <v>229450</v>
      </c>
      <c r="J423" s="278">
        <v>210700</v>
      </c>
      <c r="K423" s="278">
        <v>191950</v>
      </c>
      <c r="L423" s="278">
        <v>173200</v>
      </c>
      <c r="M423" s="278">
        <v>154450</v>
      </c>
    </row>
    <row r="424" spans="1:13" ht="15" customHeight="1">
      <c r="A424" s="278">
        <v>5420</v>
      </c>
      <c r="B424" s="278">
        <v>5440</v>
      </c>
      <c r="C424" s="278">
        <v>409370</v>
      </c>
      <c r="D424" s="278">
        <v>380300</v>
      </c>
      <c r="E424" s="278">
        <v>307030</v>
      </c>
      <c r="F424" s="278">
        <v>288280</v>
      </c>
      <c r="G424" s="278">
        <v>269530</v>
      </c>
      <c r="H424" s="278">
        <v>250780</v>
      </c>
      <c r="I424" s="278">
        <v>232030</v>
      </c>
      <c r="J424" s="278">
        <v>213280</v>
      </c>
      <c r="K424" s="278">
        <v>194530</v>
      </c>
      <c r="L424" s="278">
        <v>175780</v>
      </c>
      <c r="M424" s="278">
        <v>157030</v>
      </c>
    </row>
    <row r="425" spans="1:13" ht="15" customHeight="1">
      <c r="A425" s="278">
        <v>5440</v>
      </c>
      <c r="B425" s="278">
        <v>5460</v>
      </c>
      <c r="C425" s="278">
        <v>412180</v>
      </c>
      <c r="D425" s="278">
        <v>383090</v>
      </c>
      <c r="E425" s="278">
        <v>309610</v>
      </c>
      <c r="F425" s="278">
        <v>290860</v>
      </c>
      <c r="G425" s="278">
        <v>272110</v>
      </c>
      <c r="H425" s="278">
        <v>253360</v>
      </c>
      <c r="I425" s="278">
        <v>234610</v>
      </c>
      <c r="J425" s="278">
        <v>215860</v>
      </c>
      <c r="K425" s="278">
        <v>197110</v>
      </c>
      <c r="L425" s="278">
        <v>178360</v>
      </c>
      <c r="M425" s="278">
        <v>159610</v>
      </c>
    </row>
    <row r="426" spans="1:13" ht="15" customHeight="1">
      <c r="A426" s="278">
        <v>5460</v>
      </c>
      <c r="B426" s="278">
        <v>5480</v>
      </c>
      <c r="C426" s="278">
        <v>414980</v>
      </c>
      <c r="D426" s="278">
        <v>385880</v>
      </c>
      <c r="E426" s="278">
        <v>312190</v>
      </c>
      <c r="F426" s="278">
        <v>293440</v>
      </c>
      <c r="G426" s="278">
        <v>274690</v>
      </c>
      <c r="H426" s="278">
        <v>255940</v>
      </c>
      <c r="I426" s="278">
        <v>237190</v>
      </c>
      <c r="J426" s="278">
        <v>218440</v>
      </c>
      <c r="K426" s="278">
        <v>199690</v>
      </c>
      <c r="L426" s="278">
        <v>180940</v>
      </c>
      <c r="M426" s="278">
        <v>162190</v>
      </c>
    </row>
    <row r="427" spans="1:13" ht="15" customHeight="1">
      <c r="A427" s="278">
        <v>5480</v>
      </c>
      <c r="B427" s="278">
        <v>5500</v>
      </c>
      <c r="C427" s="278">
        <v>417790</v>
      </c>
      <c r="D427" s="278">
        <v>388670</v>
      </c>
      <c r="E427" s="278">
        <v>314770</v>
      </c>
      <c r="F427" s="278">
        <v>296020</v>
      </c>
      <c r="G427" s="278">
        <v>277270</v>
      </c>
      <c r="H427" s="278">
        <v>258520</v>
      </c>
      <c r="I427" s="278">
        <v>239770</v>
      </c>
      <c r="J427" s="278">
        <v>221020</v>
      </c>
      <c r="K427" s="278">
        <v>202270</v>
      </c>
      <c r="L427" s="278">
        <v>183520</v>
      </c>
      <c r="M427" s="278">
        <v>164770</v>
      </c>
    </row>
    <row r="428" spans="1:13" ht="15" customHeight="1">
      <c r="A428" s="278">
        <v>5500</v>
      </c>
      <c r="B428" s="278">
        <v>5520</v>
      </c>
      <c r="C428" s="278">
        <v>420590</v>
      </c>
      <c r="D428" s="278">
        <v>391460</v>
      </c>
      <c r="E428" s="278">
        <v>317350</v>
      </c>
      <c r="F428" s="278">
        <v>298600</v>
      </c>
      <c r="G428" s="278">
        <v>279850</v>
      </c>
      <c r="H428" s="278">
        <v>261100</v>
      </c>
      <c r="I428" s="278">
        <v>242350</v>
      </c>
      <c r="J428" s="278">
        <v>223600</v>
      </c>
      <c r="K428" s="278">
        <v>204850</v>
      </c>
      <c r="L428" s="278">
        <v>186100</v>
      </c>
      <c r="M428" s="278">
        <v>167350</v>
      </c>
    </row>
    <row r="429" spans="1:13" ht="15" customHeight="1">
      <c r="A429" s="278">
        <v>5520</v>
      </c>
      <c r="B429" s="278">
        <v>5540</v>
      </c>
      <c r="C429" s="278">
        <v>423400</v>
      </c>
      <c r="D429" s="278">
        <v>394250</v>
      </c>
      <c r="E429" s="278">
        <v>319930</v>
      </c>
      <c r="F429" s="278">
        <v>301180</v>
      </c>
      <c r="G429" s="278">
        <v>282430</v>
      </c>
      <c r="H429" s="278">
        <v>263680</v>
      </c>
      <c r="I429" s="278">
        <v>244930</v>
      </c>
      <c r="J429" s="278">
        <v>226180</v>
      </c>
      <c r="K429" s="278">
        <v>207430</v>
      </c>
      <c r="L429" s="278">
        <v>188680</v>
      </c>
      <c r="M429" s="278">
        <v>169930</v>
      </c>
    </row>
    <row r="430" spans="1:13" ht="15" customHeight="1">
      <c r="A430" s="278">
        <v>5540</v>
      </c>
      <c r="B430" s="278">
        <v>5560</v>
      </c>
      <c r="C430" s="278">
        <v>426200</v>
      </c>
      <c r="D430" s="278">
        <v>397040</v>
      </c>
      <c r="E430" s="278">
        <v>322510</v>
      </c>
      <c r="F430" s="278">
        <v>303760</v>
      </c>
      <c r="G430" s="278">
        <v>285010</v>
      </c>
      <c r="H430" s="278">
        <v>266260</v>
      </c>
      <c r="I430" s="278">
        <v>247510</v>
      </c>
      <c r="J430" s="278">
        <v>228760</v>
      </c>
      <c r="K430" s="278">
        <v>210010</v>
      </c>
      <c r="L430" s="278">
        <v>191260</v>
      </c>
      <c r="M430" s="278">
        <v>172510</v>
      </c>
    </row>
    <row r="431" spans="1:13" ht="15" customHeight="1">
      <c r="A431" s="278">
        <v>5560</v>
      </c>
      <c r="B431" s="278">
        <v>5580</v>
      </c>
      <c r="C431" s="278">
        <v>429010</v>
      </c>
      <c r="D431" s="278">
        <v>399830</v>
      </c>
      <c r="E431" s="278">
        <v>325090</v>
      </c>
      <c r="F431" s="278">
        <v>306340</v>
      </c>
      <c r="G431" s="278">
        <v>287590</v>
      </c>
      <c r="H431" s="278">
        <v>268840</v>
      </c>
      <c r="I431" s="278">
        <v>250090</v>
      </c>
      <c r="J431" s="278">
        <v>231340</v>
      </c>
      <c r="K431" s="278">
        <v>212590</v>
      </c>
      <c r="L431" s="278">
        <v>193840</v>
      </c>
      <c r="M431" s="278">
        <v>175090</v>
      </c>
    </row>
    <row r="432" spans="1:13" ht="15" customHeight="1">
      <c r="A432" s="278">
        <v>5580</v>
      </c>
      <c r="B432" s="278">
        <v>5600</v>
      </c>
      <c r="C432" s="278">
        <v>431810</v>
      </c>
      <c r="D432" s="278">
        <v>402620</v>
      </c>
      <c r="E432" s="278">
        <v>327670</v>
      </c>
      <c r="F432" s="278">
        <v>308920</v>
      </c>
      <c r="G432" s="278">
        <v>290170</v>
      </c>
      <c r="H432" s="278">
        <v>271420</v>
      </c>
      <c r="I432" s="278">
        <v>252670</v>
      </c>
      <c r="J432" s="278">
        <v>233920</v>
      </c>
      <c r="K432" s="278">
        <v>215170</v>
      </c>
      <c r="L432" s="278">
        <v>196420</v>
      </c>
      <c r="M432" s="278">
        <v>177670</v>
      </c>
    </row>
    <row r="433" spans="1:13" ht="15" customHeight="1">
      <c r="A433" s="278">
        <v>5600</v>
      </c>
      <c r="B433" s="278">
        <v>5620</v>
      </c>
      <c r="C433" s="278">
        <v>435890</v>
      </c>
      <c r="D433" s="278">
        <v>405410</v>
      </c>
      <c r="E433" s="278">
        <v>330250</v>
      </c>
      <c r="F433" s="278">
        <v>311500</v>
      </c>
      <c r="G433" s="278">
        <v>292750</v>
      </c>
      <c r="H433" s="278">
        <v>274000</v>
      </c>
      <c r="I433" s="278">
        <v>255250</v>
      </c>
      <c r="J433" s="278">
        <v>236500</v>
      </c>
      <c r="K433" s="278">
        <v>217750</v>
      </c>
      <c r="L433" s="278">
        <v>199000</v>
      </c>
      <c r="M433" s="278">
        <v>180250</v>
      </c>
    </row>
    <row r="434" spans="1:13" ht="15" customHeight="1">
      <c r="A434" s="278">
        <v>5620</v>
      </c>
      <c r="B434" s="278">
        <v>5640</v>
      </c>
      <c r="C434" s="278">
        <v>440380</v>
      </c>
      <c r="D434" s="278">
        <v>408200</v>
      </c>
      <c r="E434" s="278">
        <v>332830</v>
      </c>
      <c r="F434" s="278">
        <v>314080</v>
      </c>
      <c r="G434" s="278">
        <v>295330</v>
      </c>
      <c r="H434" s="278">
        <v>276580</v>
      </c>
      <c r="I434" s="278">
        <v>257830</v>
      </c>
      <c r="J434" s="278">
        <v>239080</v>
      </c>
      <c r="K434" s="278">
        <v>220330</v>
      </c>
      <c r="L434" s="278">
        <v>201580</v>
      </c>
      <c r="M434" s="278">
        <v>182830</v>
      </c>
    </row>
    <row r="435" spans="1:13" ht="15" customHeight="1">
      <c r="A435" s="278">
        <v>5640</v>
      </c>
      <c r="B435" s="278">
        <v>5660</v>
      </c>
      <c r="C435" s="278">
        <v>444860</v>
      </c>
      <c r="D435" s="278">
        <v>410990</v>
      </c>
      <c r="E435" s="278">
        <v>335410</v>
      </c>
      <c r="F435" s="278">
        <v>316660</v>
      </c>
      <c r="G435" s="278">
        <v>297910</v>
      </c>
      <c r="H435" s="278">
        <v>279160</v>
      </c>
      <c r="I435" s="278">
        <v>260410</v>
      </c>
      <c r="J435" s="278">
        <v>241660</v>
      </c>
      <c r="K435" s="278">
        <v>222910</v>
      </c>
      <c r="L435" s="278">
        <v>204160</v>
      </c>
      <c r="M435" s="278">
        <v>185410</v>
      </c>
    </row>
    <row r="436" spans="1:13" ht="15" customHeight="1">
      <c r="A436" s="278">
        <v>5660</v>
      </c>
      <c r="B436" s="278">
        <v>5680</v>
      </c>
      <c r="C436" s="278">
        <v>449350</v>
      </c>
      <c r="D436" s="278">
        <v>413780</v>
      </c>
      <c r="E436" s="278">
        <v>337990</v>
      </c>
      <c r="F436" s="278">
        <v>319240</v>
      </c>
      <c r="G436" s="278">
        <v>300490</v>
      </c>
      <c r="H436" s="278">
        <v>281740</v>
      </c>
      <c r="I436" s="278">
        <v>262990</v>
      </c>
      <c r="J436" s="278">
        <v>244240</v>
      </c>
      <c r="K436" s="278">
        <v>225490</v>
      </c>
      <c r="L436" s="278">
        <v>206740</v>
      </c>
      <c r="M436" s="278">
        <v>187990</v>
      </c>
    </row>
    <row r="437" spans="1:13" ht="15" customHeight="1">
      <c r="A437" s="278">
        <v>5680</v>
      </c>
      <c r="B437" s="278">
        <v>5700</v>
      </c>
      <c r="C437" s="278">
        <v>453840</v>
      </c>
      <c r="D437" s="278">
        <v>416570</v>
      </c>
      <c r="E437" s="278">
        <v>340570</v>
      </c>
      <c r="F437" s="278">
        <v>321820</v>
      </c>
      <c r="G437" s="278">
        <v>303070</v>
      </c>
      <c r="H437" s="278">
        <v>284320</v>
      </c>
      <c r="I437" s="278">
        <v>265570</v>
      </c>
      <c r="J437" s="278">
        <v>246820</v>
      </c>
      <c r="K437" s="278">
        <v>228070</v>
      </c>
      <c r="L437" s="278">
        <v>209320</v>
      </c>
      <c r="M437" s="278">
        <v>190570</v>
      </c>
    </row>
    <row r="438" spans="1:13" ht="15" customHeight="1">
      <c r="A438" s="278">
        <v>5700</v>
      </c>
      <c r="B438" s="278">
        <v>5720</v>
      </c>
      <c r="C438" s="278">
        <v>458330</v>
      </c>
      <c r="D438" s="278">
        <v>419360</v>
      </c>
      <c r="E438" s="278">
        <v>343150</v>
      </c>
      <c r="F438" s="278">
        <v>324400</v>
      </c>
      <c r="G438" s="278">
        <v>305650</v>
      </c>
      <c r="H438" s="278">
        <v>286900</v>
      </c>
      <c r="I438" s="278">
        <v>268150</v>
      </c>
      <c r="J438" s="278">
        <v>249400</v>
      </c>
      <c r="K438" s="278">
        <v>230650</v>
      </c>
      <c r="L438" s="278">
        <v>211900</v>
      </c>
      <c r="M438" s="278">
        <v>193150</v>
      </c>
    </row>
    <row r="439" spans="1:13" ht="15" customHeight="1">
      <c r="A439" s="278">
        <v>5720</v>
      </c>
      <c r="B439" s="278">
        <v>5740</v>
      </c>
      <c r="C439" s="278">
        <v>462820</v>
      </c>
      <c r="D439" s="278">
        <v>422150</v>
      </c>
      <c r="E439" s="278">
        <v>345730</v>
      </c>
      <c r="F439" s="278">
        <v>326980</v>
      </c>
      <c r="G439" s="278">
        <v>308230</v>
      </c>
      <c r="H439" s="278">
        <v>289480</v>
      </c>
      <c r="I439" s="278">
        <v>270730</v>
      </c>
      <c r="J439" s="278">
        <v>251980</v>
      </c>
      <c r="K439" s="278">
        <v>233230</v>
      </c>
      <c r="L439" s="278">
        <v>214480</v>
      </c>
      <c r="M439" s="278">
        <v>195730</v>
      </c>
    </row>
    <row r="440" spans="1:13" ht="15" customHeight="1">
      <c r="A440" s="278">
        <v>5740</v>
      </c>
      <c r="B440" s="278">
        <v>5760</v>
      </c>
      <c r="C440" s="278">
        <v>467300</v>
      </c>
      <c r="D440" s="278">
        <v>424940</v>
      </c>
      <c r="E440" s="278">
        <v>348310</v>
      </c>
      <c r="F440" s="278">
        <v>329560</v>
      </c>
      <c r="G440" s="278">
        <v>310810</v>
      </c>
      <c r="H440" s="278">
        <v>292060</v>
      </c>
      <c r="I440" s="278">
        <v>273310</v>
      </c>
      <c r="J440" s="278">
        <v>254560</v>
      </c>
      <c r="K440" s="278">
        <v>235810</v>
      </c>
      <c r="L440" s="278">
        <v>217060</v>
      </c>
      <c r="M440" s="278">
        <v>198310</v>
      </c>
    </row>
    <row r="441" spans="1:13" ht="15" customHeight="1">
      <c r="A441" s="278">
        <v>5760</v>
      </c>
      <c r="B441" s="278">
        <v>5780</v>
      </c>
      <c r="C441" s="278">
        <v>471790</v>
      </c>
      <c r="D441" s="278">
        <v>427730</v>
      </c>
      <c r="E441" s="278">
        <v>350890</v>
      </c>
      <c r="F441" s="278">
        <v>332140</v>
      </c>
      <c r="G441" s="278">
        <v>313390</v>
      </c>
      <c r="H441" s="278">
        <v>294640</v>
      </c>
      <c r="I441" s="278">
        <v>275890</v>
      </c>
      <c r="J441" s="278">
        <v>257140</v>
      </c>
      <c r="K441" s="278">
        <v>238390</v>
      </c>
      <c r="L441" s="278">
        <v>219640</v>
      </c>
      <c r="M441" s="278">
        <v>200890</v>
      </c>
    </row>
    <row r="442" spans="1:13" ht="15" customHeight="1">
      <c r="A442" s="278">
        <v>5780</v>
      </c>
      <c r="B442" s="278">
        <v>5800</v>
      </c>
      <c r="C442" s="278">
        <v>476280</v>
      </c>
      <c r="D442" s="278">
        <v>430520</v>
      </c>
      <c r="E442" s="278">
        <v>353470</v>
      </c>
      <c r="F442" s="278">
        <v>334720</v>
      </c>
      <c r="G442" s="278">
        <v>315970</v>
      </c>
      <c r="H442" s="278">
        <v>297220</v>
      </c>
      <c r="I442" s="278">
        <v>278470</v>
      </c>
      <c r="J442" s="278">
        <v>259720</v>
      </c>
      <c r="K442" s="278">
        <v>240970</v>
      </c>
      <c r="L442" s="278">
        <v>222220</v>
      </c>
      <c r="M442" s="278">
        <v>203470</v>
      </c>
    </row>
    <row r="443" spans="1:13" ht="15" customHeight="1">
      <c r="A443" s="278">
        <v>5800</v>
      </c>
      <c r="B443" s="278">
        <v>5820</v>
      </c>
      <c r="C443" s="278">
        <v>480770</v>
      </c>
      <c r="D443" s="278">
        <v>433800</v>
      </c>
      <c r="E443" s="278">
        <v>356050</v>
      </c>
      <c r="F443" s="278">
        <v>337300</v>
      </c>
      <c r="G443" s="278">
        <v>318550</v>
      </c>
      <c r="H443" s="278">
        <v>299800</v>
      </c>
      <c r="I443" s="278">
        <v>281050</v>
      </c>
      <c r="J443" s="278">
        <v>262300</v>
      </c>
      <c r="K443" s="278">
        <v>243550</v>
      </c>
      <c r="L443" s="278">
        <v>224800</v>
      </c>
      <c r="M443" s="278">
        <v>206050</v>
      </c>
    </row>
    <row r="444" spans="1:13" ht="15" customHeight="1">
      <c r="A444" s="278">
        <v>5820</v>
      </c>
      <c r="B444" s="278">
        <v>5840</v>
      </c>
      <c r="C444" s="278">
        <v>485260</v>
      </c>
      <c r="D444" s="278">
        <v>438260</v>
      </c>
      <c r="E444" s="278">
        <v>358630</v>
      </c>
      <c r="F444" s="278">
        <v>339880</v>
      </c>
      <c r="G444" s="278">
        <v>321130</v>
      </c>
      <c r="H444" s="278">
        <v>302380</v>
      </c>
      <c r="I444" s="278">
        <v>283630</v>
      </c>
      <c r="J444" s="278">
        <v>264880</v>
      </c>
      <c r="K444" s="278">
        <v>246130</v>
      </c>
      <c r="L444" s="278">
        <v>227380</v>
      </c>
      <c r="M444" s="278">
        <v>208630</v>
      </c>
    </row>
    <row r="445" spans="1:13" ht="15" customHeight="1">
      <c r="A445" s="278">
        <v>5840</v>
      </c>
      <c r="B445" s="278">
        <v>5860</v>
      </c>
      <c r="C445" s="278">
        <v>512120</v>
      </c>
      <c r="D445" s="278">
        <v>465100</v>
      </c>
      <c r="E445" s="278">
        <v>387100</v>
      </c>
      <c r="F445" s="278">
        <v>368350</v>
      </c>
      <c r="G445" s="278">
        <v>349600</v>
      </c>
      <c r="H445" s="278">
        <v>330850</v>
      </c>
      <c r="I445" s="278">
        <v>312100</v>
      </c>
      <c r="J445" s="278">
        <v>293350</v>
      </c>
      <c r="K445" s="278">
        <v>274600</v>
      </c>
      <c r="L445" s="278">
        <v>255850</v>
      </c>
      <c r="M445" s="278">
        <v>237100</v>
      </c>
    </row>
    <row r="446" spans="1:13" ht="15" customHeight="1">
      <c r="A446" s="278">
        <v>5860</v>
      </c>
      <c r="B446" s="278">
        <v>5880</v>
      </c>
      <c r="C446" s="278">
        <v>519150</v>
      </c>
      <c r="D446" s="278">
        <v>472110</v>
      </c>
      <c r="E446" s="278">
        <v>392240</v>
      </c>
      <c r="F446" s="278">
        <v>373490</v>
      </c>
      <c r="G446" s="278">
        <v>354740</v>
      </c>
      <c r="H446" s="278">
        <v>335990</v>
      </c>
      <c r="I446" s="278">
        <v>317240</v>
      </c>
      <c r="J446" s="278">
        <v>298490</v>
      </c>
      <c r="K446" s="278">
        <v>279740</v>
      </c>
      <c r="L446" s="278">
        <v>260990</v>
      </c>
      <c r="M446" s="278">
        <v>242240</v>
      </c>
    </row>
    <row r="447" spans="1:13" ht="15" customHeight="1">
      <c r="A447" s="278">
        <v>5880</v>
      </c>
      <c r="B447" s="278">
        <v>5900</v>
      </c>
      <c r="C447" s="278">
        <v>523690</v>
      </c>
      <c r="D447" s="278">
        <v>476620</v>
      </c>
      <c r="E447" s="278">
        <v>394880</v>
      </c>
      <c r="F447" s="278">
        <v>376130</v>
      </c>
      <c r="G447" s="278">
        <v>357380</v>
      </c>
      <c r="H447" s="278">
        <v>338630</v>
      </c>
      <c r="I447" s="278">
        <v>319880</v>
      </c>
      <c r="J447" s="278">
        <v>301130</v>
      </c>
      <c r="K447" s="278">
        <v>282380</v>
      </c>
      <c r="L447" s="278">
        <v>263630</v>
      </c>
      <c r="M447" s="278">
        <v>244880</v>
      </c>
    </row>
    <row r="448" spans="1:13" ht="15" customHeight="1">
      <c r="A448" s="278">
        <v>5900</v>
      </c>
      <c r="B448" s="278">
        <v>5920</v>
      </c>
      <c r="C448" s="278">
        <v>528220</v>
      </c>
      <c r="D448" s="278">
        <v>481130</v>
      </c>
      <c r="E448" s="278">
        <v>397520</v>
      </c>
      <c r="F448" s="278">
        <v>378770</v>
      </c>
      <c r="G448" s="278">
        <v>360020</v>
      </c>
      <c r="H448" s="278">
        <v>341270</v>
      </c>
      <c r="I448" s="278">
        <v>322520</v>
      </c>
      <c r="J448" s="278">
        <v>303770</v>
      </c>
      <c r="K448" s="278">
        <v>285020</v>
      </c>
      <c r="L448" s="278">
        <v>266270</v>
      </c>
      <c r="M448" s="278">
        <v>247520</v>
      </c>
    </row>
    <row r="449" spans="1:13" ht="15" customHeight="1">
      <c r="A449" s="278">
        <v>5920</v>
      </c>
      <c r="B449" s="278">
        <v>5940</v>
      </c>
      <c r="C449" s="278">
        <v>532760</v>
      </c>
      <c r="D449" s="278">
        <v>485640</v>
      </c>
      <c r="E449" s="278">
        <v>400160</v>
      </c>
      <c r="F449" s="278">
        <v>381410</v>
      </c>
      <c r="G449" s="278">
        <v>362660</v>
      </c>
      <c r="H449" s="278">
        <v>343910</v>
      </c>
      <c r="I449" s="278">
        <v>325160</v>
      </c>
      <c r="J449" s="278">
        <v>306410</v>
      </c>
      <c r="K449" s="278">
        <v>287660</v>
      </c>
      <c r="L449" s="278">
        <v>268910</v>
      </c>
      <c r="M449" s="278">
        <v>250160</v>
      </c>
    </row>
    <row r="450" spans="1:13" ht="15" customHeight="1">
      <c r="A450" s="278">
        <v>5940</v>
      </c>
      <c r="B450" s="278">
        <v>5960</v>
      </c>
      <c r="C450" s="278">
        <v>537300</v>
      </c>
      <c r="D450" s="278">
        <v>490160</v>
      </c>
      <c r="E450" s="278">
        <v>402800</v>
      </c>
      <c r="F450" s="278">
        <v>384050</v>
      </c>
      <c r="G450" s="278">
        <v>365300</v>
      </c>
      <c r="H450" s="278">
        <v>346550</v>
      </c>
      <c r="I450" s="278">
        <v>327800</v>
      </c>
      <c r="J450" s="278">
        <v>309050</v>
      </c>
      <c r="K450" s="278">
        <v>290300</v>
      </c>
      <c r="L450" s="278">
        <v>271550</v>
      </c>
      <c r="M450" s="278">
        <v>252800</v>
      </c>
    </row>
    <row r="451" spans="1:13" ht="15" customHeight="1">
      <c r="A451" s="278">
        <v>5960</v>
      </c>
      <c r="B451" s="278">
        <v>5980</v>
      </c>
      <c r="C451" s="278">
        <v>541830</v>
      </c>
      <c r="D451" s="278">
        <v>494670</v>
      </c>
      <c r="E451" s="278">
        <v>405440</v>
      </c>
      <c r="F451" s="278">
        <v>386690</v>
      </c>
      <c r="G451" s="278">
        <v>367940</v>
      </c>
      <c r="H451" s="278">
        <v>349190</v>
      </c>
      <c r="I451" s="278">
        <v>330440</v>
      </c>
      <c r="J451" s="278">
        <v>311690</v>
      </c>
      <c r="K451" s="278">
        <v>292940</v>
      </c>
      <c r="L451" s="278">
        <v>274190</v>
      </c>
      <c r="M451" s="278">
        <v>255440</v>
      </c>
    </row>
    <row r="452" spans="1:13" ht="15" customHeight="1">
      <c r="A452" s="278">
        <v>5980</v>
      </c>
      <c r="B452" s="278">
        <v>6000</v>
      </c>
      <c r="C452" s="278">
        <v>546370</v>
      </c>
      <c r="D452" s="278">
        <v>499180</v>
      </c>
      <c r="E452" s="278">
        <v>408080</v>
      </c>
      <c r="F452" s="278">
        <v>389330</v>
      </c>
      <c r="G452" s="278">
        <v>370580</v>
      </c>
      <c r="H452" s="278">
        <v>351830</v>
      </c>
      <c r="I452" s="278">
        <v>333080</v>
      </c>
      <c r="J452" s="278">
        <v>314330</v>
      </c>
      <c r="K452" s="278">
        <v>295580</v>
      </c>
      <c r="L452" s="278">
        <v>276830</v>
      </c>
      <c r="M452" s="278">
        <v>258080</v>
      </c>
    </row>
    <row r="453" spans="1:13" ht="15" customHeight="1">
      <c r="A453" s="278">
        <v>6000</v>
      </c>
      <c r="B453" s="278">
        <v>6020</v>
      </c>
      <c r="C453" s="278">
        <v>550900</v>
      </c>
      <c r="D453" s="278">
        <v>503690</v>
      </c>
      <c r="E453" s="278">
        <v>410720</v>
      </c>
      <c r="F453" s="278">
        <v>391970</v>
      </c>
      <c r="G453" s="278">
        <v>373220</v>
      </c>
      <c r="H453" s="278">
        <v>354470</v>
      </c>
      <c r="I453" s="278">
        <v>335720</v>
      </c>
      <c r="J453" s="278">
        <v>316970</v>
      </c>
      <c r="K453" s="278">
        <v>298220</v>
      </c>
      <c r="L453" s="278">
        <v>279470</v>
      </c>
      <c r="M453" s="278">
        <v>260720</v>
      </c>
    </row>
    <row r="454" spans="1:13" ht="15" customHeight="1">
      <c r="A454" s="278">
        <v>6020</v>
      </c>
      <c r="B454" s="278">
        <v>6040</v>
      </c>
      <c r="C454" s="278">
        <v>555440</v>
      </c>
      <c r="D454" s="278">
        <v>508200</v>
      </c>
      <c r="E454" s="278">
        <v>413360</v>
      </c>
      <c r="F454" s="278">
        <v>394610</v>
      </c>
      <c r="G454" s="278">
        <v>375860</v>
      </c>
      <c r="H454" s="278">
        <v>357110</v>
      </c>
      <c r="I454" s="278">
        <v>338360</v>
      </c>
      <c r="J454" s="278">
        <v>319610</v>
      </c>
      <c r="K454" s="278">
        <v>300860</v>
      </c>
      <c r="L454" s="278">
        <v>282110</v>
      </c>
      <c r="M454" s="278">
        <v>263360</v>
      </c>
    </row>
    <row r="455" spans="1:13" ht="15" customHeight="1">
      <c r="A455" s="278">
        <v>6040</v>
      </c>
      <c r="B455" s="278">
        <v>6060</v>
      </c>
      <c r="C455" s="278">
        <v>559980</v>
      </c>
      <c r="D455" s="278">
        <v>512720</v>
      </c>
      <c r="E455" s="278">
        <v>416000</v>
      </c>
      <c r="F455" s="278">
        <v>397250</v>
      </c>
      <c r="G455" s="278">
        <v>378500</v>
      </c>
      <c r="H455" s="278">
        <v>359750</v>
      </c>
      <c r="I455" s="278">
        <v>341000</v>
      </c>
      <c r="J455" s="278">
        <v>322250</v>
      </c>
      <c r="K455" s="278">
        <v>303500</v>
      </c>
      <c r="L455" s="278">
        <v>284750</v>
      </c>
      <c r="M455" s="278">
        <v>266000</v>
      </c>
    </row>
    <row r="456" spans="1:13" ht="15" customHeight="1">
      <c r="A456" s="278">
        <v>6060</v>
      </c>
      <c r="B456" s="278">
        <v>6080</v>
      </c>
      <c r="C456" s="278">
        <v>564510</v>
      </c>
      <c r="D456" s="278">
        <v>517230</v>
      </c>
      <c r="E456" s="278">
        <v>418640</v>
      </c>
      <c r="F456" s="278">
        <v>399890</v>
      </c>
      <c r="G456" s="278">
        <v>381140</v>
      </c>
      <c r="H456" s="278">
        <v>362390</v>
      </c>
      <c r="I456" s="278">
        <v>343640</v>
      </c>
      <c r="J456" s="278">
        <v>324890</v>
      </c>
      <c r="K456" s="278">
        <v>306140</v>
      </c>
      <c r="L456" s="278">
        <v>287390</v>
      </c>
      <c r="M456" s="278">
        <v>268640</v>
      </c>
    </row>
    <row r="457" spans="1:13" ht="15" customHeight="1">
      <c r="A457" s="278">
        <v>6080</v>
      </c>
      <c r="B457" s="278">
        <v>6100</v>
      </c>
      <c r="C457" s="278">
        <v>569050</v>
      </c>
      <c r="D457" s="278">
        <v>521740</v>
      </c>
      <c r="E457" s="278">
        <v>421280</v>
      </c>
      <c r="F457" s="278">
        <v>402530</v>
      </c>
      <c r="G457" s="278">
        <v>383780</v>
      </c>
      <c r="H457" s="278">
        <v>365030</v>
      </c>
      <c r="I457" s="278">
        <v>346280</v>
      </c>
      <c r="J457" s="278">
        <v>327530</v>
      </c>
      <c r="K457" s="278">
        <v>308780</v>
      </c>
      <c r="L457" s="278">
        <v>290030</v>
      </c>
      <c r="M457" s="278">
        <v>271280</v>
      </c>
    </row>
    <row r="458" spans="1:13" ht="15" customHeight="1">
      <c r="A458" s="278">
        <v>6100</v>
      </c>
      <c r="B458" s="278">
        <v>6120</v>
      </c>
      <c r="C458" s="278">
        <v>573580</v>
      </c>
      <c r="D458" s="278">
        <v>526250</v>
      </c>
      <c r="E458" s="278">
        <v>423920</v>
      </c>
      <c r="F458" s="278">
        <v>405170</v>
      </c>
      <c r="G458" s="278">
        <v>386420</v>
      </c>
      <c r="H458" s="278">
        <v>367670</v>
      </c>
      <c r="I458" s="278">
        <v>348920</v>
      </c>
      <c r="J458" s="278">
        <v>330170</v>
      </c>
      <c r="K458" s="278">
        <v>311420</v>
      </c>
      <c r="L458" s="278">
        <v>292670</v>
      </c>
      <c r="M458" s="278">
        <v>273920</v>
      </c>
    </row>
    <row r="459" spans="1:13" ht="15" customHeight="1">
      <c r="A459" s="278">
        <v>6120</v>
      </c>
      <c r="B459" s="278">
        <v>6140</v>
      </c>
      <c r="C459" s="278">
        <v>578120</v>
      </c>
      <c r="D459" s="278">
        <v>530760</v>
      </c>
      <c r="E459" s="278">
        <v>426560</v>
      </c>
      <c r="F459" s="278">
        <v>407810</v>
      </c>
      <c r="G459" s="278">
        <v>389060</v>
      </c>
      <c r="H459" s="278">
        <v>370310</v>
      </c>
      <c r="I459" s="278">
        <v>351560</v>
      </c>
      <c r="J459" s="278">
        <v>332810</v>
      </c>
      <c r="K459" s="278">
        <v>314060</v>
      </c>
      <c r="L459" s="278">
        <v>295310</v>
      </c>
      <c r="M459" s="278">
        <v>276560</v>
      </c>
    </row>
    <row r="460" spans="1:13" ht="15" customHeight="1">
      <c r="A460" s="278">
        <v>6140</v>
      </c>
      <c r="B460" s="278">
        <v>6160</v>
      </c>
      <c r="C460" s="278">
        <v>582660</v>
      </c>
      <c r="D460" s="278">
        <v>535280</v>
      </c>
      <c r="E460" s="278">
        <v>429200</v>
      </c>
      <c r="F460" s="278">
        <v>410450</v>
      </c>
      <c r="G460" s="278">
        <v>391700</v>
      </c>
      <c r="H460" s="278">
        <v>372950</v>
      </c>
      <c r="I460" s="278">
        <v>354200</v>
      </c>
      <c r="J460" s="278">
        <v>335450</v>
      </c>
      <c r="K460" s="278">
        <v>316700</v>
      </c>
      <c r="L460" s="278">
        <v>297950</v>
      </c>
      <c r="M460" s="278">
        <v>279200</v>
      </c>
    </row>
    <row r="461" spans="1:13" ht="15" customHeight="1">
      <c r="A461" s="278">
        <v>6160</v>
      </c>
      <c r="B461" s="278">
        <v>6180</v>
      </c>
      <c r="C461" s="278">
        <v>587190</v>
      </c>
      <c r="D461" s="278">
        <v>539790</v>
      </c>
      <c r="E461" s="278">
        <v>431840</v>
      </c>
      <c r="F461" s="278">
        <v>413090</v>
      </c>
      <c r="G461" s="278">
        <v>394340</v>
      </c>
      <c r="H461" s="278">
        <v>375590</v>
      </c>
      <c r="I461" s="278">
        <v>356840</v>
      </c>
      <c r="J461" s="278">
        <v>338090</v>
      </c>
      <c r="K461" s="278">
        <v>319340</v>
      </c>
      <c r="L461" s="278">
        <v>300590</v>
      </c>
      <c r="M461" s="278">
        <v>281840</v>
      </c>
    </row>
    <row r="462" spans="1:13" ht="15" customHeight="1">
      <c r="A462" s="278">
        <v>6180</v>
      </c>
      <c r="B462" s="278">
        <v>6200</v>
      </c>
      <c r="C462" s="278">
        <v>591730</v>
      </c>
      <c r="D462" s="278">
        <v>544300</v>
      </c>
      <c r="E462" s="278">
        <v>434480</v>
      </c>
      <c r="F462" s="278">
        <v>415730</v>
      </c>
      <c r="G462" s="278">
        <v>396980</v>
      </c>
      <c r="H462" s="278">
        <v>378230</v>
      </c>
      <c r="I462" s="278">
        <v>359480</v>
      </c>
      <c r="J462" s="278">
        <v>340730</v>
      </c>
      <c r="K462" s="278">
        <v>321980</v>
      </c>
      <c r="L462" s="278">
        <v>303230</v>
      </c>
      <c r="M462" s="278">
        <v>284480</v>
      </c>
    </row>
    <row r="463" spans="1:13" ht="15" customHeight="1">
      <c r="A463" s="278">
        <v>6200</v>
      </c>
      <c r="B463" s="278">
        <v>6220</v>
      </c>
      <c r="C463" s="278">
        <v>596260</v>
      </c>
      <c r="D463" s="278">
        <v>548810</v>
      </c>
      <c r="E463" s="278">
        <v>437120</v>
      </c>
      <c r="F463" s="278">
        <v>418370</v>
      </c>
      <c r="G463" s="278">
        <v>399620</v>
      </c>
      <c r="H463" s="278">
        <v>380870</v>
      </c>
      <c r="I463" s="278">
        <v>362120</v>
      </c>
      <c r="J463" s="278">
        <v>343370</v>
      </c>
      <c r="K463" s="278">
        <v>324620</v>
      </c>
      <c r="L463" s="278">
        <v>305870</v>
      </c>
      <c r="M463" s="278">
        <v>287120</v>
      </c>
    </row>
    <row r="464" spans="1:13" ht="15" customHeight="1">
      <c r="A464" s="278">
        <v>6220</v>
      </c>
      <c r="B464" s="278">
        <v>6240</v>
      </c>
      <c r="C464" s="278">
        <v>600800</v>
      </c>
      <c r="D464" s="278">
        <v>553320</v>
      </c>
      <c r="E464" s="278">
        <v>439760</v>
      </c>
      <c r="F464" s="278">
        <v>421010</v>
      </c>
      <c r="G464" s="278">
        <v>402260</v>
      </c>
      <c r="H464" s="278">
        <v>383510</v>
      </c>
      <c r="I464" s="278">
        <v>364760</v>
      </c>
      <c r="J464" s="278">
        <v>346010</v>
      </c>
      <c r="K464" s="278">
        <v>327260</v>
      </c>
      <c r="L464" s="278">
        <v>308510</v>
      </c>
      <c r="M464" s="278">
        <v>289760</v>
      </c>
    </row>
    <row r="465" spans="1:13" ht="15" customHeight="1">
      <c r="A465" s="278">
        <v>6240</v>
      </c>
      <c r="B465" s="278">
        <v>6260</v>
      </c>
      <c r="C465" s="278">
        <v>605340</v>
      </c>
      <c r="D465" s="278">
        <v>557840</v>
      </c>
      <c r="E465" s="278">
        <v>442400</v>
      </c>
      <c r="F465" s="278">
        <v>423650</v>
      </c>
      <c r="G465" s="278">
        <v>404900</v>
      </c>
      <c r="H465" s="278">
        <v>386150</v>
      </c>
      <c r="I465" s="278">
        <v>367400</v>
      </c>
      <c r="J465" s="278">
        <v>348650</v>
      </c>
      <c r="K465" s="278">
        <v>329900</v>
      </c>
      <c r="L465" s="278">
        <v>311150</v>
      </c>
      <c r="M465" s="278">
        <v>292400</v>
      </c>
    </row>
    <row r="466" spans="1:13" ht="15" customHeight="1">
      <c r="A466" s="278">
        <v>6260</v>
      </c>
      <c r="B466" s="278">
        <v>6280</v>
      </c>
      <c r="C466" s="278">
        <v>609870</v>
      </c>
      <c r="D466" s="278">
        <v>562350</v>
      </c>
      <c r="E466" s="278">
        <v>446060</v>
      </c>
      <c r="F466" s="278">
        <v>426290</v>
      </c>
      <c r="G466" s="278">
        <v>407540</v>
      </c>
      <c r="H466" s="278">
        <v>388790</v>
      </c>
      <c r="I466" s="278">
        <v>370040</v>
      </c>
      <c r="J466" s="278">
        <v>351290</v>
      </c>
      <c r="K466" s="278">
        <v>332540</v>
      </c>
      <c r="L466" s="278">
        <v>313790</v>
      </c>
      <c r="M466" s="278">
        <v>295040</v>
      </c>
    </row>
    <row r="467" spans="1:13" ht="15" customHeight="1">
      <c r="A467" s="278">
        <v>6280</v>
      </c>
      <c r="B467" s="278">
        <v>6300</v>
      </c>
      <c r="C467" s="278">
        <v>614410</v>
      </c>
      <c r="D467" s="278">
        <v>566860</v>
      </c>
      <c r="E467" s="278">
        <v>450280</v>
      </c>
      <c r="F467" s="278">
        <v>428930</v>
      </c>
      <c r="G467" s="278">
        <v>410180</v>
      </c>
      <c r="H467" s="278">
        <v>391430</v>
      </c>
      <c r="I467" s="278">
        <v>372680</v>
      </c>
      <c r="J467" s="278">
        <v>353930</v>
      </c>
      <c r="K467" s="278">
        <v>335180</v>
      </c>
      <c r="L467" s="278">
        <v>316430</v>
      </c>
      <c r="M467" s="278">
        <v>297680</v>
      </c>
    </row>
    <row r="468" spans="1:13" ht="15" customHeight="1">
      <c r="A468" s="278">
        <v>6300</v>
      </c>
      <c r="B468" s="278">
        <v>6320</v>
      </c>
      <c r="C468" s="278">
        <v>618940</v>
      </c>
      <c r="D468" s="278">
        <v>571370</v>
      </c>
      <c r="E468" s="278">
        <v>454510</v>
      </c>
      <c r="F468" s="278">
        <v>431570</v>
      </c>
      <c r="G468" s="278">
        <v>412820</v>
      </c>
      <c r="H468" s="278">
        <v>394070</v>
      </c>
      <c r="I468" s="278">
        <v>375320</v>
      </c>
      <c r="J468" s="278">
        <v>356570</v>
      </c>
      <c r="K468" s="278">
        <v>337820</v>
      </c>
      <c r="L468" s="278">
        <v>319070</v>
      </c>
      <c r="M468" s="278">
        <v>300320</v>
      </c>
    </row>
    <row r="469" spans="1:13" ht="15" customHeight="1">
      <c r="A469" s="278">
        <v>6320</v>
      </c>
      <c r="B469" s="278">
        <v>6340</v>
      </c>
      <c r="C469" s="278">
        <v>623480</v>
      </c>
      <c r="D469" s="278">
        <v>575880</v>
      </c>
      <c r="E469" s="278">
        <v>458730</v>
      </c>
      <c r="F469" s="278">
        <v>434210</v>
      </c>
      <c r="G469" s="278">
        <v>415460</v>
      </c>
      <c r="H469" s="278">
        <v>396710</v>
      </c>
      <c r="I469" s="278">
        <v>377960</v>
      </c>
      <c r="J469" s="278">
        <v>359210</v>
      </c>
      <c r="K469" s="278">
        <v>340460</v>
      </c>
      <c r="L469" s="278">
        <v>321710</v>
      </c>
      <c r="M469" s="278">
        <v>302960</v>
      </c>
    </row>
    <row r="470" spans="1:13" ht="15" customHeight="1">
      <c r="A470" s="278">
        <v>6340</v>
      </c>
      <c r="B470" s="278">
        <v>6360</v>
      </c>
      <c r="C470" s="278">
        <v>628020</v>
      </c>
      <c r="D470" s="278">
        <v>580400</v>
      </c>
      <c r="E470" s="278">
        <v>462960</v>
      </c>
      <c r="F470" s="278">
        <v>436850</v>
      </c>
      <c r="G470" s="278">
        <v>418100</v>
      </c>
      <c r="H470" s="278">
        <v>399350</v>
      </c>
      <c r="I470" s="278">
        <v>380600</v>
      </c>
      <c r="J470" s="278">
        <v>361850</v>
      </c>
      <c r="K470" s="278">
        <v>343100</v>
      </c>
      <c r="L470" s="278">
        <v>324350</v>
      </c>
      <c r="M470" s="278">
        <v>305600</v>
      </c>
    </row>
    <row r="471" spans="1:13" ht="15" customHeight="1">
      <c r="A471" s="278">
        <v>6360</v>
      </c>
      <c r="B471" s="278">
        <v>6380</v>
      </c>
      <c r="C471" s="278">
        <v>632550</v>
      </c>
      <c r="D471" s="278">
        <v>584910</v>
      </c>
      <c r="E471" s="278">
        <v>467180</v>
      </c>
      <c r="F471" s="278">
        <v>439490</v>
      </c>
      <c r="G471" s="278">
        <v>420740</v>
      </c>
      <c r="H471" s="278">
        <v>401990</v>
      </c>
      <c r="I471" s="278">
        <v>383240</v>
      </c>
      <c r="J471" s="278">
        <v>364490</v>
      </c>
      <c r="K471" s="278">
        <v>345740</v>
      </c>
      <c r="L471" s="278">
        <v>326990</v>
      </c>
      <c r="M471" s="278">
        <v>308240</v>
      </c>
    </row>
    <row r="472" spans="1:13" ht="15" customHeight="1">
      <c r="A472" s="278">
        <v>6380</v>
      </c>
      <c r="B472" s="278">
        <v>6400</v>
      </c>
      <c r="C472" s="278">
        <v>637090</v>
      </c>
      <c r="D472" s="278">
        <v>589420</v>
      </c>
      <c r="E472" s="278">
        <v>471400</v>
      </c>
      <c r="F472" s="278">
        <v>442130</v>
      </c>
      <c r="G472" s="278">
        <v>423380</v>
      </c>
      <c r="H472" s="278">
        <v>404630</v>
      </c>
      <c r="I472" s="278">
        <v>385880</v>
      </c>
      <c r="J472" s="278">
        <v>367130</v>
      </c>
      <c r="K472" s="278">
        <v>348380</v>
      </c>
      <c r="L472" s="278">
        <v>329630</v>
      </c>
      <c r="M472" s="278">
        <v>310880</v>
      </c>
    </row>
    <row r="473" spans="1:13" ht="15" customHeight="1">
      <c r="A473" s="278">
        <v>6400</v>
      </c>
      <c r="B473" s="278">
        <v>6420</v>
      </c>
      <c r="C473" s="278">
        <v>641620</v>
      </c>
      <c r="D473" s="278">
        <v>593930</v>
      </c>
      <c r="E473" s="278">
        <v>475630</v>
      </c>
      <c r="F473" s="278">
        <v>445630</v>
      </c>
      <c r="G473" s="278">
        <v>426020</v>
      </c>
      <c r="H473" s="278">
        <v>407270</v>
      </c>
      <c r="I473" s="278">
        <v>388520</v>
      </c>
      <c r="J473" s="278">
        <v>369770</v>
      </c>
      <c r="K473" s="278">
        <v>351020</v>
      </c>
      <c r="L473" s="278">
        <v>332270</v>
      </c>
      <c r="M473" s="278">
        <v>313520</v>
      </c>
    </row>
    <row r="474" spans="1:13" ht="15" customHeight="1">
      <c r="A474" s="278">
        <v>6420</v>
      </c>
      <c r="B474" s="278">
        <v>6440</v>
      </c>
      <c r="C474" s="278">
        <v>646160</v>
      </c>
      <c r="D474" s="278">
        <v>598440</v>
      </c>
      <c r="E474" s="278">
        <v>479850</v>
      </c>
      <c r="F474" s="278">
        <v>449850</v>
      </c>
      <c r="G474" s="278">
        <v>428660</v>
      </c>
      <c r="H474" s="278">
        <v>409910</v>
      </c>
      <c r="I474" s="278">
        <v>391160</v>
      </c>
      <c r="J474" s="278">
        <v>372410</v>
      </c>
      <c r="K474" s="278">
        <v>353660</v>
      </c>
      <c r="L474" s="278">
        <v>334910</v>
      </c>
      <c r="M474" s="278">
        <v>316160</v>
      </c>
    </row>
    <row r="475" spans="1:13" ht="15" customHeight="1">
      <c r="A475" s="278">
        <v>6440</v>
      </c>
      <c r="B475" s="278">
        <v>6460</v>
      </c>
      <c r="C475" s="278">
        <v>650700</v>
      </c>
      <c r="D475" s="278">
        <v>602960</v>
      </c>
      <c r="E475" s="278">
        <v>484080</v>
      </c>
      <c r="F475" s="278">
        <v>454080</v>
      </c>
      <c r="G475" s="278">
        <v>431300</v>
      </c>
      <c r="H475" s="278">
        <v>412550</v>
      </c>
      <c r="I475" s="278">
        <v>393800</v>
      </c>
      <c r="J475" s="278">
        <v>375050</v>
      </c>
      <c r="K475" s="278">
        <v>356300</v>
      </c>
      <c r="L475" s="278">
        <v>337550</v>
      </c>
      <c r="M475" s="278">
        <v>318800</v>
      </c>
    </row>
    <row r="476" spans="1:13" ht="15" customHeight="1">
      <c r="A476" s="278">
        <v>6460</v>
      </c>
      <c r="B476" s="278">
        <v>6480</v>
      </c>
      <c r="C476" s="278">
        <v>655230</v>
      </c>
      <c r="D476" s="278">
        <v>607470</v>
      </c>
      <c r="E476" s="278">
        <v>488300</v>
      </c>
      <c r="F476" s="278">
        <v>458300</v>
      </c>
      <c r="G476" s="278">
        <v>433940</v>
      </c>
      <c r="H476" s="278">
        <v>415190</v>
      </c>
      <c r="I476" s="278">
        <v>396440</v>
      </c>
      <c r="J476" s="278">
        <v>377690</v>
      </c>
      <c r="K476" s="278">
        <v>358940</v>
      </c>
      <c r="L476" s="278">
        <v>340190</v>
      </c>
      <c r="M476" s="278">
        <v>321440</v>
      </c>
    </row>
    <row r="477" spans="1:13" ht="15" customHeight="1">
      <c r="A477" s="278">
        <v>6480</v>
      </c>
      <c r="B477" s="278">
        <v>6500</v>
      </c>
      <c r="C477" s="278">
        <v>659770</v>
      </c>
      <c r="D477" s="278">
        <v>611980</v>
      </c>
      <c r="E477" s="278">
        <v>492520</v>
      </c>
      <c r="F477" s="278">
        <v>462520</v>
      </c>
      <c r="G477" s="278">
        <v>436580</v>
      </c>
      <c r="H477" s="278">
        <v>417830</v>
      </c>
      <c r="I477" s="278">
        <v>399080</v>
      </c>
      <c r="J477" s="278">
        <v>380330</v>
      </c>
      <c r="K477" s="278">
        <v>361580</v>
      </c>
      <c r="L477" s="278">
        <v>342830</v>
      </c>
      <c r="M477" s="278">
        <v>324080</v>
      </c>
    </row>
    <row r="478" spans="1:13" ht="15" customHeight="1">
      <c r="A478" s="278">
        <v>6500</v>
      </c>
      <c r="B478" s="278">
        <v>6520</v>
      </c>
      <c r="C478" s="278">
        <v>664300</v>
      </c>
      <c r="D478" s="278">
        <v>616490</v>
      </c>
      <c r="E478" s="278">
        <v>496750</v>
      </c>
      <c r="F478" s="278">
        <v>466750</v>
      </c>
      <c r="G478" s="278">
        <v>439220</v>
      </c>
      <c r="H478" s="278">
        <v>420470</v>
      </c>
      <c r="I478" s="278">
        <v>401720</v>
      </c>
      <c r="J478" s="278">
        <v>382970</v>
      </c>
      <c r="K478" s="278">
        <v>364220</v>
      </c>
      <c r="L478" s="278">
        <v>345470</v>
      </c>
      <c r="M478" s="278">
        <v>326720</v>
      </c>
    </row>
    <row r="479" spans="1:13" ht="15" customHeight="1">
      <c r="A479" s="278">
        <v>6520</v>
      </c>
      <c r="B479" s="278">
        <v>6540</v>
      </c>
      <c r="C479" s="278">
        <v>668840</v>
      </c>
      <c r="D479" s="278">
        <v>621000</v>
      </c>
      <c r="E479" s="278">
        <v>500970</v>
      </c>
      <c r="F479" s="278">
        <v>470970</v>
      </c>
      <c r="G479" s="278">
        <v>441860</v>
      </c>
      <c r="H479" s="278">
        <v>423110</v>
      </c>
      <c r="I479" s="278">
        <v>404360</v>
      </c>
      <c r="J479" s="278">
        <v>385610</v>
      </c>
      <c r="K479" s="278">
        <v>366860</v>
      </c>
      <c r="L479" s="278">
        <v>348110</v>
      </c>
      <c r="M479" s="278">
        <v>329360</v>
      </c>
    </row>
    <row r="480" spans="1:13" ht="15" customHeight="1">
      <c r="A480" s="278">
        <v>6540</v>
      </c>
      <c r="B480" s="278">
        <v>6560</v>
      </c>
      <c r="C480" s="278">
        <v>673380</v>
      </c>
      <c r="D480" s="278">
        <v>625520</v>
      </c>
      <c r="E480" s="278">
        <v>505200</v>
      </c>
      <c r="F480" s="278">
        <v>475200</v>
      </c>
      <c r="G480" s="278">
        <v>445200</v>
      </c>
      <c r="H480" s="278">
        <v>425750</v>
      </c>
      <c r="I480" s="278">
        <v>407000</v>
      </c>
      <c r="J480" s="278">
        <v>388250</v>
      </c>
      <c r="K480" s="278">
        <v>369500</v>
      </c>
      <c r="L480" s="278">
        <v>350750</v>
      </c>
      <c r="M480" s="278">
        <v>332000</v>
      </c>
    </row>
    <row r="481" spans="1:13" ht="15" customHeight="1">
      <c r="A481" s="278">
        <v>6560</v>
      </c>
      <c r="B481" s="278">
        <v>6580</v>
      </c>
      <c r="C481" s="278">
        <v>677910</v>
      </c>
      <c r="D481" s="278">
        <v>630030</v>
      </c>
      <c r="E481" s="278">
        <v>509420</v>
      </c>
      <c r="F481" s="278">
        <v>479420</v>
      </c>
      <c r="G481" s="278">
        <v>449420</v>
      </c>
      <c r="H481" s="278">
        <v>428390</v>
      </c>
      <c r="I481" s="278">
        <v>409640</v>
      </c>
      <c r="J481" s="278">
        <v>390890</v>
      </c>
      <c r="K481" s="278">
        <v>372140</v>
      </c>
      <c r="L481" s="278">
        <v>353390</v>
      </c>
      <c r="M481" s="278">
        <v>334640</v>
      </c>
    </row>
    <row r="482" spans="1:13" ht="15" customHeight="1">
      <c r="A482" s="278">
        <v>6580</v>
      </c>
      <c r="B482" s="278">
        <v>6600</v>
      </c>
      <c r="C482" s="278">
        <v>682450</v>
      </c>
      <c r="D482" s="278">
        <v>634540</v>
      </c>
      <c r="E482" s="278">
        <v>513640</v>
      </c>
      <c r="F482" s="278">
        <v>483640</v>
      </c>
      <c r="G482" s="278">
        <v>453640</v>
      </c>
      <c r="H482" s="278">
        <v>431030</v>
      </c>
      <c r="I482" s="278">
        <v>412280</v>
      </c>
      <c r="J482" s="278">
        <v>393530</v>
      </c>
      <c r="K482" s="278">
        <v>374780</v>
      </c>
      <c r="L482" s="278">
        <v>356030</v>
      </c>
      <c r="M482" s="278">
        <v>337280</v>
      </c>
    </row>
    <row r="483" spans="1:13" ht="15" customHeight="1">
      <c r="A483" s="278">
        <v>6600</v>
      </c>
      <c r="B483" s="278">
        <v>6620</v>
      </c>
      <c r="C483" s="278">
        <v>686980</v>
      </c>
      <c r="D483" s="278">
        <v>639050</v>
      </c>
      <c r="E483" s="278">
        <v>517870</v>
      </c>
      <c r="F483" s="278">
        <v>487870</v>
      </c>
      <c r="G483" s="278">
        <v>457870</v>
      </c>
      <c r="H483" s="278">
        <v>433670</v>
      </c>
      <c r="I483" s="278">
        <v>414920</v>
      </c>
      <c r="J483" s="278">
        <v>396170</v>
      </c>
      <c r="K483" s="278">
        <v>377420</v>
      </c>
      <c r="L483" s="278">
        <v>358670</v>
      </c>
      <c r="M483" s="278">
        <v>339920</v>
      </c>
    </row>
    <row r="484" spans="1:13" ht="15" customHeight="1">
      <c r="A484" s="278">
        <v>6620</v>
      </c>
      <c r="B484" s="278">
        <v>6640</v>
      </c>
      <c r="C484" s="278">
        <v>691520</v>
      </c>
      <c r="D484" s="278">
        <v>643560</v>
      </c>
      <c r="E484" s="278">
        <v>522090</v>
      </c>
      <c r="F484" s="278">
        <v>492090</v>
      </c>
      <c r="G484" s="278">
        <v>462090</v>
      </c>
      <c r="H484" s="278">
        <v>436310</v>
      </c>
      <c r="I484" s="278">
        <v>417560</v>
      </c>
      <c r="J484" s="278">
        <v>398810</v>
      </c>
      <c r="K484" s="278">
        <v>380060</v>
      </c>
      <c r="L484" s="278">
        <v>361310</v>
      </c>
      <c r="M484" s="278">
        <v>342560</v>
      </c>
    </row>
    <row r="485" spans="1:13" ht="15" customHeight="1">
      <c r="A485" s="278">
        <v>6640</v>
      </c>
      <c r="B485" s="278">
        <v>6660</v>
      </c>
      <c r="C485" s="278">
        <v>696060</v>
      </c>
      <c r="D485" s="278">
        <v>648080</v>
      </c>
      <c r="E485" s="278">
        <v>526320</v>
      </c>
      <c r="F485" s="278">
        <v>496320</v>
      </c>
      <c r="G485" s="278">
        <v>466320</v>
      </c>
      <c r="H485" s="278">
        <v>438950</v>
      </c>
      <c r="I485" s="278">
        <v>420200</v>
      </c>
      <c r="J485" s="278">
        <v>401450</v>
      </c>
      <c r="K485" s="278">
        <v>382700</v>
      </c>
      <c r="L485" s="278">
        <v>363950</v>
      </c>
      <c r="M485" s="278">
        <v>345200</v>
      </c>
    </row>
    <row r="486" spans="1:13" ht="15" customHeight="1">
      <c r="A486" s="278">
        <v>6660</v>
      </c>
      <c r="B486" s="278">
        <v>6680</v>
      </c>
      <c r="C486" s="278">
        <v>700590</v>
      </c>
      <c r="D486" s="278">
        <v>652590</v>
      </c>
      <c r="E486" s="278">
        <v>530540</v>
      </c>
      <c r="F486" s="278">
        <v>500540</v>
      </c>
      <c r="G486" s="278">
        <v>470540</v>
      </c>
      <c r="H486" s="278">
        <v>441590</v>
      </c>
      <c r="I486" s="278">
        <v>422840</v>
      </c>
      <c r="J486" s="278">
        <v>404090</v>
      </c>
      <c r="K486" s="278">
        <v>385340</v>
      </c>
      <c r="L486" s="278">
        <v>366590</v>
      </c>
      <c r="M486" s="278">
        <v>347840</v>
      </c>
    </row>
    <row r="487" spans="1:13" ht="15" customHeight="1">
      <c r="A487" s="278">
        <v>6680</v>
      </c>
      <c r="B487" s="278">
        <v>6700</v>
      </c>
      <c r="C487" s="278">
        <v>705130</v>
      </c>
      <c r="D487" s="278">
        <v>657100</v>
      </c>
      <c r="E487" s="278">
        <v>534760</v>
      </c>
      <c r="F487" s="278">
        <v>504760</v>
      </c>
      <c r="G487" s="278">
        <v>474760</v>
      </c>
      <c r="H487" s="278">
        <v>444760</v>
      </c>
      <c r="I487" s="278">
        <v>425480</v>
      </c>
      <c r="J487" s="278">
        <v>406730</v>
      </c>
      <c r="K487" s="278">
        <v>387980</v>
      </c>
      <c r="L487" s="278">
        <v>369230</v>
      </c>
      <c r="M487" s="278">
        <v>350480</v>
      </c>
    </row>
    <row r="488" spans="1:13" ht="15" customHeight="1">
      <c r="A488" s="278">
        <v>6700</v>
      </c>
      <c r="B488" s="278">
        <v>6720</v>
      </c>
      <c r="C488" s="278">
        <v>709660</v>
      </c>
      <c r="D488" s="278">
        <v>661610</v>
      </c>
      <c r="E488" s="278">
        <v>538990</v>
      </c>
      <c r="F488" s="278">
        <v>508990</v>
      </c>
      <c r="G488" s="278">
        <v>478990</v>
      </c>
      <c r="H488" s="278">
        <v>448990</v>
      </c>
      <c r="I488" s="278">
        <v>428120</v>
      </c>
      <c r="J488" s="278">
        <v>409370</v>
      </c>
      <c r="K488" s="278">
        <v>390620</v>
      </c>
      <c r="L488" s="278">
        <v>371870</v>
      </c>
      <c r="M488" s="278">
        <v>353120</v>
      </c>
    </row>
    <row r="489" spans="1:13" ht="15" customHeight="1">
      <c r="A489" s="278">
        <v>6720</v>
      </c>
      <c r="B489" s="278">
        <v>6740</v>
      </c>
      <c r="C489" s="278">
        <v>714200</v>
      </c>
      <c r="D489" s="278">
        <v>666120</v>
      </c>
      <c r="E489" s="278">
        <v>543210</v>
      </c>
      <c r="F489" s="278">
        <v>513210</v>
      </c>
      <c r="G489" s="278">
        <v>483210</v>
      </c>
      <c r="H489" s="278">
        <v>453210</v>
      </c>
      <c r="I489" s="278">
        <v>430760</v>
      </c>
      <c r="J489" s="278">
        <v>412010</v>
      </c>
      <c r="K489" s="278">
        <v>393260</v>
      </c>
      <c r="L489" s="278">
        <v>374510</v>
      </c>
      <c r="M489" s="278">
        <v>355760</v>
      </c>
    </row>
    <row r="490" spans="1:13" ht="15" customHeight="1">
      <c r="A490" s="278">
        <v>6740</v>
      </c>
      <c r="B490" s="278">
        <v>6760</v>
      </c>
      <c r="C490" s="278">
        <v>718740</v>
      </c>
      <c r="D490" s="278">
        <v>670640</v>
      </c>
      <c r="E490" s="278">
        <v>547440</v>
      </c>
      <c r="F490" s="278">
        <v>517440</v>
      </c>
      <c r="G490" s="278">
        <v>487440</v>
      </c>
      <c r="H490" s="278">
        <v>457440</v>
      </c>
      <c r="I490" s="278">
        <v>433400</v>
      </c>
      <c r="J490" s="278">
        <v>414650</v>
      </c>
      <c r="K490" s="278">
        <v>395900</v>
      </c>
      <c r="L490" s="278">
        <v>377150</v>
      </c>
      <c r="M490" s="278">
        <v>358400</v>
      </c>
    </row>
    <row r="491" spans="1:13" ht="15" customHeight="1">
      <c r="A491" s="278">
        <v>6760</v>
      </c>
      <c r="B491" s="278">
        <v>6780</v>
      </c>
      <c r="C491" s="278">
        <v>723270</v>
      </c>
      <c r="D491" s="278">
        <v>675150</v>
      </c>
      <c r="E491" s="278">
        <v>551660</v>
      </c>
      <c r="F491" s="278">
        <v>521660</v>
      </c>
      <c r="G491" s="278">
        <v>491660</v>
      </c>
      <c r="H491" s="278">
        <v>461660</v>
      </c>
      <c r="I491" s="278">
        <v>436040</v>
      </c>
      <c r="J491" s="278">
        <v>417290</v>
      </c>
      <c r="K491" s="278">
        <v>398540</v>
      </c>
      <c r="L491" s="278">
        <v>379790</v>
      </c>
      <c r="M491" s="278">
        <v>361040</v>
      </c>
    </row>
    <row r="492" spans="1:13" ht="15" customHeight="1">
      <c r="A492" s="278">
        <v>6780</v>
      </c>
      <c r="B492" s="278">
        <v>6800</v>
      </c>
      <c r="C492" s="278">
        <v>727810</v>
      </c>
      <c r="D492" s="278">
        <v>679660</v>
      </c>
      <c r="E492" s="278">
        <v>555880</v>
      </c>
      <c r="F492" s="278">
        <v>525880</v>
      </c>
      <c r="G492" s="278">
        <v>495880</v>
      </c>
      <c r="H492" s="278">
        <v>465880</v>
      </c>
      <c r="I492" s="278">
        <v>438680</v>
      </c>
      <c r="J492" s="278">
        <v>419930</v>
      </c>
      <c r="K492" s="278">
        <v>401180</v>
      </c>
      <c r="L492" s="278">
        <v>382430</v>
      </c>
      <c r="M492" s="278">
        <v>363680</v>
      </c>
    </row>
    <row r="493" spans="1:13" ht="15" customHeight="1">
      <c r="A493" s="278">
        <v>6800</v>
      </c>
      <c r="B493" s="278">
        <v>6820</v>
      </c>
      <c r="C493" s="278">
        <v>732340</v>
      </c>
      <c r="D493" s="278">
        <v>684170</v>
      </c>
      <c r="E493" s="278">
        <v>560110</v>
      </c>
      <c r="F493" s="278">
        <v>530110</v>
      </c>
      <c r="G493" s="278">
        <v>500110</v>
      </c>
      <c r="H493" s="278">
        <v>470110</v>
      </c>
      <c r="I493" s="278">
        <v>441320</v>
      </c>
      <c r="J493" s="278">
        <v>422570</v>
      </c>
      <c r="K493" s="278">
        <v>403820</v>
      </c>
      <c r="L493" s="278">
        <v>385070</v>
      </c>
      <c r="M493" s="278">
        <v>366320</v>
      </c>
    </row>
    <row r="494" spans="1:13" ht="15" customHeight="1">
      <c r="A494" s="278">
        <v>6820</v>
      </c>
      <c r="B494" s="278">
        <v>6840</v>
      </c>
      <c r="C494" s="278">
        <v>736880</v>
      </c>
      <c r="D494" s="278">
        <v>688680</v>
      </c>
      <c r="E494" s="278">
        <v>564330</v>
      </c>
      <c r="F494" s="278">
        <v>534330</v>
      </c>
      <c r="G494" s="278">
        <v>504330</v>
      </c>
      <c r="H494" s="278">
        <v>474330</v>
      </c>
      <c r="I494" s="278">
        <v>444330</v>
      </c>
      <c r="J494" s="278">
        <v>425210</v>
      </c>
      <c r="K494" s="278">
        <v>406460</v>
      </c>
      <c r="L494" s="278">
        <v>387710</v>
      </c>
      <c r="M494" s="278">
        <v>368960</v>
      </c>
    </row>
    <row r="495" spans="1:13" ht="15" customHeight="1">
      <c r="A495" s="278">
        <v>6840</v>
      </c>
      <c r="B495" s="278">
        <v>6860</v>
      </c>
      <c r="C495" s="278">
        <v>741420</v>
      </c>
      <c r="D495" s="278">
        <v>693200</v>
      </c>
      <c r="E495" s="278">
        <v>568560</v>
      </c>
      <c r="F495" s="278">
        <v>538560</v>
      </c>
      <c r="G495" s="278">
        <v>508560</v>
      </c>
      <c r="H495" s="278">
        <v>478560</v>
      </c>
      <c r="I495" s="278">
        <v>448560</v>
      </c>
      <c r="J495" s="278">
        <v>427850</v>
      </c>
      <c r="K495" s="278">
        <v>409100</v>
      </c>
      <c r="L495" s="278">
        <v>390350</v>
      </c>
      <c r="M495" s="278">
        <v>371600</v>
      </c>
    </row>
    <row r="496" spans="1:13" ht="15" customHeight="1">
      <c r="A496" s="278">
        <v>6860</v>
      </c>
      <c r="B496" s="278">
        <v>6880</v>
      </c>
      <c r="C496" s="278">
        <v>745950</v>
      </c>
      <c r="D496" s="278">
        <v>697710</v>
      </c>
      <c r="E496" s="278">
        <v>572780</v>
      </c>
      <c r="F496" s="278">
        <v>542780</v>
      </c>
      <c r="G496" s="278">
        <v>512780</v>
      </c>
      <c r="H496" s="278">
        <v>482780</v>
      </c>
      <c r="I496" s="278">
        <v>452780</v>
      </c>
      <c r="J496" s="278">
        <v>430490</v>
      </c>
      <c r="K496" s="278">
        <v>411740</v>
      </c>
      <c r="L496" s="278">
        <v>392990</v>
      </c>
      <c r="M496" s="278">
        <v>374240</v>
      </c>
    </row>
    <row r="497" spans="1:13" ht="15" customHeight="1">
      <c r="A497" s="278">
        <v>6880</v>
      </c>
      <c r="B497" s="278">
        <v>6900</v>
      </c>
      <c r="C497" s="278">
        <v>750490</v>
      </c>
      <c r="D497" s="278">
        <v>702220</v>
      </c>
      <c r="E497" s="278">
        <v>577000</v>
      </c>
      <c r="F497" s="278">
        <v>547000</v>
      </c>
      <c r="G497" s="278">
        <v>517000</v>
      </c>
      <c r="H497" s="278">
        <v>487000</v>
      </c>
      <c r="I497" s="278">
        <v>457000</v>
      </c>
      <c r="J497" s="278">
        <v>433130</v>
      </c>
      <c r="K497" s="278">
        <v>414380</v>
      </c>
      <c r="L497" s="278">
        <v>395630</v>
      </c>
      <c r="M497" s="278">
        <v>376880</v>
      </c>
    </row>
    <row r="498" spans="1:13" ht="15" customHeight="1">
      <c r="A498" s="278">
        <v>6900</v>
      </c>
      <c r="B498" s="278">
        <v>6920</v>
      </c>
      <c r="C498" s="278">
        <v>755020</v>
      </c>
      <c r="D498" s="278">
        <v>706730</v>
      </c>
      <c r="E498" s="278">
        <v>581230</v>
      </c>
      <c r="F498" s="278">
        <v>551230</v>
      </c>
      <c r="G498" s="278">
        <v>521230</v>
      </c>
      <c r="H498" s="278">
        <v>491230</v>
      </c>
      <c r="I498" s="278">
        <v>461230</v>
      </c>
      <c r="J498" s="278">
        <v>435770</v>
      </c>
      <c r="K498" s="278">
        <v>417020</v>
      </c>
      <c r="L498" s="278">
        <v>398270</v>
      </c>
      <c r="M498" s="278">
        <v>379520</v>
      </c>
    </row>
    <row r="499" spans="1:13" ht="15" customHeight="1">
      <c r="A499" s="278">
        <v>6920</v>
      </c>
      <c r="B499" s="278">
        <v>6940</v>
      </c>
      <c r="C499" s="278">
        <v>759560</v>
      </c>
      <c r="D499" s="278">
        <v>711240</v>
      </c>
      <c r="E499" s="278">
        <v>585450</v>
      </c>
      <c r="F499" s="278">
        <v>555450</v>
      </c>
      <c r="G499" s="278">
        <v>525450</v>
      </c>
      <c r="H499" s="278">
        <v>495450</v>
      </c>
      <c r="I499" s="278">
        <v>465450</v>
      </c>
      <c r="J499" s="278">
        <v>438410</v>
      </c>
      <c r="K499" s="278">
        <v>419660</v>
      </c>
      <c r="L499" s="278">
        <v>400910</v>
      </c>
      <c r="M499" s="278">
        <v>382160</v>
      </c>
    </row>
    <row r="500" spans="1:13" ht="15" customHeight="1">
      <c r="A500" s="278">
        <v>6940</v>
      </c>
      <c r="B500" s="278">
        <v>6960</v>
      </c>
      <c r="C500" s="278">
        <v>764100</v>
      </c>
      <c r="D500" s="278">
        <v>715760</v>
      </c>
      <c r="E500" s="278">
        <v>589680</v>
      </c>
      <c r="F500" s="278">
        <v>559680</v>
      </c>
      <c r="G500" s="278">
        <v>529680</v>
      </c>
      <c r="H500" s="278">
        <v>499680</v>
      </c>
      <c r="I500" s="278">
        <v>469680</v>
      </c>
      <c r="J500" s="278">
        <v>441050</v>
      </c>
      <c r="K500" s="278">
        <v>422300</v>
      </c>
      <c r="L500" s="278">
        <v>403550</v>
      </c>
      <c r="M500" s="278">
        <v>384800</v>
      </c>
    </row>
    <row r="501" spans="1:13" ht="15" customHeight="1">
      <c r="A501" s="278">
        <v>6960</v>
      </c>
      <c r="B501" s="278">
        <v>6980</v>
      </c>
      <c r="C501" s="278">
        <v>768630</v>
      </c>
      <c r="D501" s="278">
        <v>720270</v>
      </c>
      <c r="E501" s="278">
        <v>593900</v>
      </c>
      <c r="F501" s="278">
        <v>563900</v>
      </c>
      <c r="G501" s="278">
        <v>533900</v>
      </c>
      <c r="H501" s="278">
        <v>503900</v>
      </c>
      <c r="I501" s="278">
        <v>473900</v>
      </c>
      <c r="J501" s="278">
        <v>443900</v>
      </c>
      <c r="K501" s="278">
        <v>424940</v>
      </c>
      <c r="L501" s="278">
        <v>406190</v>
      </c>
      <c r="M501" s="278">
        <v>387440</v>
      </c>
    </row>
    <row r="502" spans="1:13" ht="15" customHeight="1">
      <c r="A502" s="278">
        <v>6980</v>
      </c>
      <c r="B502" s="278">
        <v>7000</v>
      </c>
      <c r="C502" s="278">
        <v>773170</v>
      </c>
      <c r="D502" s="278">
        <v>724780</v>
      </c>
      <c r="E502" s="278">
        <v>598120</v>
      </c>
      <c r="F502" s="278">
        <v>568120</v>
      </c>
      <c r="G502" s="278">
        <v>538120</v>
      </c>
      <c r="H502" s="278">
        <v>508120</v>
      </c>
      <c r="I502" s="278">
        <v>478120</v>
      </c>
      <c r="J502" s="278">
        <v>448120</v>
      </c>
      <c r="K502" s="278">
        <v>427580</v>
      </c>
      <c r="L502" s="278">
        <v>408830</v>
      </c>
      <c r="M502" s="278">
        <v>390080</v>
      </c>
    </row>
    <row r="503" spans="1:13" ht="15" customHeight="1">
      <c r="A503" s="278">
        <v>7000</v>
      </c>
      <c r="B503" s="278">
        <v>7020</v>
      </c>
      <c r="C503" s="278">
        <v>777700</v>
      </c>
      <c r="D503" s="278">
        <v>729290</v>
      </c>
      <c r="E503" s="278">
        <v>602350</v>
      </c>
      <c r="F503" s="278">
        <v>572350</v>
      </c>
      <c r="G503" s="278">
        <v>542350</v>
      </c>
      <c r="H503" s="278">
        <v>512350</v>
      </c>
      <c r="I503" s="278">
        <v>482350</v>
      </c>
      <c r="J503" s="278">
        <v>452350</v>
      </c>
      <c r="K503" s="278">
        <v>430220</v>
      </c>
      <c r="L503" s="278">
        <v>411470</v>
      </c>
      <c r="M503" s="278">
        <v>392720</v>
      </c>
    </row>
    <row r="504" spans="1:13" ht="15" customHeight="1">
      <c r="A504" s="278">
        <v>7020</v>
      </c>
      <c r="B504" s="278">
        <v>7040</v>
      </c>
      <c r="C504" s="278">
        <v>782240</v>
      </c>
      <c r="D504" s="278">
        <v>733800</v>
      </c>
      <c r="E504" s="278">
        <v>606570</v>
      </c>
      <c r="F504" s="278">
        <v>576570</v>
      </c>
      <c r="G504" s="278">
        <v>546570</v>
      </c>
      <c r="H504" s="278">
        <v>516570</v>
      </c>
      <c r="I504" s="278">
        <v>486570</v>
      </c>
      <c r="J504" s="278">
        <v>456570</v>
      </c>
      <c r="K504" s="278">
        <v>432860</v>
      </c>
      <c r="L504" s="278">
        <v>414110</v>
      </c>
      <c r="M504" s="278">
        <v>395360</v>
      </c>
    </row>
    <row r="505" spans="1:13" ht="15" customHeight="1">
      <c r="A505" s="278">
        <v>7040</v>
      </c>
      <c r="B505" s="278">
        <v>7060</v>
      </c>
      <c r="C505" s="278">
        <v>786780</v>
      </c>
      <c r="D505" s="278">
        <v>738320</v>
      </c>
      <c r="E505" s="278">
        <v>610800</v>
      </c>
      <c r="F505" s="278">
        <v>580800</v>
      </c>
      <c r="G505" s="278">
        <v>550800</v>
      </c>
      <c r="H505" s="278">
        <v>520800</v>
      </c>
      <c r="I505" s="278">
        <v>490800</v>
      </c>
      <c r="J505" s="278">
        <v>460800</v>
      </c>
      <c r="K505" s="278">
        <v>435500</v>
      </c>
      <c r="L505" s="278">
        <v>416750</v>
      </c>
      <c r="M505" s="278">
        <v>398000</v>
      </c>
    </row>
    <row r="506" spans="1:13" ht="15" customHeight="1">
      <c r="A506" s="278">
        <v>7060</v>
      </c>
      <c r="B506" s="278">
        <v>7080</v>
      </c>
      <c r="C506" s="278">
        <v>791310</v>
      </c>
      <c r="D506" s="278">
        <v>742830</v>
      </c>
      <c r="E506" s="278">
        <v>615020</v>
      </c>
      <c r="F506" s="278">
        <v>585020</v>
      </c>
      <c r="G506" s="278">
        <v>555020</v>
      </c>
      <c r="H506" s="278">
        <v>525020</v>
      </c>
      <c r="I506" s="278">
        <v>495020</v>
      </c>
      <c r="J506" s="278">
        <v>465020</v>
      </c>
      <c r="K506" s="278">
        <v>438140</v>
      </c>
      <c r="L506" s="278">
        <v>419390</v>
      </c>
      <c r="M506" s="278">
        <v>400640</v>
      </c>
    </row>
    <row r="507" spans="1:13" ht="15" customHeight="1">
      <c r="A507" s="278">
        <v>7080</v>
      </c>
      <c r="B507" s="278">
        <v>7100</v>
      </c>
      <c r="C507" s="278">
        <v>795850</v>
      </c>
      <c r="D507" s="278">
        <v>747340</v>
      </c>
      <c r="E507" s="278">
        <v>619240</v>
      </c>
      <c r="F507" s="278">
        <v>589240</v>
      </c>
      <c r="G507" s="278">
        <v>559240</v>
      </c>
      <c r="H507" s="278">
        <v>529240</v>
      </c>
      <c r="I507" s="278">
        <v>499240</v>
      </c>
      <c r="J507" s="278">
        <v>469240</v>
      </c>
      <c r="K507" s="278">
        <v>440780</v>
      </c>
      <c r="L507" s="278">
        <v>422030</v>
      </c>
      <c r="M507" s="278">
        <v>403280</v>
      </c>
    </row>
    <row r="508" spans="1:13" ht="15" customHeight="1">
      <c r="A508" s="278">
        <v>7100</v>
      </c>
      <c r="B508" s="278">
        <v>7120</v>
      </c>
      <c r="C508" s="278">
        <v>800380</v>
      </c>
      <c r="D508" s="278">
        <v>751850</v>
      </c>
      <c r="E508" s="278">
        <v>623470</v>
      </c>
      <c r="F508" s="278">
        <v>593470</v>
      </c>
      <c r="G508" s="278">
        <v>563470</v>
      </c>
      <c r="H508" s="278">
        <v>533470</v>
      </c>
      <c r="I508" s="278">
        <v>503470</v>
      </c>
      <c r="J508" s="278">
        <v>473470</v>
      </c>
      <c r="K508" s="278">
        <v>443470</v>
      </c>
      <c r="L508" s="278">
        <v>424670</v>
      </c>
      <c r="M508" s="278">
        <v>405920</v>
      </c>
    </row>
    <row r="509" spans="1:13" ht="15" customHeight="1">
      <c r="A509" s="278">
        <v>7120</v>
      </c>
      <c r="B509" s="278">
        <v>7140</v>
      </c>
      <c r="C509" s="278">
        <v>804920</v>
      </c>
      <c r="D509" s="278">
        <v>756360</v>
      </c>
      <c r="E509" s="278">
        <v>627690</v>
      </c>
      <c r="F509" s="278">
        <v>597690</v>
      </c>
      <c r="G509" s="278">
        <v>567690</v>
      </c>
      <c r="H509" s="278">
        <v>537690</v>
      </c>
      <c r="I509" s="278">
        <v>507690</v>
      </c>
      <c r="J509" s="278">
        <v>477690</v>
      </c>
      <c r="K509" s="278">
        <v>447690</v>
      </c>
      <c r="L509" s="278">
        <v>427310</v>
      </c>
      <c r="M509" s="278">
        <v>408560</v>
      </c>
    </row>
    <row r="510" spans="1:13" ht="15" customHeight="1">
      <c r="A510" s="278">
        <v>7140</v>
      </c>
      <c r="B510" s="278">
        <v>7160</v>
      </c>
      <c r="C510" s="278">
        <v>809460</v>
      </c>
      <c r="D510" s="278">
        <v>760880</v>
      </c>
      <c r="E510" s="278">
        <v>631920</v>
      </c>
      <c r="F510" s="278">
        <v>601920</v>
      </c>
      <c r="G510" s="278">
        <v>571920</v>
      </c>
      <c r="H510" s="278">
        <v>541920</v>
      </c>
      <c r="I510" s="278">
        <v>511920</v>
      </c>
      <c r="J510" s="278">
        <v>481920</v>
      </c>
      <c r="K510" s="278">
        <v>451920</v>
      </c>
      <c r="L510" s="278">
        <v>429950</v>
      </c>
      <c r="M510" s="278">
        <v>411200</v>
      </c>
    </row>
    <row r="511" spans="1:13" ht="15" customHeight="1">
      <c r="A511" s="278">
        <v>7160</v>
      </c>
      <c r="B511" s="278">
        <v>7180</v>
      </c>
      <c r="C511" s="278">
        <v>813990</v>
      </c>
      <c r="D511" s="278">
        <v>765390</v>
      </c>
      <c r="E511" s="278">
        <v>636140</v>
      </c>
      <c r="F511" s="278">
        <v>606140</v>
      </c>
      <c r="G511" s="278">
        <v>576140</v>
      </c>
      <c r="H511" s="278">
        <v>546140</v>
      </c>
      <c r="I511" s="278">
        <v>516140</v>
      </c>
      <c r="J511" s="278">
        <v>486140</v>
      </c>
      <c r="K511" s="278">
        <v>456140</v>
      </c>
      <c r="L511" s="278">
        <v>432590</v>
      </c>
      <c r="M511" s="278">
        <v>413840</v>
      </c>
    </row>
    <row r="512" spans="1:13" ht="15" customHeight="1">
      <c r="A512" s="278">
        <v>7180</v>
      </c>
      <c r="B512" s="278">
        <v>7200</v>
      </c>
      <c r="C512" s="278">
        <v>818530</v>
      </c>
      <c r="D512" s="278">
        <v>769900</v>
      </c>
      <c r="E512" s="278">
        <v>640360</v>
      </c>
      <c r="F512" s="278">
        <v>610360</v>
      </c>
      <c r="G512" s="278">
        <v>580360</v>
      </c>
      <c r="H512" s="278">
        <v>550360</v>
      </c>
      <c r="I512" s="278">
        <v>520360</v>
      </c>
      <c r="J512" s="278">
        <v>490360</v>
      </c>
      <c r="K512" s="278">
        <v>460360</v>
      </c>
      <c r="L512" s="278">
        <v>435230</v>
      </c>
      <c r="M512" s="278">
        <v>416480</v>
      </c>
    </row>
    <row r="513" spans="1:13" ht="15" customHeight="1">
      <c r="A513" s="278">
        <v>7200</v>
      </c>
      <c r="B513" s="278">
        <v>7220</v>
      </c>
      <c r="C513" s="278">
        <v>823060</v>
      </c>
      <c r="D513" s="278">
        <v>774410</v>
      </c>
      <c r="E513" s="278">
        <v>644590</v>
      </c>
      <c r="F513" s="278">
        <v>614590</v>
      </c>
      <c r="G513" s="278">
        <v>584590</v>
      </c>
      <c r="H513" s="278">
        <v>554590</v>
      </c>
      <c r="I513" s="278">
        <v>524590</v>
      </c>
      <c r="J513" s="278">
        <v>494590</v>
      </c>
      <c r="K513" s="278">
        <v>464590</v>
      </c>
      <c r="L513" s="278">
        <v>437870</v>
      </c>
      <c r="M513" s="278">
        <v>419120</v>
      </c>
    </row>
    <row r="514" spans="1:13" ht="15" customHeight="1">
      <c r="A514" s="278">
        <v>7220</v>
      </c>
      <c r="B514" s="278">
        <v>7240</v>
      </c>
      <c r="C514" s="278">
        <v>827600</v>
      </c>
      <c r="D514" s="278">
        <v>778920</v>
      </c>
      <c r="E514" s="278">
        <v>648810</v>
      </c>
      <c r="F514" s="278">
        <v>618810</v>
      </c>
      <c r="G514" s="278">
        <v>588810</v>
      </c>
      <c r="H514" s="278">
        <v>558810</v>
      </c>
      <c r="I514" s="278">
        <v>528810</v>
      </c>
      <c r="J514" s="278">
        <v>498810</v>
      </c>
      <c r="K514" s="278">
        <v>468810</v>
      </c>
      <c r="L514" s="278">
        <v>440510</v>
      </c>
      <c r="M514" s="278">
        <v>421760</v>
      </c>
    </row>
    <row r="515" spans="1:13" ht="15" customHeight="1">
      <c r="A515" s="278">
        <v>7240</v>
      </c>
      <c r="B515" s="278">
        <v>7260</v>
      </c>
      <c r="C515" s="278">
        <v>832140</v>
      </c>
      <c r="D515" s="278">
        <v>783440</v>
      </c>
      <c r="E515" s="278">
        <v>653040</v>
      </c>
      <c r="F515" s="278">
        <v>623040</v>
      </c>
      <c r="G515" s="278">
        <v>593040</v>
      </c>
      <c r="H515" s="278">
        <v>563040</v>
      </c>
      <c r="I515" s="278">
        <v>533040</v>
      </c>
      <c r="J515" s="278">
        <v>503040</v>
      </c>
      <c r="K515" s="278">
        <v>473040</v>
      </c>
      <c r="L515" s="278">
        <v>443150</v>
      </c>
      <c r="M515" s="278">
        <v>424400</v>
      </c>
    </row>
    <row r="516" spans="1:13" ht="15" customHeight="1">
      <c r="A516" s="278">
        <v>7260</v>
      </c>
      <c r="B516" s="278">
        <v>7280</v>
      </c>
      <c r="C516" s="278">
        <v>836670</v>
      </c>
      <c r="D516" s="278">
        <v>787950</v>
      </c>
      <c r="E516" s="278">
        <v>657260</v>
      </c>
      <c r="F516" s="278">
        <v>627260</v>
      </c>
      <c r="G516" s="278">
        <v>597260</v>
      </c>
      <c r="H516" s="278">
        <v>567260</v>
      </c>
      <c r="I516" s="278">
        <v>537260</v>
      </c>
      <c r="J516" s="278">
        <v>507260</v>
      </c>
      <c r="K516" s="278">
        <v>477260</v>
      </c>
      <c r="L516" s="278">
        <v>447260</v>
      </c>
      <c r="M516" s="278">
        <v>427040</v>
      </c>
    </row>
    <row r="517" spans="1:13" ht="15" customHeight="1">
      <c r="A517" s="278">
        <v>7280</v>
      </c>
      <c r="B517" s="278">
        <v>7300</v>
      </c>
      <c r="C517" s="278">
        <v>841210</v>
      </c>
      <c r="D517" s="278">
        <v>792460</v>
      </c>
      <c r="E517" s="278">
        <v>661480</v>
      </c>
      <c r="F517" s="278">
        <v>631480</v>
      </c>
      <c r="G517" s="278">
        <v>601480</v>
      </c>
      <c r="H517" s="278">
        <v>571480</v>
      </c>
      <c r="I517" s="278">
        <v>541480</v>
      </c>
      <c r="J517" s="278">
        <v>511480</v>
      </c>
      <c r="K517" s="278">
        <v>481480</v>
      </c>
      <c r="L517" s="278">
        <v>451480</v>
      </c>
      <c r="M517" s="278">
        <v>429680</v>
      </c>
    </row>
    <row r="518" spans="1:13" ht="15" customHeight="1">
      <c r="A518" s="278">
        <v>7300</v>
      </c>
      <c r="B518" s="278">
        <v>7320</v>
      </c>
      <c r="C518" s="278">
        <v>845740</v>
      </c>
      <c r="D518" s="278">
        <v>796970</v>
      </c>
      <c r="E518" s="278">
        <v>665710</v>
      </c>
      <c r="F518" s="278">
        <v>635710</v>
      </c>
      <c r="G518" s="278">
        <v>605710</v>
      </c>
      <c r="H518" s="278">
        <v>575710</v>
      </c>
      <c r="I518" s="278">
        <v>545710</v>
      </c>
      <c r="J518" s="278">
        <v>515710</v>
      </c>
      <c r="K518" s="278">
        <v>485710</v>
      </c>
      <c r="L518" s="278">
        <v>455710</v>
      </c>
      <c r="M518" s="278">
        <v>432320</v>
      </c>
    </row>
    <row r="519" spans="1:13" ht="15" customHeight="1">
      <c r="A519" s="278">
        <v>7320</v>
      </c>
      <c r="B519" s="278">
        <v>7340</v>
      </c>
      <c r="C519" s="278">
        <v>850280</v>
      </c>
      <c r="D519" s="278">
        <v>801480</v>
      </c>
      <c r="E519" s="278">
        <v>669930</v>
      </c>
      <c r="F519" s="278">
        <v>639930</v>
      </c>
      <c r="G519" s="278">
        <v>609930</v>
      </c>
      <c r="H519" s="278">
        <v>579930</v>
      </c>
      <c r="I519" s="278">
        <v>549930</v>
      </c>
      <c r="J519" s="278">
        <v>519930</v>
      </c>
      <c r="K519" s="278">
        <v>489930</v>
      </c>
      <c r="L519" s="278">
        <v>459930</v>
      </c>
      <c r="M519" s="278">
        <v>434960</v>
      </c>
    </row>
    <row r="520" spans="1:13" ht="15" customHeight="1">
      <c r="A520" s="278">
        <v>7340</v>
      </c>
      <c r="B520" s="278">
        <v>7360</v>
      </c>
      <c r="C520" s="278">
        <v>854820</v>
      </c>
      <c r="D520" s="278">
        <v>806000</v>
      </c>
      <c r="E520" s="278">
        <v>674160</v>
      </c>
      <c r="F520" s="278">
        <v>644160</v>
      </c>
      <c r="G520" s="278">
        <v>614160</v>
      </c>
      <c r="H520" s="278">
        <v>584160</v>
      </c>
      <c r="I520" s="278">
        <v>554160</v>
      </c>
      <c r="J520" s="278">
        <v>524160</v>
      </c>
      <c r="K520" s="278">
        <v>494160</v>
      </c>
      <c r="L520" s="278">
        <v>464160</v>
      </c>
      <c r="M520" s="278">
        <v>437600</v>
      </c>
    </row>
    <row r="521" spans="1:13" ht="15" customHeight="1">
      <c r="A521" s="278">
        <v>7360</v>
      </c>
      <c r="B521" s="278">
        <v>7380</v>
      </c>
      <c r="C521" s="278">
        <v>859350</v>
      </c>
      <c r="D521" s="278">
        <v>810510</v>
      </c>
      <c r="E521" s="278">
        <v>678380</v>
      </c>
      <c r="F521" s="278">
        <v>648380</v>
      </c>
      <c r="G521" s="278">
        <v>618380</v>
      </c>
      <c r="H521" s="278">
        <v>588380</v>
      </c>
      <c r="I521" s="278">
        <v>558380</v>
      </c>
      <c r="J521" s="278">
        <v>528380</v>
      </c>
      <c r="K521" s="278">
        <v>498380</v>
      </c>
      <c r="L521" s="278">
        <v>468380</v>
      </c>
      <c r="M521" s="278">
        <v>440240</v>
      </c>
    </row>
    <row r="522" spans="1:13" ht="15" customHeight="1">
      <c r="A522" s="278">
        <v>7380</v>
      </c>
      <c r="B522" s="278">
        <v>7400</v>
      </c>
      <c r="C522" s="278">
        <v>863890</v>
      </c>
      <c r="D522" s="278">
        <v>815020</v>
      </c>
      <c r="E522" s="278">
        <v>682600</v>
      </c>
      <c r="F522" s="278">
        <v>652600</v>
      </c>
      <c r="G522" s="278">
        <v>622600</v>
      </c>
      <c r="H522" s="278">
        <v>592600</v>
      </c>
      <c r="I522" s="278">
        <v>562600</v>
      </c>
      <c r="J522" s="278">
        <v>532600</v>
      </c>
      <c r="K522" s="278">
        <v>502600</v>
      </c>
      <c r="L522" s="278">
        <v>472600</v>
      </c>
      <c r="M522" s="278">
        <v>442880</v>
      </c>
    </row>
    <row r="523" spans="1:13" ht="15" customHeight="1">
      <c r="A523" s="278">
        <v>7400</v>
      </c>
      <c r="B523" s="278">
        <v>7420</v>
      </c>
      <c r="C523" s="278">
        <v>868420</v>
      </c>
      <c r="D523" s="278">
        <v>819530</v>
      </c>
      <c r="E523" s="278">
        <v>686830</v>
      </c>
      <c r="F523" s="278">
        <v>656830</v>
      </c>
      <c r="G523" s="278">
        <v>626830</v>
      </c>
      <c r="H523" s="278">
        <v>596830</v>
      </c>
      <c r="I523" s="278">
        <v>566830</v>
      </c>
      <c r="J523" s="278">
        <v>536830</v>
      </c>
      <c r="K523" s="278">
        <v>506830</v>
      </c>
      <c r="L523" s="278">
        <v>476830</v>
      </c>
      <c r="M523" s="278">
        <v>446830</v>
      </c>
    </row>
    <row r="524" spans="1:13" ht="15" customHeight="1">
      <c r="A524" s="278">
        <v>7420</v>
      </c>
      <c r="B524" s="278">
        <v>7440</v>
      </c>
      <c r="C524" s="278">
        <v>872960</v>
      </c>
      <c r="D524" s="278">
        <v>824040</v>
      </c>
      <c r="E524" s="278">
        <v>691050</v>
      </c>
      <c r="F524" s="278">
        <v>661050</v>
      </c>
      <c r="G524" s="278">
        <v>631050</v>
      </c>
      <c r="H524" s="278">
        <v>601050</v>
      </c>
      <c r="I524" s="278">
        <v>571050</v>
      </c>
      <c r="J524" s="278">
        <v>541050</v>
      </c>
      <c r="K524" s="278">
        <v>511050</v>
      </c>
      <c r="L524" s="278">
        <v>481050</v>
      </c>
      <c r="M524" s="278">
        <v>451050</v>
      </c>
    </row>
    <row r="525" spans="1:13" ht="15" customHeight="1">
      <c r="A525" s="278">
        <v>7440</v>
      </c>
      <c r="B525" s="278">
        <v>7460</v>
      </c>
      <c r="C525" s="278">
        <v>877500</v>
      </c>
      <c r="D525" s="278">
        <v>828560</v>
      </c>
      <c r="E525" s="278">
        <v>695280</v>
      </c>
      <c r="F525" s="278">
        <v>665280</v>
      </c>
      <c r="G525" s="278">
        <v>635280</v>
      </c>
      <c r="H525" s="278">
        <v>605280</v>
      </c>
      <c r="I525" s="278">
        <v>575280</v>
      </c>
      <c r="J525" s="278">
        <v>545280</v>
      </c>
      <c r="K525" s="278">
        <v>515280</v>
      </c>
      <c r="L525" s="278">
        <v>485280</v>
      </c>
      <c r="M525" s="278">
        <v>455280</v>
      </c>
    </row>
    <row r="526" spans="1:13" ht="15" customHeight="1">
      <c r="A526" s="278">
        <v>7460</v>
      </c>
      <c r="B526" s="278">
        <v>7480</v>
      </c>
      <c r="C526" s="278">
        <v>882030</v>
      </c>
      <c r="D526" s="278">
        <v>833070</v>
      </c>
      <c r="E526" s="278">
        <v>699500</v>
      </c>
      <c r="F526" s="278">
        <v>669500</v>
      </c>
      <c r="G526" s="278">
        <v>639500</v>
      </c>
      <c r="H526" s="278">
        <v>609500</v>
      </c>
      <c r="I526" s="278">
        <v>579500</v>
      </c>
      <c r="J526" s="278">
        <v>549500</v>
      </c>
      <c r="K526" s="278">
        <v>519500</v>
      </c>
      <c r="L526" s="278">
        <v>489500</v>
      </c>
      <c r="M526" s="278">
        <v>459500</v>
      </c>
    </row>
    <row r="527" spans="1:13" ht="15" customHeight="1">
      <c r="A527" s="278">
        <v>7480</v>
      </c>
      <c r="B527" s="278">
        <v>7500</v>
      </c>
      <c r="C527" s="278">
        <v>886570</v>
      </c>
      <c r="D527" s="278">
        <v>837580</v>
      </c>
      <c r="E527" s="278">
        <v>703720</v>
      </c>
      <c r="F527" s="278">
        <v>673720</v>
      </c>
      <c r="G527" s="278">
        <v>643720</v>
      </c>
      <c r="H527" s="278">
        <v>613720</v>
      </c>
      <c r="I527" s="278">
        <v>583720</v>
      </c>
      <c r="J527" s="278">
        <v>553720</v>
      </c>
      <c r="K527" s="278">
        <v>523720</v>
      </c>
      <c r="L527" s="278">
        <v>493720</v>
      </c>
      <c r="M527" s="278">
        <v>463720</v>
      </c>
    </row>
    <row r="528" spans="1:13" ht="15" customHeight="1">
      <c r="A528" s="278">
        <v>7500</v>
      </c>
      <c r="B528" s="278">
        <v>7520</v>
      </c>
      <c r="C528" s="278">
        <v>891100</v>
      </c>
      <c r="D528" s="278">
        <v>842090</v>
      </c>
      <c r="E528" s="278">
        <v>707950</v>
      </c>
      <c r="F528" s="278">
        <v>677950</v>
      </c>
      <c r="G528" s="278">
        <v>647950</v>
      </c>
      <c r="H528" s="278">
        <v>617950</v>
      </c>
      <c r="I528" s="278">
        <v>587950</v>
      </c>
      <c r="J528" s="278">
        <v>557950</v>
      </c>
      <c r="K528" s="278">
        <v>527950</v>
      </c>
      <c r="L528" s="278">
        <v>497950</v>
      </c>
      <c r="M528" s="278">
        <v>467950</v>
      </c>
    </row>
    <row r="529" spans="1:13" ht="15" customHeight="1">
      <c r="A529" s="278">
        <v>7520</v>
      </c>
      <c r="B529" s="278">
        <v>7540</v>
      </c>
      <c r="C529" s="278">
        <v>895640</v>
      </c>
      <c r="D529" s="278">
        <v>846600</v>
      </c>
      <c r="E529" s="278">
        <v>712170</v>
      </c>
      <c r="F529" s="278">
        <v>682170</v>
      </c>
      <c r="G529" s="278">
        <v>652170</v>
      </c>
      <c r="H529" s="278">
        <v>622170</v>
      </c>
      <c r="I529" s="278">
        <v>592170</v>
      </c>
      <c r="J529" s="278">
        <v>562170</v>
      </c>
      <c r="K529" s="278">
        <v>532170</v>
      </c>
      <c r="L529" s="278">
        <v>502170</v>
      </c>
      <c r="M529" s="278">
        <v>472170</v>
      </c>
    </row>
    <row r="530" spans="1:13" ht="15" customHeight="1">
      <c r="A530" s="278">
        <v>7540</v>
      </c>
      <c r="B530" s="278">
        <v>7560</v>
      </c>
      <c r="C530" s="278">
        <v>900180</v>
      </c>
      <c r="D530" s="278">
        <v>851120</v>
      </c>
      <c r="E530" s="278">
        <v>716400</v>
      </c>
      <c r="F530" s="278">
        <v>686400</v>
      </c>
      <c r="G530" s="278">
        <v>656400</v>
      </c>
      <c r="H530" s="278">
        <v>626400</v>
      </c>
      <c r="I530" s="278">
        <v>596400</v>
      </c>
      <c r="J530" s="278">
        <v>566400</v>
      </c>
      <c r="K530" s="278">
        <v>536400</v>
      </c>
      <c r="L530" s="278">
        <v>506400</v>
      </c>
      <c r="M530" s="278">
        <v>476400</v>
      </c>
    </row>
    <row r="531" spans="1:13" ht="15" customHeight="1">
      <c r="A531" s="278">
        <v>7560</v>
      </c>
      <c r="B531" s="278">
        <v>7580</v>
      </c>
      <c r="C531" s="278">
        <v>904710</v>
      </c>
      <c r="D531" s="278">
        <v>855630</v>
      </c>
      <c r="E531" s="278">
        <v>720620</v>
      </c>
      <c r="F531" s="278">
        <v>690620</v>
      </c>
      <c r="G531" s="278">
        <v>660620</v>
      </c>
      <c r="H531" s="278">
        <v>630620</v>
      </c>
      <c r="I531" s="278">
        <v>600620</v>
      </c>
      <c r="J531" s="278">
        <v>570620</v>
      </c>
      <c r="K531" s="278">
        <v>540620</v>
      </c>
      <c r="L531" s="278">
        <v>510620</v>
      </c>
      <c r="M531" s="278">
        <v>480620</v>
      </c>
    </row>
    <row r="532" spans="1:13" ht="15" customHeight="1">
      <c r="A532" s="278">
        <v>7580</v>
      </c>
      <c r="B532" s="278">
        <v>7600</v>
      </c>
      <c r="C532" s="278">
        <v>909250</v>
      </c>
      <c r="D532" s="278">
        <v>860140</v>
      </c>
      <c r="E532" s="278">
        <v>724840</v>
      </c>
      <c r="F532" s="278">
        <v>694840</v>
      </c>
      <c r="G532" s="278">
        <v>664840</v>
      </c>
      <c r="H532" s="278">
        <v>634840</v>
      </c>
      <c r="I532" s="278">
        <v>604840</v>
      </c>
      <c r="J532" s="278">
        <v>574840</v>
      </c>
      <c r="K532" s="278">
        <v>544840</v>
      </c>
      <c r="L532" s="278">
        <v>514840</v>
      </c>
      <c r="M532" s="278">
        <v>484840</v>
      </c>
    </row>
    <row r="533" spans="1:13" ht="15" customHeight="1">
      <c r="A533" s="278">
        <v>7600</v>
      </c>
      <c r="B533" s="278">
        <v>7620</v>
      </c>
      <c r="C533" s="278">
        <v>913780</v>
      </c>
      <c r="D533" s="278">
        <v>864650</v>
      </c>
      <c r="E533" s="278">
        <v>729070</v>
      </c>
      <c r="F533" s="278">
        <v>699070</v>
      </c>
      <c r="G533" s="278">
        <v>669070</v>
      </c>
      <c r="H533" s="278">
        <v>639070</v>
      </c>
      <c r="I533" s="278">
        <v>609070</v>
      </c>
      <c r="J533" s="278">
        <v>579070</v>
      </c>
      <c r="K533" s="278">
        <v>549070</v>
      </c>
      <c r="L533" s="278">
        <v>519070</v>
      </c>
      <c r="M533" s="278">
        <v>489070</v>
      </c>
    </row>
    <row r="534" spans="1:13" ht="15" customHeight="1">
      <c r="A534" s="278">
        <v>7620</v>
      </c>
      <c r="B534" s="278">
        <v>7640</v>
      </c>
      <c r="C534" s="278">
        <v>918320</v>
      </c>
      <c r="D534" s="278">
        <v>869160</v>
      </c>
      <c r="E534" s="278">
        <v>733290</v>
      </c>
      <c r="F534" s="278">
        <v>703290</v>
      </c>
      <c r="G534" s="278">
        <v>673290</v>
      </c>
      <c r="H534" s="278">
        <v>643290</v>
      </c>
      <c r="I534" s="278">
        <v>613290</v>
      </c>
      <c r="J534" s="278">
        <v>583290</v>
      </c>
      <c r="K534" s="278">
        <v>553290</v>
      </c>
      <c r="L534" s="278">
        <v>523290</v>
      </c>
      <c r="M534" s="278">
        <v>493290</v>
      </c>
    </row>
    <row r="535" spans="1:13" ht="15" customHeight="1">
      <c r="A535" s="278">
        <v>7640</v>
      </c>
      <c r="B535" s="278">
        <v>7660</v>
      </c>
      <c r="C535" s="278">
        <v>922860</v>
      </c>
      <c r="D535" s="278">
        <v>873680</v>
      </c>
      <c r="E535" s="278">
        <v>737520</v>
      </c>
      <c r="F535" s="278">
        <v>707520</v>
      </c>
      <c r="G535" s="278">
        <v>677520</v>
      </c>
      <c r="H535" s="278">
        <v>647520</v>
      </c>
      <c r="I535" s="278">
        <v>617520</v>
      </c>
      <c r="J535" s="278">
        <v>587520</v>
      </c>
      <c r="K535" s="278">
        <v>557520</v>
      </c>
      <c r="L535" s="278">
        <v>527520</v>
      </c>
      <c r="M535" s="278">
        <v>497520</v>
      </c>
    </row>
    <row r="536" spans="1:13" ht="15" customHeight="1">
      <c r="A536" s="278">
        <v>7660</v>
      </c>
      <c r="B536" s="278">
        <v>7680</v>
      </c>
      <c r="C536" s="278">
        <v>927390</v>
      </c>
      <c r="D536" s="278">
        <v>878190</v>
      </c>
      <c r="E536" s="278">
        <v>741740</v>
      </c>
      <c r="F536" s="278">
        <v>711740</v>
      </c>
      <c r="G536" s="278">
        <v>681740</v>
      </c>
      <c r="H536" s="278">
        <v>651740</v>
      </c>
      <c r="I536" s="278">
        <v>621740</v>
      </c>
      <c r="J536" s="278">
        <v>591740</v>
      </c>
      <c r="K536" s="278">
        <v>561740</v>
      </c>
      <c r="L536" s="278">
        <v>531740</v>
      </c>
      <c r="M536" s="278">
        <v>501740</v>
      </c>
    </row>
    <row r="537" spans="1:13" ht="15" customHeight="1">
      <c r="A537" s="278">
        <v>7680</v>
      </c>
      <c r="B537" s="278">
        <v>7700</v>
      </c>
      <c r="C537" s="278">
        <v>931930</v>
      </c>
      <c r="D537" s="278">
        <v>882700</v>
      </c>
      <c r="E537" s="278">
        <v>745960</v>
      </c>
      <c r="F537" s="278">
        <v>715960</v>
      </c>
      <c r="G537" s="278">
        <v>685960</v>
      </c>
      <c r="H537" s="278">
        <v>655960</v>
      </c>
      <c r="I537" s="278">
        <v>625960</v>
      </c>
      <c r="J537" s="278">
        <v>595960</v>
      </c>
      <c r="K537" s="278">
        <v>565960</v>
      </c>
      <c r="L537" s="278">
        <v>535960</v>
      </c>
      <c r="M537" s="278">
        <v>505960</v>
      </c>
    </row>
    <row r="538" spans="1:13" ht="15" customHeight="1">
      <c r="A538" s="278">
        <v>7700</v>
      </c>
      <c r="B538" s="278">
        <v>7720</v>
      </c>
      <c r="C538" s="278">
        <v>936460</v>
      </c>
      <c r="D538" s="278">
        <v>887210</v>
      </c>
      <c r="E538" s="278">
        <v>750190</v>
      </c>
      <c r="F538" s="278">
        <v>720190</v>
      </c>
      <c r="G538" s="278">
        <v>690190</v>
      </c>
      <c r="H538" s="278">
        <v>660190</v>
      </c>
      <c r="I538" s="278">
        <v>630190</v>
      </c>
      <c r="J538" s="278">
        <v>600190</v>
      </c>
      <c r="K538" s="278">
        <v>570190</v>
      </c>
      <c r="L538" s="278">
        <v>540190</v>
      </c>
      <c r="M538" s="278">
        <v>510190</v>
      </c>
    </row>
    <row r="539" spans="1:13" ht="15" customHeight="1">
      <c r="A539" s="278">
        <v>7720</v>
      </c>
      <c r="B539" s="278">
        <v>7740</v>
      </c>
      <c r="C539" s="278">
        <v>941000</v>
      </c>
      <c r="D539" s="278">
        <v>891720</v>
      </c>
      <c r="E539" s="278">
        <v>754410</v>
      </c>
      <c r="F539" s="278">
        <v>724410</v>
      </c>
      <c r="G539" s="278">
        <v>694410</v>
      </c>
      <c r="H539" s="278">
        <v>664410</v>
      </c>
      <c r="I539" s="278">
        <v>634410</v>
      </c>
      <c r="J539" s="278">
        <v>604410</v>
      </c>
      <c r="K539" s="278">
        <v>574410</v>
      </c>
      <c r="L539" s="278">
        <v>544410</v>
      </c>
      <c r="M539" s="278">
        <v>514410</v>
      </c>
    </row>
    <row r="540" spans="1:13" ht="15" customHeight="1">
      <c r="A540" s="278">
        <v>7740</v>
      </c>
      <c r="B540" s="278">
        <v>7760</v>
      </c>
      <c r="C540" s="278">
        <v>945540</v>
      </c>
      <c r="D540" s="278">
        <v>896240</v>
      </c>
      <c r="E540" s="278">
        <v>758640</v>
      </c>
      <c r="F540" s="278">
        <v>728640</v>
      </c>
      <c r="G540" s="278">
        <v>698640</v>
      </c>
      <c r="H540" s="278">
        <v>668640</v>
      </c>
      <c r="I540" s="278">
        <v>638640</v>
      </c>
      <c r="J540" s="278">
        <v>608640</v>
      </c>
      <c r="K540" s="278">
        <v>578640</v>
      </c>
      <c r="L540" s="278">
        <v>548640</v>
      </c>
      <c r="M540" s="278">
        <v>518640</v>
      </c>
    </row>
    <row r="541" spans="1:13" ht="15" customHeight="1">
      <c r="A541" s="278">
        <v>7760</v>
      </c>
      <c r="B541" s="278">
        <v>7780</v>
      </c>
      <c r="C541" s="278">
        <v>950070</v>
      </c>
      <c r="D541" s="278">
        <v>900750</v>
      </c>
      <c r="E541" s="278">
        <v>762860</v>
      </c>
      <c r="F541" s="278">
        <v>732860</v>
      </c>
      <c r="G541" s="278">
        <v>702860</v>
      </c>
      <c r="H541" s="278">
        <v>672860</v>
      </c>
      <c r="I541" s="278">
        <v>642860</v>
      </c>
      <c r="J541" s="278">
        <v>612860</v>
      </c>
      <c r="K541" s="278">
        <v>582860</v>
      </c>
      <c r="L541" s="278">
        <v>552860</v>
      </c>
      <c r="M541" s="278">
        <v>522860</v>
      </c>
    </row>
    <row r="542" spans="1:13" ht="15" customHeight="1">
      <c r="A542" s="278">
        <v>7780</v>
      </c>
      <c r="B542" s="278">
        <v>7800</v>
      </c>
      <c r="C542" s="278">
        <v>954610</v>
      </c>
      <c r="D542" s="278">
        <v>905260</v>
      </c>
      <c r="E542" s="278">
        <v>767080</v>
      </c>
      <c r="F542" s="278">
        <v>737080</v>
      </c>
      <c r="G542" s="278">
        <v>707080</v>
      </c>
      <c r="H542" s="278">
        <v>677080</v>
      </c>
      <c r="I542" s="278">
        <v>647080</v>
      </c>
      <c r="J542" s="278">
        <v>617080</v>
      </c>
      <c r="K542" s="278">
        <v>587080</v>
      </c>
      <c r="L542" s="278">
        <v>557080</v>
      </c>
      <c r="M542" s="278">
        <v>527080</v>
      </c>
    </row>
    <row r="543" spans="1:13" ht="15" customHeight="1">
      <c r="A543" s="278">
        <v>7800</v>
      </c>
      <c r="B543" s="278">
        <v>7820</v>
      </c>
      <c r="C543" s="278">
        <v>959140</v>
      </c>
      <c r="D543" s="278">
        <v>909770</v>
      </c>
      <c r="E543" s="278">
        <v>771310</v>
      </c>
      <c r="F543" s="278">
        <v>741310</v>
      </c>
      <c r="G543" s="278">
        <v>711310</v>
      </c>
      <c r="H543" s="278">
        <v>681310</v>
      </c>
      <c r="I543" s="278">
        <v>651310</v>
      </c>
      <c r="J543" s="278">
        <v>621310</v>
      </c>
      <c r="K543" s="278">
        <v>591310</v>
      </c>
      <c r="L543" s="278">
        <v>561310</v>
      </c>
      <c r="M543" s="278">
        <v>531310</v>
      </c>
    </row>
    <row r="544" spans="1:13" ht="15" customHeight="1">
      <c r="A544" s="278">
        <v>7820</v>
      </c>
      <c r="B544" s="278">
        <v>7840</v>
      </c>
      <c r="C544" s="278">
        <v>963680</v>
      </c>
      <c r="D544" s="278">
        <v>914280</v>
      </c>
      <c r="E544" s="278">
        <v>775530</v>
      </c>
      <c r="F544" s="278">
        <v>745530</v>
      </c>
      <c r="G544" s="278">
        <v>715530</v>
      </c>
      <c r="H544" s="278">
        <v>685530</v>
      </c>
      <c r="I544" s="278">
        <v>655530</v>
      </c>
      <c r="J544" s="278">
        <v>625530</v>
      </c>
      <c r="K544" s="278">
        <v>595530</v>
      </c>
      <c r="L544" s="278">
        <v>565530</v>
      </c>
      <c r="M544" s="278">
        <v>535530</v>
      </c>
    </row>
    <row r="545" spans="1:13" ht="15" customHeight="1">
      <c r="A545" s="278">
        <v>7840</v>
      </c>
      <c r="B545" s="278">
        <v>7860</v>
      </c>
      <c r="C545" s="278">
        <v>968220</v>
      </c>
      <c r="D545" s="278">
        <v>918800</v>
      </c>
      <c r="E545" s="278">
        <v>779760</v>
      </c>
      <c r="F545" s="278">
        <v>749760</v>
      </c>
      <c r="G545" s="278">
        <v>719760</v>
      </c>
      <c r="H545" s="278">
        <v>689760</v>
      </c>
      <c r="I545" s="278">
        <v>659760</v>
      </c>
      <c r="J545" s="278">
        <v>629760</v>
      </c>
      <c r="K545" s="278">
        <v>599760</v>
      </c>
      <c r="L545" s="278">
        <v>569760</v>
      </c>
      <c r="M545" s="278">
        <v>539760</v>
      </c>
    </row>
    <row r="546" spans="1:13" ht="15" customHeight="1">
      <c r="A546" s="278">
        <v>7860</v>
      </c>
      <c r="B546" s="278">
        <v>7880</v>
      </c>
      <c r="C546" s="278">
        <v>972750</v>
      </c>
      <c r="D546" s="278">
        <v>923310</v>
      </c>
      <c r="E546" s="278">
        <v>783980</v>
      </c>
      <c r="F546" s="278">
        <v>753980</v>
      </c>
      <c r="G546" s="278">
        <v>723980</v>
      </c>
      <c r="H546" s="278">
        <v>693980</v>
      </c>
      <c r="I546" s="278">
        <v>663980</v>
      </c>
      <c r="J546" s="278">
        <v>633980</v>
      </c>
      <c r="K546" s="278">
        <v>603980</v>
      </c>
      <c r="L546" s="278">
        <v>573980</v>
      </c>
      <c r="M546" s="278">
        <v>543980</v>
      </c>
    </row>
    <row r="547" spans="1:13" ht="15" customHeight="1">
      <c r="A547" s="278">
        <v>7880</v>
      </c>
      <c r="B547" s="278">
        <v>7900</v>
      </c>
      <c r="C547" s="278">
        <v>977290</v>
      </c>
      <c r="D547" s="278">
        <v>927820</v>
      </c>
      <c r="E547" s="278">
        <v>788200</v>
      </c>
      <c r="F547" s="278">
        <v>758200</v>
      </c>
      <c r="G547" s="278">
        <v>728200</v>
      </c>
      <c r="H547" s="278">
        <v>698200</v>
      </c>
      <c r="I547" s="278">
        <v>668200</v>
      </c>
      <c r="J547" s="278">
        <v>638200</v>
      </c>
      <c r="K547" s="278">
        <v>608200</v>
      </c>
      <c r="L547" s="278">
        <v>578200</v>
      </c>
      <c r="M547" s="278">
        <v>548200</v>
      </c>
    </row>
    <row r="548" spans="1:13" ht="15" customHeight="1">
      <c r="A548" s="278">
        <v>7900</v>
      </c>
      <c r="B548" s="278">
        <v>7920</v>
      </c>
      <c r="C548" s="278">
        <v>981820</v>
      </c>
      <c r="D548" s="278">
        <v>932330</v>
      </c>
      <c r="E548" s="278">
        <v>792430</v>
      </c>
      <c r="F548" s="278">
        <v>762430</v>
      </c>
      <c r="G548" s="278">
        <v>732430</v>
      </c>
      <c r="H548" s="278">
        <v>702430</v>
      </c>
      <c r="I548" s="278">
        <v>672430</v>
      </c>
      <c r="J548" s="278">
        <v>642430</v>
      </c>
      <c r="K548" s="278">
        <v>612430</v>
      </c>
      <c r="L548" s="278">
        <v>582430</v>
      </c>
      <c r="M548" s="278">
        <v>552430</v>
      </c>
    </row>
    <row r="549" spans="1:13" ht="15" customHeight="1">
      <c r="A549" s="278">
        <v>7920</v>
      </c>
      <c r="B549" s="278">
        <v>7940</v>
      </c>
      <c r="C549" s="278">
        <v>986360</v>
      </c>
      <c r="D549" s="278">
        <v>936840</v>
      </c>
      <c r="E549" s="278">
        <v>796650</v>
      </c>
      <c r="F549" s="278">
        <v>766650</v>
      </c>
      <c r="G549" s="278">
        <v>736650</v>
      </c>
      <c r="H549" s="278">
        <v>706650</v>
      </c>
      <c r="I549" s="278">
        <v>676650</v>
      </c>
      <c r="J549" s="278">
        <v>646650</v>
      </c>
      <c r="K549" s="278">
        <v>616650</v>
      </c>
      <c r="L549" s="278">
        <v>586650</v>
      </c>
      <c r="M549" s="278">
        <v>556650</v>
      </c>
    </row>
    <row r="550" spans="1:13" ht="15" customHeight="1">
      <c r="A550" s="278">
        <v>7940</v>
      </c>
      <c r="B550" s="278">
        <v>7960</v>
      </c>
      <c r="C550" s="278">
        <v>990900</v>
      </c>
      <c r="D550" s="278">
        <v>941360</v>
      </c>
      <c r="E550" s="278">
        <v>800880</v>
      </c>
      <c r="F550" s="278">
        <v>770880</v>
      </c>
      <c r="G550" s="278">
        <v>740880</v>
      </c>
      <c r="H550" s="278">
        <v>710880</v>
      </c>
      <c r="I550" s="278">
        <v>680880</v>
      </c>
      <c r="J550" s="278">
        <v>650880</v>
      </c>
      <c r="K550" s="278">
        <v>620880</v>
      </c>
      <c r="L550" s="278">
        <v>590880</v>
      </c>
      <c r="M550" s="278">
        <v>560880</v>
      </c>
    </row>
    <row r="551" spans="1:13" ht="15" customHeight="1">
      <c r="A551" s="278">
        <v>7960</v>
      </c>
      <c r="B551" s="278">
        <v>7980</v>
      </c>
      <c r="C551" s="278">
        <v>995430</v>
      </c>
      <c r="D551" s="278">
        <v>945870</v>
      </c>
      <c r="E551" s="278">
        <v>805100</v>
      </c>
      <c r="F551" s="278">
        <v>775100</v>
      </c>
      <c r="G551" s="278">
        <v>745100</v>
      </c>
      <c r="H551" s="278">
        <v>715100</v>
      </c>
      <c r="I551" s="278">
        <v>685100</v>
      </c>
      <c r="J551" s="278">
        <v>655100</v>
      </c>
      <c r="K551" s="278">
        <v>625100</v>
      </c>
      <c r="L551" s="278">
        <v>595100</v>
      </c>
      <c r="M551" s="278">
        <v>565100</v>
      </c>
    </row>
    <row r="552" spans="1:13" ht="15" customHeight="1">
      <c r="A552" s="278">
        <v>7980</v>
      </c>
      <c r="B552" s="278">
        <v>8000</v>
      </c>
      <c r="C552" s="278">
        <v>999970</v>
      </c>
      <c r="D552" s="278">
        <v>950380</v>
      </c>
      <c r="E552" s="278">
        <v>809320</v>
      </c>
      <c r="F552" s="278">
        <v>779320</v>
      </c>
      <c r="G552" s="278">
        <v>749320</v>
      </c>
      <c r="H552" s="278">
        <v>719320</v>
      </c>
      <c r="I552" s="278">
        <v>689320</v>
      </c>
      <c r="J552" s="278">
        <v>659320</v>
      </c>
      <c r="K552" s="278">
        <v>629320</v>
      </c>
      <c r="L552" s="278">
        <v>599320</v>
      </c>
      <c r="M552" s="278">
        <v>569320</v>
      </c>
    </row>
    <row r="553" spans="1:13" ht="15" customHeight="1">
      <c r="A553" s="278">
        <v>8000</v>
      </c>
      <c r="B553" s="278">
        <v>8020</v>
      </c>
      <c r="C553" s="278">
        <v>1004500</v>
      </c>
      <c r="D553" s="278">
        <v>954890</v>
      </c>
      <c r="E553" s="278">
        <v>813550</v>
      </c>
      <c r="F553" s="278">
        <v>783550</v>
      </c>
      <c r="G553" s="278">
        <v>753550</v>
      </c>
      <c r="H553" s="278">
        <v>723550</v>
      </c>
      <c r="I553" s="278">
        <v>693550</v>
      </c>
      <c r="J553" s="278">
        <v>663550</v>
      </c>
      <c r="K553" s="278">
        <v>633550</v>
      </c>
      <c r="L553" s="278">
        <v>603550</v>
      </c>
      <c r="M553" s="278">
        <v>573550</v>
      </c>
    </row>
    <row r="554" spans="1:13" ht="15" customHeight="1">
      <c r="A554" s="278">
        <v>8020</v>
      </c>
      <c r="B554" s="278">
        <v>8040</v>
      </c>
      <c r="C554" s="278">
        <v>1009040</v>
      </c>
      <c r="D554" s="278">
        <v>959400</v>
      </c>
      <c r="E554" s="278">
        <v>817770</v>
      </c>
      <c r="F554" s="278">
        <v>787770</v>
      </c>
      <c r="G554" s="278">
        <v>757770</v>
      </c>
      <c r="H554" s="278">
        <v>727770</v>
      </c>
      <c r="I554" s="278">
        <v>697770</v>
      </c>
      <c r="J554" s="278">
        <v>667770</v>
      </c>
      <c r="K554" s="278">
        <v>637770</v>
      </c>
      <c r="L554" s="278">
        <v>607770</v>
      </c>
      <c r="M554" s="278">
        <v>577770</v>
      </c>
    </row>
    <row r="555" spans="1:13" ht="15" customHeight="1">
      <c r="A555" s="278">
        <v>8040</v>
      </c>
      <c r="B555" s="278">
        <v>8060</v>
      </c>
      <c r="C555" s="278">
        <v>1013580</v>
      </c>
      <c r="D555" s="278">
        <v>963920</v>
      </c>
      <c r="E555" s="278">
        <v>822000</v>
      </c>
      <c r="F555" s="278">
        <v>792000</v>
      </c>
      <c r="G555" s="278">
        <v>762000</v>
      </c>
      <c r="H555" s="278">
        <v>732000</v>
      </c>
      <c r="I555" s="278">
        <v>702000</v>
      </c>
      <c r="J555" s="278">
        <v>672000</v>
      </c>
      <c r="K555" s="278">
        <v>642000</v>
      </c>
      <c r="L555" s="278">
        <v>612000</v>
      </c>
      <c r="M555" s="278">
        <v>582000</v>
      </c>
    </row>
    <row r="556" spans="1:13" ht="15" customHeight="1">
      <c r="A556" s="278">
        <v>8060</v>
      </c>
      <c r="B556" s="278">
        <v>8080</v>
      </c>
      <c r="C556" s="278">
        <v>1018110</v>
      </c>
      <c r="D556" s="278">
        <v>968430</v>
      </c>
      <c r="E556" s="278">
        <v>826220</v>
      </c>
      <c r="F556" s="278">
        <v>796220</v>
      </c>
      <c r="G556" s="278">
        <v>766220</v>
      </c>
      <c r="H556" s="278">
        <v>736220</v>
      </c>
      <c r="I556" s="278">
        <v>706220</v>
      </c>
      <c r="J556" s="278">
        <v>676220</v>
      </c>
      <c r="K556" s="278">
        <v>646220</v>
      </c>
      <c r="L556" s="278">
        <v>616220</v>
      </c>
      <c r="M556" s="278">
        <v>586220</v>
      </c>
    </row>
    <row r="557" spans="1:13" ht="15" customHeight="1">
      <c r="A557" s="278">
        <v>8080</v>
      </c>
      <c r="B557" s="278">
        <v>8100</v>
      </c>
      <c r="C557" s="278">
        <v>1022650</v>
      </c>
      <c r="D557" s="278">
        <v>972940</v>
      </c>
      <c r="E557" s="278">
        <v>830440</v>
      </c>
      <c r="F557" s="278">
        <v>800440</v>
      </c>
      <c r="G557" s="278">
        <v>770440</v>
      </c>
      <c r="H557" s="278">
        <v>740440</v>
      </c>
      <c r="I557" s="278">
        <v>710440</v>
      </c>
      <c r="J557" s="278">
        <v>680440</v>
      </c>
      <c r="K557" s="278">
        <v>650440</v>
      </c>
      <c r="L557" s="278">
        <v>620440</v>
      </c>
      <c r="M557" s="278">
        <v>590440</v>
      </c>
    </row>
    <row r="558" spans="1:13" ht="15" customHeight="1">
      <c r="A558" s="278">
        <v>8100</v>
      </c>
      <c r="B558" s="278">
        <v>8120</v>
      </c>
      <c r="C558" s="278">
        <v>1027180</v>
      </c>
      <c r="D558" s="278">
        <v>977450</v>
      </c>
      <c r="E558" s="278">
        <v>834670</v>
      </c>
      <c r="F558" s="278">
        <v>804670</v>
      </c>
      <c r="G558" s="278">
        <v>774670</v>
      </c>
      <c r="H558" s="278">
        <v>744670</v>
      </c>
      <c r="I558" s="278">
        <v>714670</v>
      </c>
      <c r="J558" s="278">
        <v>684670</v>
      </c>
      <c r="K558" s="278">
        <v>654670</v>
      </c>
      <c r="L558" s="278">
        <v>624670</v>
      </c>
      <c r="M558" s="278">
        <v>594670</v>
      </c>
    </row>
    <row r="559" spans="1:13" ht="15" customHeight="1">
      <c r="A559" s="278">
        <v>8120</v>
      </c>
      <c r="B559" s="278">
        <v>8140</v>
      </c>
      <c r="C559" s="278">
        <v>1031720</v>
      </c>
      <c r="D559" s="278">
        <v>981960</v>
      </c>
      <c r="E559" s="278">
        <v>838890</v>
      </c>
      <c r="F559" s="278">
        <v>808890</v>
      </c>
      <c r="G559" s="278">
        <v>778890</v>
      </c>
      <c r="H559" s="278">
        <v>748890</v>
      </c>
      <c r="I559" s="278">
        <v>718890</v>
      </c>
      <c r="J559" s="278">
        <v>688890</v>
      </c>
      <c r="K559" s="278">
        <v>658890</v>
      </c>
      <c r="L559" s="278">
        <v>628890</v>
      </c>
      <c r="M559" s="278">
        <v>598890</v>
      </c>
    </row>
    <row r="560" spans="1:13" ht="15" customHeight="1">
      <c r="A560" s="278">
        <v>8140</v>
      </c>
      <c r="B560" s="278">
        <v>8160</v>
      </c>
      <c r="C560" s="278">
        <v>1036260</v>
      </c>
      <c r="D560" s="278">
        <v>986480</v>
      </c>
      <c r="E560" s="278">
        <v>843120</v>
      </c>
      <c r="F560" s="278">
        <v>813120</v>
      </c>
      <c r="G560" s="278">
        <v>783120</v>
      </c>
      <c r="H560" s="278">
        <v>753120</v>
      </c>
      <c r="I560" s="278">
        <v>723120</v>
      </c>
      <c r="J560" s="278">
        <v>693120</v>
      </c>
      <c r="K560" s="278">
        <v>663120</v>
      </c>
      <c r="L560" s="278">
        <v>633120</v>
      </c>
      <c r="M560" s="278">
        <v>603120</v>
      </c>
    </row>
    <row r="561" spans="1:13" ht="15" customHeight="1">
      <c r="A561" s="278">
        <v>8160</v>
      </c>
      <c r="B561" s="278">
        <v>8180</v>
      </c>
      <c r="C561" s="278">
        <v>1040790</v>
      </c>
      <c r="D561" s="278">
        <v>990990</v>
      </c>
      <c r="E561" s="278">
        <v>847340</v>
      </c>
      <c r="F561" s="278">
        <v>817340</v>
      </c>
      <c r="G561" s="278">
        <v>787340</v>
      </c>
      <c r="H561" s="278">
        <v>757340</v>
      </c>
      <c r="I561" s="278">
        <v>727340</v>
      </c>
      <c r="J561" s="278">
        <v>697340</v>
      </c>
      <c r="K561" s="278">
        <v>667340</v>
      </c>
      <c r="L561" s="278">
        <v>637340</v>
      </c>
      <c r="M561" s="278">
        <v>607340</v>
      </c>
    </row>
    <row r="562" spans="1:13" ht="15" customHeight="1">
      <c r="A562" s="278">
        <v>8180</v>
      </c>
      <c r="B562" s="278">
        <v>8200</v>
      </c>
      <c r="C562" s="278">
        <v>1045330</v>
      </c>
      <c r="D562" s="278">
        <v>995500</v>
      </c>
      <c r="E562" s="278">
        <v>851560</v>
      </c>
      <c r="F562" s="278">
        <v>821560</v>
      </c>
      <c r="G562" s="278">
        <v>791560</v>
      </c>
      <c r="H562" s="278">
        <v>761560</v>
      </c>
      <c r="I562" s="278">
        <v>731560</v>
      </c>
      <c r="J562" s="278">
        <v>701560</v>
      </c>
      <c r="K562" s="278">
        <v>671560</v>
      </c>
      <c r="L562" s="278">
        <v>641560</v>
      </c>
      <c r="M562" s="278">
        <v>611560</v>
      </c>
    </row>
    <row r="563" spans="1:13" ht="15" customHeight="1">
      <c r="A563" s="278">
        <v>8200</v>
      </c>
      <c r="B563" s="278">
        <v>8220</v>
      </c>
      <c r="C563" s="278">
        <v>1049860</v>
      </c>
      <c r="D563" s="278">
        <v>1000010</v>
      </c>
      <c r="E563" s="278">
        <v>855790</v>
      </c>
      <c r="F563" s="278">
        <v>825790</v>
      </c>
      <c r="G563" s="278">
        <v>795790</v>
      </c>
      <c r="H563" s="278">
        <v>765790</v>
      </c>
      <c r="I563" s="278">
        <v>735790</v>
      </c>
      <c r="J563" s="278">
        <v>705790</v>
      </c>
      <c r="K563" s="278">
        <v>675790</v>
      </c>
      <c r="L563" s="278">
        <v>645790</v>
      </c>
      <c r="M563" s="278">
        <v>615790</v>
      </c>
    </row>
    <row r="564" spans="1:13" ht="15" customHeight="1">
      <c r="A564" s="278">
        <v>8220</v>
      </c>
      <c r="B564" s="278">
        <v>8240</v>
      </c>
      <c r="C564" s="278">
        <v>1054400</v>
      </c>
      <c r="D564" s="278">
        <v>1004520</v>
      </c>
      <c r="E564" s="278">
        <v>860010</v>
      </c>
      <c r="F564" s="278">
        <v>830010</v>
      </c>
      <c r="G564" s="278">
        <v>800010</v>
      </c>
      <c r="H564" s="278">
        <v>770010</v>
      </c>
      <c r="I564" s="278">
        <v>740010</v>
      </c>
      <c r="J564" s="278">
        <v>710010</v>
      </c>
      <c r="K564" s="278">
        <v>680010</v>
      </c>
      <c r="L564" s="278">
        <v>650010</v>
      </c>
      <c r="M564" s="278">
        <v>620010</v>
      </c>
    </row>
    <row r="565" spans="1:13" ht="15" customHeight="1">
      <c r="A565" s="278">
        <v>8240</v>
      </c>
      <c r="B565" s="278">
        <v>8260</v>
      </c>
      <c r="C565" s="278">
        <v>1058940</v>
      </c>
      <c r="D565" s="278">
        <v>1009040</v>
      </c>
      <c r="E565" s="278">
        <v>864240</v>
      </c>
      <c r="F565" s="278">
        <v>834240</v>
      </c>
      <c r="G565" s="278">
        <v>804240</v>
      </c>
      <c r="H565" s="278">
        <v>774240</v>
      </c>
      <c r="I565" s="278">
        <v>744240</v>
      </c>
      <c r="J565" s="278">
        <v>714240</v>
      </c>
      <c r="K565" s="278">
        <v>684240</v>
      </c>
      <c r="L565" s="278">
        <v>654240</v>
      </c>
      <c r="M565" s="278">
        <v>624240</v>
      </c>
    </row>
    <row r="566" spans="1:13" ht="15" customHeight="1">
      <c r="A566" s="278">
        <v>8260</v>
      </c>
      <c r="B566" s="278">
        <v>8280</v>
      </c>
      <c r="C566" s="278">
        <v>1063470</v>
      </c>
      <c r="D566" s="278">
        <v>1013550</v>
      </c>
      <c r="E566" s="278">
        <v>868460</v>
      </c>
      <c r="F566" s="278">
        <v>838460</v>
      </c>
      <c r="G566" s="278">
        <v>808460</v>
      </c>
      <c r="H566" s="278">
        <v>778460</v>
      </c>
      <c r="I566" s="278">
        <v>748460</v>
      </c>
      <c r="J566" s="278">
        <v>718460</v>
      </c>
      <c r="K566" s="278">
        <v>688460</v>
      </c>
      <c r="L566" s="278">
        <v>658460</v>
      </c>
      <c r="M566" s="278">
        <v>628460</v>
      </c>
    </row>
    <row r="567" spans="1:13" ht="15" customHeight="1">
      <c r="A567" s="278">
        <v>8280</v>
      </c>
      <c r="B567" s="278">
        <v>8300</v>
      </c>
      <c r="C567" s="278">
        <v>1068010</v>
      </c>
      <c r="D567" s="278">
        <v>1018060</v>
      </c>
      <c r="E567" s="278">
        <v>872680</v>
      </c>
      <c r="F567" s="278">
        <v>842680</v>
      </c>
      <c r="G567" s="278">
        <v>812680</v>
      </c>
      <c r="H567" s="278">
        <v>782680</v>
      </c>
      <c r="I567" s="278">
        <v>752680</v>
      </c>
      <c r="J567" s="278">
        <v>722680</v>
      </c>
      <c r="K567" s="278">
        <v>692680</v>
      </c>
      <c r="L567" s="278">
        <v>662680</v>
      </c>
      <c r="M567" s="278">
        <v>632680</v>
      </c>
    </row>
    <row r="568" spans="1:13" ht="15" customHeight="1">
      <c r="A568" s="278">
        <v>8300</v>
      </c>
      <c r="B568" s="278">
        <v>8320</v>
      </c>
      <c r="C568" s="278">
        <v>1072540</v>
      </c>
      <c r="D568" s="278">
        <v>1022570</v>
      </c>
      <c r="E568" s="278">
        <v>876910</v>
      </c>
      <c r="F568" s="278">
        <v>846910</v>
      </c>
      <c r="G568" s="278">
        <v>816910</v>
      </c>
      <c r="H568" s="278">
        <v>786910</v>
      </c>
      <c r="I568" s="278">
        <v>756910</v>
      </c>
      <c r="J568" s="278">
        <v>726910</v>
      </c>
      <c r="K568" s="278">
        <v>696910</v>
      </c>
      <c r="L568" s="278">
        <v>666910</v>
      </c>
      <c r="M568" s="278">
        <v>636910</v>
      </c>
    </row>
    <row r="569" spans="1:13" ht="15" customHeight="1">
      <c r="A569" s="278">
        <v>8320</v>
      </c>
      <c r="B569" s="278">
        <v>8340</v>
      </c>
      <c r="C569" s="278">
        <v>1077080</v>
      </c>
      <c r="D569" s="278">
        <v>1027080</v>
      </c>
      <c r="E569" s="278">
        <v>881130</v>
      </c>
      <c r="F569" s="278">
        <v>851130</v>
      </c>
      <c r="G569" s="278">
        <v>821130</v>
      </c>
      <c r="H569" s="278">
        <v>791130</v>
      </c>
      <c r="I569" s="278">
        <v>761130</v>
      </c>
      <c r="J569" s="278">
        <v>731130</v>
      </c>
      <c r="K569" s="278">
        <v>701130</v>
      </c>
      <c r="L569" s="278">
        <v>671130</v>
      </c>
      <c r="M569" s="278">
        <v>641130</v>
      </c>
    </row>
    <row r="570" spans="1:13" ht="15" customHeight="1">
      <c r="A570" s="278">
        <v>8340</v>
      </c>
      <c r="B570" s="278">
        <v>8360</v>
      </c>
      <c r="C570" s="278">
        <v>1081740</v>
      </c>
      <c r="D570" s="278">
        <v>1031720</v>
      </c>
      <c r="E570" s="278">
        <v>885480</v>
      </c>
      <c r="F570" s="278">
        <v>855480</v>
      </c>
      <c r="G570" s="278">
        <v>825480</v>
      </c>
      <c r="H570" s="278">
        <v>795480</v>
      </c>
      <c r="I570" s="278">
        <v>765480</v>
      </c>
      <c r="J570" s="278">
        <v>735480</v>
      </c>
      <c r="K570" s="278">
        <v>705480</v>
      </c>
      <c r="L570" s="278">
        <v>675480</v>
      </c>
      <c r="M570" s="278">
        <v>645480</v>
      </c>
    </row>
    <row r="571" spans="1:13" ht="15" customHeight="1">
      <c r="A571" s="278">
        <v>8360</v>
      </c>
      <c r="B571" s="278">
        <v>8380</v>
      </c>
      <c r="C571" s="278">
        <v>1086420</v>
      </c>
      <c r="D571" s="278">
        <v>1036370</v>
      </c>
      <c r="E571" s="278">
        <v>889840</v>
      </c>
      <c r="F571" s="278">
        <v>859840</v>
      </c>
      <c r="G571" s="278">
        <v>829840</v>
      </c>
      <c r="H571" s="278">
        <v>799840</v>
      </c>
      <c r="I571" s="278">
        <v>769840</v>
      </c>
      <c r="J571" s="278">
        <v>739840</v>
      </c>
      <c r="K571" s="278">
        <v>709840</v>
      </c>
      <c r="L571" s="278">
        <v>679840</v>
      </c>
      <c r="M571" s="278">
        <v>649840</v>
      </c>
    </row>
    <row r="572" spans="1:13" ht="15" customHeight="1">
      <c r="A572" s="278">
        <v>8380</v>
      </c>
      <c r="B572" s="278">
        <v>8400</v>
      </c>
      <c r="C572" s="278">
        <v>1091100</v>
      </c>
      <c r="D572" s="278">
        <v>1041030</v>
      </c>
      <c r="E572" s="278">
        <v>894210</v>
      </c>
      <c r="F572" s="278">
        <v>864210</v>
      </c>
      <c r="G572" s="278">
        <v>834210</v>
      </c>
      <c r="H572" s="278">
        <v>804210</v>
      </c>
      <c r="I572" s="278">
        <v>774210</v>
      </c>
      <c r="J572" s="278">
        <v>744210</v>
      </c>
      <c r="K572" s="278">
        <v>714210</v>
      </c>
      <c r="L572" s="278">
        <v>684210</v>
      </c>
      <c r="M572" s="278">
        <v>654210</v>
      </c>
    </row>
    <row r="573" spans="1:13" ht="15" customHeight="1">
      <c r="A573" s="278">
        <v>8400</v>
      </c>
      <c r="B573" s="278">
        <v>8420</v>
      </c>
      <c r="C573" s="278">
        <v>1095780</v>
      </c>
      <c r="D573" s="278">
        <v>1045680</v>
      </c>
      <c r="E573" s="278">
        <v>898580</v>
      </c>
      <c r="F573" s="278">
        <v>868580</v>
      </c>
      <c r="G573" s="278">
        <v>838580</v>
      </c>
      <c r="H573" s="278">
        <v>808580</v>
      </c>
      <c r="I573" s="278">
        <v>778580</v>
      </c>
      <c r="J573" s="278">
        <v>748580</v>
      </c>
      <c r="K573" s="278">
        <v>718580</v>
      </c>
      <c r="L573" s="278">
        <v>688580</v>
      </c>
      <c r="M573" s="278">
        <v>658580</v>
      </c>
    </row>
    <row r="574" spans="1:13" ht="15" customHeight="1">
      <c r="A574" s="278">
        <v>8420</v>
      </c>
      <c r="B574" s="278">
        <v>8440</v>
      </c>
      <c r="C574" s="278">
        <v>1100460</v>
      </c>
      <c r="D574" s="278">
        <v>1050340</v>
      </c>
      <c r="E574" s="278">
        <v>902950</v>
      </c>
      <c r="F574" s="278">
        <v>872950</v>
      </c>
      <c r="G574" s="278">
        <v>842950</v>
      </c>
      <c r="H574" s="278">
        <v>812950</v>
      </c>
      <c r="I574" s="278">
        <v>782950</v>
      </c>
      <c r="J574" s="278">
        <v>752950</v>
      </c>
      <c r="K574" s="278">
        <v>722950</v>
      </c>
      <c r="L574" s="278">
        <v>692950</v>
      </c>
      <c r="M574" s="278">
        <v>662950</v>
      </c>
    </row>
    <row r="575" spans="1:13" ht="15" customHeight="1">
      <c r="A575" s="278">
        <v>8440</v>
      </c>
      <c r="B575" s="278">
        <v>8460</v>
      </c>
      <c r="C575" s="278">
        <v>1105140</v>
      </c>
      <c r="D575" s="278">
        <v>1055000</v>
      </c>
      <c r="E575" s="278">
        <v>907320</v>
      </c>
      <c r="F575" s="278">
        <v>877320</v>
      </c>
      <c r="G575" s="278">
        <v>847320</v>
      </c>
      <c r="H575" s="278">
        <v>817320</v>
      </c>
      <c r="I575" s="278">
        <v>787320</v>
      </c>
      <c r="J575" s="278">
        <v>757320</v>
      </c>
      <c r="K575" s="278">
        <v>727320</v>
      </c>
      <c r="L575" s="278">
        <v>697320</v>
      </c>
      <c r="M575" s="278">
        <v>667320</v>
      </c>
    </row>
    <row r="576" spans="1:13" ht="15" customHeight="1">
      <c r="A576" s="278">
        <v>8460</v>
      </c>
      <c r="B576" s="278">
        <v>8480</v>
      </c>
      <c r="C576" s="278">
        <v>1109820</v>
      </c>
      <c r="D576" s="278">
        <v>1059650</v>
      </c>
      <c r="E576" s="278">
        <v>911680</v>
      </c>
      <c r="F576" s="278">
        <v>881680</v>
      </c>
      <c r="G576" s="278">
        <v>851680</v>
      </c>
      <c r="H576" s="278">
        <v>821680</v>
      </c>
      <c r="I576" s="278">
        <v>791680</v>
      </c>
      <c r="J576" s="278">
        <v>761680</v>
      </c>
      <c r="K576" s="278">
        <v>731680</v>
      </c>
      <c r="L576" s="278">
        <v>701680</v>
      </c>
      <c r="M576" s="278">
        <v>671680</v>
      </c>
    </row>
    <row r="577" spans="1:13" ht="15" customHeight="1">
      <c r="A577" s="278">
        <v>8480</v>
      </c>
      <c r="B577" s="278">
        <v>8500</v>
      </c>
      <c r="C577" s="278">
        <v>1114500</v>
      </c>
      <c r="D577" s="278">
        <v>1064310</v>
      </c>
      <c r="E577" s="278">
        <v>916050</v>
      </c>
      <c r="F577" s="278">
        <v>886050</v>
      </c>
      <c r="G577" s="278">
        <v>856050</v>
      </c>
      <c r="H577" s="278">
        <v>826050</v>
      </c>
      <c r="I577" s="278">
        <v>796050</v>
      </c>
      <c r="J577" s="278">
        <v>766050</v>
      </c>
      <c r="K577" s="278">
        <v>736050</v>
      </c>
      <c r="L577" s="278">
        <v>706050</v>
      </c>
      <c r="M577" s="278">
        <v>676050</v>
      </c>
    </row>
    <row r="578" spans="1:13" ht="15" customHeight="1">
      <c r="A578" s="278">
        <v>8500</v>
      </c>
      <c r="B578" s="278">
        <v>8520</v>
      </c>
      <c r="C578" s="278">
        <v>1119180</v>
      </c>
      <c r="D578" s="278">
        <v>1068960</v>
      </c>
      <c r="E578" s="278">
        <v>920420</v>
      </c>
      <c r="F578" s="278">
        <v>890420</v>
      </c>
      <c r="G578" s="278">
        <v>860420</v>
      </c>
      <c r="H578" s="278">
        <v>830420</v>
      </c>
      <c r="I578" s="278">
        <v>800420</v>
      </c>
      <c r="J578" s="278">
        <v>770420</v>
      </c>
      <c r="K578" s="278">
        <v>740420</v>
      </c>
      <c r="L578" s="278">
        <v>710420</v>
      </c>
      <c r="M578" s="278">
        <v>680420</v>
      </c>
    </row>
    <row r="579" spans="1:13" ht="15" customHeight="1">
      <c r="A579" s="278">
        <v>8520</v>
      </c>
      <c r="B579" s="278">
        <v>8540</v>
      </c>
      <c r="C579" s="278">
        <v>1123860</v>
      </c>
      <c r="D579" s="278">
        <v>1073620</v>
      </c>
      <c r="E579" s="278">
        <v>924790</v>
      </c>
      <c r="F579" s="278">
        <v>894790</v>
      </c>
      <c r="G579" s="278">
        <v>864790</v>
      </c>
      <c r="H579" s="278">
        <v>834790</v>
      </c>
      <c r="I579" s="278">
        <v>804790</v>
      </c>
      <c r="J579" s="278">
        <v>774790</v>
      </c>
      <c r="K579" s="278">
        <v>744790</v>
      </c>
      <c r="L579" s="278">
        <v>714790</v>
      </c>
      <c r="M579" s="278">
        <v>684790</v>
      </c>
    </row>
    <row r="580" spans="1:13" ht="15" customHeight="1">
      <c r="A580" s="278">
        <v>8540</v>
      </c>
      <c r="B580" s="278">
        <v>8560</v>
      </c>
      <c r="C580" s="278">
        <v>1128540</v>
      </c>
      <c r="D580" s="278">
        <v>1078280</v>
      </c>
      <c r="E580" s="278">
        <v>929160</v>
      </c>
      <c r="F580" s="278">
        <v>899160</v>
      </c>
      <c r="G580" s="278">
        <v>869160</v>
      </c>
      <c r="H580" s="278">
        <v>839160</v>
      </c>
      <c r="I580" s="278">
        <v>809160</v>
      </c>
      <c r="J580" s="278">
        <v>779160</v>
      </c>
      <c r="K580" s="278">
        <v>749160</v>
      </c>
      <c r="L580" s="278">
        <v>719160</v>
      </c>
      <c r="M580" s="278">
        <v>689160</v>
      </c>
    </row>
    <row r="581" spans="1:13" ht="15" customHeight="1">
      <c r="A581" s="278">
        <v>8560</v>
      </c>
      <c r="B581" s="278">
        <v>8580</v>
      </c>
      <c r="C581" s="278">
        <v>1133220</v>
      </c>
      <c r="D581" s="278">
        <v>1082930</v>
      </c>
      <c r="E581" s="278">
        <v>933520</v>
      </c>
      <c r="F581" s="278">
        <v>903520</v>
      </c>
      <c r="G581" s="278">
        <v>873520</v>
      </c>
      <c r="H581" s="278">
        <v>843520</v>
      </c>
      <c r="I581" s="278">
        <v>813520</v>
      </c>
      <c r="J581" s="278">
        <v>783520</v>
      </c>
      <c r="K581" s="278">
        <v>753520</v>
      </c>
      <c r="L581" s="278">
        <v>723520</v>
      </c>
      <c r="M581" s="278">
        <v>693520</v>
      </c>
    </row>
    <row r="582" spans="1:13" ht="15" customHeight="1">
      <c r="A582" s="278">
        <v>8580</v>
      </c>
      <c r="B582" s="278">
        <v>8600</v>
      </c>
      <c r="C582" s="278">
        <v>1137900</v>
      </c>
      <c r="D582" s="278">
        <v>1087590</v>
      </c>
      <c r="E582" s="278">
        <v>937890</v>
      </c>
      <c r="F582" s="278">
        <v>907890</v>
      </c>
      <c r="G582" s="278">
        <v>877890</v>
      </c>
      <c r="H582" s="278">
        <v>847890</v>
      </c>
      <c r="I582" s="278">
        <v>817890</v>
      </c>
      <c r="J582" s="278">
        <v>787890</v>
      </c>
      <c r="K582" s="278">
        <v>757890</v>
      </c>
      <c r="L582" s="278">
        <v>727890</v>
      </c>
      <c r="M582" s="278">
        <v>697890</v>
      </c>
    </row>
    <row r="583" spans="1:13" ht="15" customHeight="1">
      <c r="A583" s="278">
        <v>8600</v>
      </c>
      <c r="B583" s="278">
        <v>8620</v>
      </c>
      <c r="C583" s="278">
        <v>1142580</v>
      </c>
      <c r="D583" s="278">
        <v>1092240</v>
      </c>
      <c r="E583" s="278">
        <v>942260</v>
      </c>
      <c r="F583" s="278">
        <v>912260</v>
      </c>
      <c r="G583" s="278">
        <v>882260</v>
      </c>
      <c r="H583" s="278">
        <v>852260</v>
      </c>
      <c r="I583" s="278">
        <v>822260</v>
      </c>
      <c r="J583" s="278">
        <v>792260</v>
      </c>
      <c r="K583" s="278">
        <v>762260</v>
      </c>
      <c r="L583" s="278">
        <v>732260</v>
      </c>
      <c r="M583" s="278">
        <v>702260</v>
      </c>
    </row>
    <row r="584" spans="1:13" ht="15" customHeight="1">
      <c r="A584" s="278">
        <v>8620</v>
      </c>
      <c r="B584" s="278">
        <v>8640</v>
      </c>
      <c r="C584" s="278">
        <v>1147260</v>
      </c>
      <c r="D584" s="278">
        <v>1096900</v>
      </c>
      <c r="E584" s="278">
        <v>946630</v>
      </c>
      <c r="F584" s="278">
        <v>916630</v>
      </c>
      <c r="G584" s="278">
        <v>886630</v>
      </c>
      <c r="H584" s="278">
        <v>856630</v>
      </c>
      <c r="I584" s="278">
        <v>826630</v>
      </c>
      <c r="J584" s="278">
        <v>796630</v>
      </c>
      <c r="K584" s="278">
        <v>766630</v>
      </c>
      <c r="L584" s="278">
        <v>736630</v>
      </c>
      <c r="M584" s="278">
        <v>706630</v>
      </c>
    </row>
    <row r="585" spans="1:13" ht="15" customHeight="1">
      <c r="A585" s="278">
        <v>8640</v>
      </c>
      <c r="B585" s="278">
        <v>8660</v>
      </c>
      <c r="C585" s="278">
        <v>1151940</v>
      </c>
      <c r="D585" s="278">
        <v>1101560</v>
      </c>
      <c r="E585" s="278">
        <v>951000</v>
      </c>
      <c r="F585" s="278">
        <v>921000</v>
      </c>
      <c r="G585" s="278">
        <v>891000</v>
      </c>
      <c r="H585" s="278">
        <v>861000</v>
      </c>
      <c r="I585" s="278">
        <v>831000</v>
      </c>
      <c r="J585" s="278">
        <v>801000</v>
      </c>
      <c r="K585" s="278">
        <v>771000</v>
      </c>
      <c r="L585" s="278">
        <v>741000</v>
      </c>
      <c r="M585" s="278">
        <v>711000</v>
      </c>
    </row>
    <row r="586" spans="1:13" ht="15" customHeight="1">
      <c r="A586" s="278">
        <v>8660</v>
      </c>
      <c r="B586" s="278">
        <v>8680</v>
      </c>
      <c r="C586" s="278">
        <v>1156620</v>
      </c>
      <c r="D586" s="278">
        <v>1106210</v>
      </c>
      <c r="E586" s="278">
        <v>955360</v>
      </c>
      <c r="F586" s="278">
        <v>925360</v>
      </c>
      <c r="G586" s="278">
        <v>895360</v>
      </c>
      <c r="H586" s="278">
        <v>865360</v>
      </c>
      <c r="I586" s="278">
        <v>835360</v>
      </c>
      <c r="J586" s="278">
        <v>805360</v>
      </c>
      <c r="K586" s="278">
        <v>775360</v>
      </c>
      <c r="L586" s="278">
        <v>745360</v>
      </c>
      <c r="M586" s="278">
        <v>715360</v>
      </c>
    </row>
    <row r="587" spans="1:13" ht="15" customHeight="1">
      <c r="A587" s="278">
        <v>8680</v>
      </c>
      <c r="B587" s="278">
        <v>8700</v>
      </c>
      <c r="C587" s="278">
        <v>1161300</v>
      </c>
      <c r="D587" s="278">
        <v>1110870</v>
      </c>
      <c r="E587" s="278">
        <v>959730</v>
      </c>
      <c r="F587" s="278">
        <v>929730</v>
      </c>
      <c r="G587" s="278">
        <v>899730</v>
      </c>
      <c r="H587" s="278">
        <v>869730</v>
      </c>
      <c r="I587" s="278">
        <v>839730</v>
      </c>
      <c r="J587" s="278">
        <v>809730</v>
      </c>
      <c r="K587" s="278">
        <v>779730</v>
      </c>
      <c r="L587" s="278">
        <v>749730</v>
      </c>
      <c r="M587" s="278">
        <v>719730</v>
      </c>
    </row>
    <row r="588" spans="1:13" ht="15" customHeight="1">
      <c r="A588" s="278">
        <v>8700</v>
      </c>
      <c r="B588" s="278">
        <v>8720</v>
      </c>
      <c r="C588" s="278">
        <v>1165980</v>
      </c>
      <c r="D588" s="278">
        <v>1115520</v>
      </c>
      <c r="E588" s="278">
        <v>964100</v>
      </c>
      <c r="F588" s="278">
        <v>934100</v>
      </c>
      <c r="G588" s="278">
        <v>904100</v>
      </c>
      <c r="H588" s="278">
        <v>874100</v>
      </c>
      <c r="I588" s="278">
        <v>844100</v>
      </c>
      <c r="J588" s="278">
        <v>814100</v>
      </c>
      <c r="K588" s="278">
        <v>784100</v>
      </c>
      <c r="L588" s="278">
        <v>754100</v>
      </c>
      <c r="M588" s="278">
        <v>724100</v>
      </c>
    </row>
    <row r="589" spans="1:13" ht="15" customHeight="1">
      <c r="A589" s="278">
        <v>8720</v>
      </c>
      <c r="B589" s="278">
        <v>8740</v>
      </c>
      <c r="C589" s="278">
        <v>1170660</v>
      </c>
      <c r="D589" s="278">
        <v>1120180</v>
      </c>
      <c r="E589" s="278">
        <v>968470</v>
      </c>
      <c r="F589" s="278">
        <v>938470</v>
      </c>
      <c r="G589" s="278">
        <v>908470</v>
      </c>
      <c r="H589" s="278">
        <v>878470</v>
      </c>
      <c r="I589" s="278">
        <v>848470</v>
      </c>
      <c r="J589" s="278">
        <v>818470</v>
      </c>
      <c r="K589" s="278">
        <v>788470</v>
      </c>
      <c r="L589" s="278">
        <v>758470</v>
      </c>
      <c r="M589" s="278">
        <v>728470</v>
      </c>
    </row>
    <row r="590" spans="1:13" ht="15" customHeight="1">
      <c r="A590" s="278">
        <v>8740</v>
      </c>
      <c r="B590" s="278">
        <v>8760</v>
      </c>
      <c r="C590" s="278">
        <v>1175340</v>
      </c>
      <c r="D590" s="278">
        <v>1124840</v>
      </c>
      <c r="E590" s="278">
        <v>972840</v>
      </c>
      <c r="F590" s="278">
        <v>942840</v>
      </c>
      <c r="G590" s="278">
        <v>912840</v>
      </c>
      <c r="H590" s="278">
        <v>882840</v>
      </c>
      <c r="I590" s="278">
        <v>852840</v>
      </c>
      <c r="J590" s="278">
        <v>822840</v>
      </c>
      <c r="K590" s="278">
        <v>792840</v>
      </c>
      <c r="L590" s="278">
        <v>762840</v>
      </c>
      <c r="M590" s="278">
        <v>732840</v>
      </c>
    </row>
    <row r="591" spans="1:13" ht="15" customHeight="1">
      <c r="A591" s="278">
        <v>8760</v>
      </c>
      <c r="B591" s="278">
        <v>8780</v>
      </c>
      <c r="C591" s="278">
        <v>1180020</v>
      </c>
      <c r="D591" s="278">
        <v>1129490</v>
      </c>
      <c r="E591" s="278">
        <v>977200</v>
      </c>
      <c r="F591" s="278">
        <v>947200</v>
      </c>
      <c r="G591" s="278">
        <v>917200</v>
      </c>
      <c r="H591" s="278">
        <v>887200</v>
      </c>
      <c r="I591" s="278">
        <v>857200</v>
      </c>
      <c r="J591" s="278">
        <v>827200</v>
      </c>
      <c r="K591" s="278">
        <v>797200</v>
      </c>
      <c r="L591" s="278">
        <v>767200</v>
      </c>
      <c r="M591" s="278">
        <v>737200</v>
      </c>
    </row>
    <row r="592" spans="1:13" ht="15" customHeight="1">
      <c r="A592" s="278">
        <v>8780</v>
      </c>
      <c r="B592" s="278">
        <v>8800</v>
      </c>
      <c r="C592" s="278">
        <v>1184700</v>
      </c>
      <c r="D592" s="278">
        <v>1134150</v>
      </c>
      <c r="E592" s="278">
        <v>981570</v>
      </c>
      <c r="F592" s="278">
        <v>951570</v>
      </c>
      <c r="G592" s="278">
        <v>921570</v>
      </c>
      <c r="H592" s="278">
        <v>891570</v>
      </c>
      <c r="I592" s="278">
        <v>861570</v>
      </c>
      <c r="J592" s="278">
        <v>831570</v>
      </c>
      <c r="K592" s="278">
        <v>801570</v>
      </c>
      <c r="L592" s="278">
        <v>771570</v>
      </c>
      <c r="M592" s="278">
        <v>741570</v>
      </c>
    </row>
    <row r="593" spans="1:13" ht="15" customHeight="1">
      <c r="A593" s="278">
        <v>8800</v>
      </c>
      <c r="B593" s="278">
        <v>8820</v>
      </c>
      <c r="C593" s="278">
        <v>1189380</v>
      </c>
      <c r="D593" s="278">
        <v>1138800</v>
      </c>
      <c r="E593" s="278">
        <v>985940</v>
      </c>
      <c r="F593" s="278">
        <v>955940</v>
      </c>
      <c r="G593" s="278">
        <v>925940</v>
      </c>
      <c r="H593" s="278">
        <v>895940</v>
      </c>
      <c r="I593" s="278">
        <v>865940</v>
      </c>
      <c r="J593" s="278">
        <v>835940</v>
      </c>
      <c r="K593" s="278">
        <v>805940</v>
      </c>
      <c r="L593" s="278">
        <v>775940</v>
      </c>
      <c r="M593" s="278">
        <v>745940</v>
      </c>
    </row>
    <row r="594" spans="1:13" ht="15" customHeight="1">
      <c r="A594" s="278">
        <v>8820</v>
      </c>
      <c r="B594" s="278">
        <v>8840</v>
      </c>
      <c r="C594" s="278">
        <v>1194060</v>
      </c>
      <c r="D594" s="278">
        <v>1143460</v>
      </c>
      <c r="E594" s="278">
        <v>990310</v>
      </c>
      <c r="F594" s="278">
        <v>960310</v>
      </c>
      <c r="G594" s="278">
        <v>930310</v>
      </c>
      <c r="H594" s="278">
        <v>900310</v>
      </c>
      <c r="I594" s="278">
        <v>870310</v>
      </c>
      <c r="J594" s="278">
        <v>840310</v>
      </c>
      <c r="K594" s="278">
        <v>810310</v>
      </c>
      <c r="L594" s="278">
        <v>780310</v>
      </c>
      <c r="M594" s="278">
        <v>750310</v>
      </c>
    </row>
    <row r="595" spans="1:13" ht="15" customHeight="1">
      <c r="A595" s="278">
        <v>8840</v>
      </c>
      <c r="B595" s="278">
        <v>8860</v>
      </c>
      <c r="C595" s="278">
        <v>1198740</v>
      </c>
      <c r="D595" s="278">
        <v>1148120</v>
      </c>
      <c r="E595" s="278">
        <v>994680</v>
      </c>
      <c r="F595" s="278">
        <v>964680</v>
      </c>
      <c r="G595" s="278">
        <v>934680</v>
      </c>
      <c r="H595" s="278">
        <v>904680</v>
      </c>
      <c r="I595" s="278">
        <v>874680</v>
      </c>
      <c r="J595" s="278">
        <v>844680</v>
      </c>
      <c r="K595" s="278">
        <v>814680</v>
      </c>
      <c r="L595" s="278">
        <v>784680</v>
      </c>
      <c r="M595" s="278">
        <v>754680</v>
      </c>
    </row>
    <row r="596" spans="1:13" ht="15" customHeight="1">
      <c r="A596" s="278">
        <v>8860</v>
      </c>
      <c r="B596" s="278">
        <v>8880</v>
      </c>
      <c r="C596" s="278">
        <v>1203420</v>
      </c>
      <c r="D596" s="278">
        <v>1152770</v>
      </c>
      <c r="E596" s="278">
        <v>999040</v>
      </c>
      <c r="F596" s="278">
        <v>969040</v>
      </c>
      <c r="G596" s="278">
        <v>939040</v>
      </c>
      <c r="H596" s="278">
        <v>909040</v>
      </c>
      <c r="I596" s="278">
        <v>879040</v>
      </c>
      <c r="J596" s="278">
        <v>849040</v>
      </c>
      <c r="K596" s="278">
        <v>819040</v>
      </c>
      <c r="L596" s="278">
        <v>789040</v>
      </c>
      <c r="M596" s="278">
        <v>759040</v>
      </c>
    </row>
    <row r="597" spans="1:13" ht="15" customHeight="1">
      <c r="A597" s="278">
        <v>8880</v>
      </c>
      <c r="B597" s="278">
        <v>8900</v>
      </c>
      <c r="C597" s="278">
        <v>1208100</v>
      </c>
      <c r="D597" s="278">
        <v>1157430</v>
      </c>
      <c r="E597" s="278">
        <v>1003410</v>
      </c>
      <c r="F597" s="278">
        <v>973410</v>
      </c>
      <c r="G597" s="278">
        <v>943410</v>
      </c>
      <c r="H597" s="278">
        <v>913410</v>
      </c>
      <c r="I597" s="278">
        <v>883410</v>
      </c>
      <c r="J597" s="278">
        <v>853410</v>
      </c>
      <c r="K597" s="278">
        <v>823410</v>
      </c>
      <c r="L597" s="278">
        <v>793410</v>
      </c>
      <c r="M597" s="278">
        <v>763410</v>
      </c>
    </row>
    <row r="598" spans="1:13" ht="15" customHeight="1">
      <c r="A598" s="278">
        <v>8900</v>
      </c>
      <c r="B598" s="278">
        <v>8920</v>
      </c>
      <c r="C598" s="278">
        <v>1212780</v>
      </c>
      <c r="D598" s="278">
        <v>1162080</v>
      </c>
      <c r="E598" s="278">
        <v>1007780</v>
      </c>
      <c r="F598" s="278">
        <v>977780</v>
      </c>
      <c r="G598" s="278">
        <v>947780</v>
      </c>
      <c r="H598" s="278">
        <v>917780</v>
      </c>
      <c r="I598" s="278">
        <v>887780</v>
      </c>
      <c r="J598" s="278">
        <v>857780</v>
      </c>
      <c r="K598" s="278">
        <v>827780</v>
      </c>
      <c r="L598" s="278">
        <v>797780</v>
      </c>
      <c r="M598" s="278">
        <v>767780</v>
      </c>
    </row>
    <row r="599" spans="1:13" ht="15" customHeight="1">
      <c r="A599" s="278">
        <v>8920</v>
      </c>
      <c r="B599" s="278">
        <v>8940</v>
      </c>
      <c r="C599" s="278">
        <v>1217460</v>
      </c>
      <c r="D599" s="278">
        <v>1166740</v>
      </c>
      <c r="E599" s="278">
        <v>1012150</v>
      </c>
      <c r="F599" s="278">
        <v>982150</v>
      </c>
      <c r="G599" s="278">
        <v>952150</v>
      </c>
      <c r="H599" s="278">
        <v>922150</v>
      </c>
      <c r="I599" s="278">
        <v>892150</v>
      </c>
      <c r="J599" s="278">
        <v>862150</v>
      </c>
      <c r="K599" s="278">
        <v>832150</v>
      </c>
      <c r="L599" s="278">
        <v>802150</v>
      </c>
      <c r="M599" s="278">
        <v>772150</v>
      </c>
    </row>
    <row r="600" spans="1:13" ht="15" customHeight="1">
      <c r="A600" s="278">
        <v>8940</v>
      </c>
      <c r="B600" s="278">
        <v>8960</v>
      </c>
      <c r="C600" s="278">
        <v>1222140</v>
      </c>
      <c r="D600" s="278">
        <v>1171400</v>
      </c>
      <c r="E600" s="278">
        <v>1016520</v>
      </c>
      <c r="F600" s="278">
        <v>986520</v>
      </c>
      <c r="G600" s="278">
        <v>956520</v>
      </c>
      <c r="H600" s="278">
        <v>926520</v>
      </c>
      <c r="I600" s="278">
        <v>896520</v>
      </c>
      <c r="J600" s="278">
        <v>866520</v>
      </c>
      <c r="K600" s="278">
        <v>836520</v>
      </c>
      <c r="L600" s="278">
        <v>806520</v>
      </c>
      <c r="M600" s="278">
        <v>776520</v>
      </c>
    </row>
    <row r="601" spans="1:13" ht="15" customHeight="1">
      <c r="A601" s="278">
        <v>8960</v>
      </c>
      <c r="B601" s="278">
        <v>8980</v>
      </c>
      <c r="C601" s="278">
        <v>1226820</v>
      </c>
      <c r="D601" s="278">
        <v>1176050</v>
      </c>
      <c r="E601" s="278">
        <v>1020880</v>
      </c>
      <c r="F601" s="278">
        <v>990880</v>
      </c>
      <c r="G601" s="278">
        <v>960880</v>
      </c>
      <c r="H601" s="278">
        <v>930880</v>
      </c>
      <c r="I601" s="278">
        <v>900880</v>
      </c>
      <c r="J601" s="278">
        <v>870880</v>
      </c>
      <c r="K601" s="278">
        <v>840880</v>
      </c>
      <c r="L601" s="278">
        <v>810880</v>
      </c>
      <c r="M601" s="278">
        <v>780880</v>
      </c>
    </row>
    <row r="602" spans="1:13" ht="15" customHeight="1">
      <c r="A602" s="278">
        <v>8980</v>
      </c>
      <c r="B602" s="278">
        <v>9000</v>
      </c>
      <c r="C602" s="278">
        <v>1231500</v>
      </c>
      <c r="D602" s="278">
        <v>1180710</v>
      </c>
      <c r="E602" s="278">
        <v>1025250</v>
      </c>
      <c r="F602" s="278">
        <v>995250</v>
      </c>
      <c r="G602" s="278">
        <v>965250</v>
      </c>
      <c r="H602" s="278">
        <v>935250</v>
      </c>
      <c r="I602" s="278">
        <v>905250</v>
      </c>
      <c r="J602" s="278">
        <v>875250</v>
      </c>
      <c r="K602" s="278">
        <v>845250</v>
      </c>
      <c r="L602" s="278">
        <v>815250</v>
      </c>
      <c r="M602" s="278">
        <v>785250</v>
      </c>
    </row>
    <row r="603" spans="1:13" ht="15" customHeight="1">
      <c r="A603" s="278">
        <v>9000</v>
      </c>
      <c r="B603" s="278">
        <v>9020</v>
      </c>
      <c r="C603" s="278">
        <v>1236180</v>
      </c>
      <c r="D603" s="278">
        <v>1185360</v>
      </c>
      <c r="E603" s="278">
        <v>1029620</v>
      </c>
      <c r="F603" s="278">
        <v>999620</v>
      </c>
      <c r="G603" s="278">
        <v>969620</v>
      </c>
      <c r="H603" s="278">
        <v>939620</v>
      </c>
      <c r="I603" s="278">
        <v>909620</v>
      </c>
      <c r="J603" s="278">
        <v>879620</v>
      </c>
      <c r="K603" s="278">
        <v>849620</v>
      </c>
      <c r="L603" s="278">
        <v>819620</v>
      </c>
      <c r="M603" s="278">
        <v>789620</v>
      </c>
    </row>
    <row r="604" spans="1:13" ht="15" customHeight="1">
      <c r="A604" s="278">
        <v>9020</v>
      </c>
      <c r="B604" s="278">
        <v>9040</v>
      </c>
      <c r="C604" s="278">
        <v>1240860</v>
      </c>
      <c r="D604" s="278">
        <v>1190020</v>
      </c>
      <c r="E604" s="278">
        <v>1033990</v>
      </c>
      <c r="F604" s="278">
        <v>1003990</v>
      </c>
      <c r="G604" s="278">
        <v>973990</v>
      </c>
      <c r="H604" s="278">
        <v>943990</v>
      </c>
      <c r="I604" s="278">
        <v>913990</v>
      </c>
      <c r="J604" s="278">
        <v>883990</v>
      </c>
      <c r="K604" s="278">
        <v>853990</v>
      </c>
      <c r="L604" s="278">
        <v>823990</v>
      </c>
      <c r="M604" s="278">
        <v>793990</v>
      </c>
    </row>
    <row r="605" spans="1:13" ht="15" customHeight="1">
      <c r="A605" s="278">
        <v>9040</v>
      </c>
      <c r="B605" s="278">
        <v>9060</v>
      </c>
      <c r="C605" s="278">
        <v>1245540</v>
      </c>
      <c r="D605" s="278">
        <v>1194680</v>
      </c>
      <c r="E605" s="278">
        <v>1038360</v>
      </c>
      <c r="F605" s="278">
        <v>1008360</v>
      </c>
      <c r="G605" s="278">
        <v>978360</v>
      </c>
      <c r="H605" s="278">
        <v>948360</v>
      </c>
      <c r="I605" s="278">
        <v>918360</v>
      </c>
      <c r="J605" s="278">
        <v>888360</v>
      </c>
      <c r="K605" s="278">
        <v>858360</v>
      </c>
      <c r="L605" s="278">
        <v>828360</v>
      </c>
      <c r="M605" s="278">
        <v>798360</v>
      </c>
    </row>
    <row r="606" spans="1:13" ht="15" customHeight="1">
      <c r="A606" s="278">
        <v>9060</v>
      </c>
      <c r="B606" s="278">
        <v>9080</v>
      </c>
      <c r="C606" s="278">
        <v>1250220</v>
      </c>
      <c r="D606" s="278">
        <v>1199330</v>
      </c>
      <c r="E606" s="278">
        <v>1042720</v>
      </c>
      <c r="F606" s="278">
        <v>1012720</v>
      </c>
      <c r="G606" s="278">
        <v>982720</v>
      </c>
      <c r="H606" s="278">
        <v>952720</v>
      </c>
      <c r="I606" s="278">
        <v>922720</v>
      </c>
      <c r="J606" s="278">
        <v>892720</v>
      </c>
      <c r="K606" s="278">
        <v>862720</v>
      </c>
      <c r="L606" s="278">
        <v>832720</v>
      </c>
      <c r="M606" s="278">
        <v>802720</v>
      </c>
    </row>
    <row r="607" spans="1:13" ht="15" customHeight="1">
      <c r="A607" s="278">
        <v>9080</v>
      </c>
      <c r="B607" s="278">
        <v>9100</v>
      </c>
      <c r="C607" s="278">
        <v>1254900</v>
      </c>
      <c r="D607" s="278">
        <v>1203990</v>
      </c>
      <c r="E607" s="278">
        <v>1047090</v>
      </c>
      <c r="F607" s="278">
        <v>1017090</v>
      </c>
      <c r="G607" s="278">
        <v>987090</v>
      </c>
      <c r="H607" s="278">
        <v>957090</v>
      </c>
      <c r="I607" s="278">
        <v>927090</v>
      </c>
      <c r="J607" s="278">
        <v>897090</v>
      </c>
      <c r="K607" s="278">
        <v>867090</v>
      </c>
      <c r="L607" s="278">
        <v>837090</v>
      </c>
      <c r="M607" s="278">
        <v>807090</v>
      </c>
    </row>
    <row r="608" spans="1:13" ht="15" customHeight="1">
      <c r="A608" s="278">
        <v>9100</v>
      </c>
      <c r="B608" s="278">
        <v>9120</v>
      </c>
      <c r="C608" s="278">
        <v>1259580</v>
      </c>
      <c r="D608" s="278">
        <v>1208640</v>
      </c>
      <c r="E608" s="278">
        <v>1051460</v>
      </c>
      <c r="F608" s="278">
        <v>1021460</v>
      </c>
      <c r="G608" s="278">
        <v>991460</v>
      </c>
      <c r="H608" s="278">
        <v>961460</v>
      </c>
      <c r="I608" s="278">
        <v>931460</v>
      </c>
      <c r="J608" s="278">
        <v>901460</v>
      </c>
      <c r="K608" s="278">
        <v>871460</v>
      </c>
      <c r="L608" s="278">
        <v>841460</v>
      </c>
      <c r="M608" s="278">
        <v>811460</v>
      </c>
    </row>
    <row r="609" spans="1:13" ht="15" customHeight="1">
      <c r="A609" s="278">
        <v>9120</v>
      </c>
      <c r="B609" s="278">
        <v>9140</v>
      </c>
      <c r="C609" s="278">
        <v>1264260</v>
      </c>
      <c r="D609" s="278">
        <v>1213300</v>
      </c>
      <c r="E609" s="278">
        <v>1055830</v>
      </c>
      <c r="F609" s="278">
        <v>1025830</v>
      </c>
      <c r="G609" s="278">
        <v>995830</v>
      </c>
      <c r="H609" s="278">
        <v>965830</v>
      </c>
      <c r="I609" s="278">
        <v>935830</v>
      </c>
      <c r="J609" s="278">
        <v>905830</v>
      </c>
      <c r="K609" s="278">
        <v>875830</v>
      </c>
      <c r="L609" s="278">
        <v>845830</v>
      </c>
      <c r="M609" s="278">
        <v>815830</v>
      </c>
    </row>
    <row r="610" spans="1:13" ht="15" customHeight="1">
      <c r="A610" s="278">
        <v>9140</v>
      </c>
      <c r="B610" s="278">
        <v>9160</v>
      </c>
      <c r="C610" s="278">
        <v>1268940</v>
      </c>
      <c r="D610" s="278">
        <v>1217960</v>
      </c>
      <c r="E610" s="278">
        <v>1060200</v>
      </c>
      <c r="F610" s="278">
        <v>1030200</v>
      </c>
      <c r="G610" s="278">
        <v>1000200</v>
      </c>
      <c r="H610" s="278">
        <v>970200</v>
      </c>
      <c r="I610" s="278">
        <v>940200</v>
      </c>
      <c r="J610" s="278">
        <v>910200</v>
      </c>
      <c r="K610" s="278">
        <v>880200</v>
      </c>
      <c r="L610" s="278">
        <v>850200</v>
      </c>
      <c r="M610" s="278">
        <v>820200</v>
      </c>
    </row>
    <row r="611" spans="1:13" ht="15" customHeight="1">
      <c r="A611" s="278">
        <v>9160</v>
      </c>
      <c r="B611" s="278">
        <v>9180</v>
      </c>
      <c r="C611" s="278">
        <v>1273620</v>
      </c>
      <c r="D611" s="278">
        <v>1222610</v>
      </c>
      <c r="E611" s="278">
        <v>1064560</v>
      </c>
      <c r="F611" s="278">
        <v>1034560</v>
      </c>
      <c r="G611" s="278">
        <v>1004560</v>
      </c>
      <c r="H611" s="278">
        <v>974560</v>
      </c>
      <c r="I611" s="278">
        <v>944560</v>
      </c>
      <c r="J611" s="278">
        <v>914560</v>
      </c>
      <c r="K611" s="278">
        <v>884560</v>
      </c>
      <c r="L611" s="278">
        <v>854560</v>
      </c>
      <c r="M611" s="278">
        <v>824560</v>
      </c>
    </row>
    <row r="612" spans="1:13" ht="15" customHeight="1">
      <c r="A612" s="278">
        <v>9180</v>
      </c>
      <c r="B612" s="278">
        <v>9200</v>
      </c>
      <c r="C612" s="278">
        <v>1278300</v>
      </c>
      <c r="D612" s="278">
        <v>1227270</v>
      </c>
      <c r="E612" s="278">
        <v>1068930</v>
      </c>
      <c r="F612" s="278">
        <v>1038930</v>
      </c>
      <c r="G612" s="278">
        <v>1008930</v>
      </c>
      <c r="H612" s="278">
        <v>978930</v>
      </c>
      <c r="I612" s="278">
        <v>948930</v>
      </c>
      <c r="J612" s="278">
        <v>918930</v>
      </c>
      <c r="K612" s="278">
        <v>888930</v>
      </c>
      <c r="L612" s="278">
        <v>858930</v>
      </c>
      <c r="M612" s="278">
        <v>828930</v>
      </c>
    </row>
    <row r="613" spans="1:13" ht="15" customHeight="1">
      <c r="A613" s="278">
        <v>9200</v>
      </c>
      <c r="B613" s="278">
        <v>9220</v>
      </c>
      <c r="C613" s="278">
        <v>1282980</v>
      </c>
      <c r="D613" s="278">
        <v>1231920</v>
      </c>
      <c r="E613" s="278">
        <v>1073300</v>
      </c>
      <c r="F613" s="278">
        <v>1043300</v>
      </c>
      <c r="G613" s="278">
        <v>1013300</v>
      </c>
      <c r="H613" s="278">
        <v>983300</v>
      </c>
      <c r="I613" s="278">
        <v>953300</v>
      </c>
      <c r="J613" s="278">
        <v>923300</v>
      </c>
      <c r="K613" s="278">
        <v>893300</v>
      </c>
      <c r="L613" s="278">
        <v>863300</v>
      </c>
      <c r="M613" s="278">
        <v>833300</v>
      </c>
    </row>
    <row r="614" spans="1:13" ht="15" customHeight="1">
      <c r="A614" s="278">
        <v>9220</v>
      </c>
      <c r="B614" s="278">
        <v>9240</v>
      </c>
      <c r="C614" s="278">
        <v>1289640</v>
      </c>
      <c r="D614" s="278">
        <v>1236580</v>
      </c>
      <c r="E614" s="278">
        <v>1077670</v>
      </c>
      <c r="F614" s="278">
        <v>1047670</v>
      </c>
      <c r="G614" s="278">
        <v>1017670</v>
      </c>
      <c r="H614" s="278">
        <v>987670</v>
      </c>
      <c r="I614" s="278">
        <v>957670</v>
      </c>
      <c r="J614" s="278">
        <v>927670</v>
      </c>
      <c r="K614" s="278">
        <v>897670</v>
      </c>
      <c r="L614" s="278">
        <v>867670</v>
      </c>
      <c r="M614" s="278">
        <v>837670</v>
      </c>
    </row>
    <row r="615" spans="1:13" ht="15" customHeight="1">
      <c r="A615" s="278">
        <v>9240</v>
      </c>
      <c r="B615" s="278">
        <v>9260</v>
      </c>
      <c r="C615" s="278">
        <v>1296470</v>
      </c>
      <c r="D615" s="278">
        <v>1241240</v>
      </c>
      <c r="E615" s="278">
        <v>1082040</v>
      </c>
      <c r="F615" s="278">
        <v>1052040</v>
      </c>
      <c r="G615" s="278">
        <v>1022040</v>
      </c>
      <c r="H615" s="278">
        <v>992040</v>
      </c>
      <c r="I615" s="278">
        <v>962040</v>
      </c>
      <c r="J615" s="278">
        <v>932040</v>
      </c>
      <c r="K615" s="278">
        <v>902040</v>
      </c>
      <c r="L615" s="278">
        <v>872040</v>
      </c>
      <c r="M615" s="278">
        <v>842040</v>
      </c>
    </row>
    <row r="616" spans="1:13" ht="15" customHeight="1">
      <c r="A616" s="278">
        <v>9260</v>
      </c>
      <c r="B616" s="278">
        <v>9280</v>
      </c>
      <c r="C616" s="278">
        <v>1303290</v>
      </c>
      <c r="D616" s="278">
        <v>1245890</v>
      </c>
      <c r="E616" s="278">
        <v>1086400</v>
      </c>
      <c r="F616" s="278">
        <v>1056400</v>
      </c>
      <c r="G616" s="278">
        <v>1026400</v>
      </c>
      <c r="H616" s="278">
        <v>996400</v>
      </c>
      <c r="I616" s="278">
        <v>966400</v>
      </c>
      <c r="J616" s="278">
        <v>936400</v>
      </c>
      <c r="K616" s="278">
        <v>906400</v>
      </c>
      <c r="L616" s="278">
        <v>876400</v>
      </c>
      <c r="M616" s="278">
        <v>846400</v>
      </c>
    </row>
    <row r="617" spans="1:13" ht="15" customHeight="1">
      <c r="A617" s="278">
        <v>9280</v>
      </c>
      <c r="B617" s="278">
        <v>9300</v>
      </c>
      <c r="C617" s="278">
        <v>1310120</v>
      </c>
      <c r="D617" s="278">
        <v>1250550</v>
      </c>
      <c r="E617" s="278">
        <v>1090770</v>
      </c>
      <c r="F617" s="278">
        <v>1060770</v>
      </c>
      <c r="G617" s="278">
        <v>1030770</v>
      </c>
      <c r="H617" s="278">
        <v>1000770</v>
      </c>
      <c r="I617" s="278">
        <v>970770</v>
      </c>
      <c r="J617" s="278">
        <v>940770</v>
      </c>
      <c r="K617" s="278">
        <v>910770</v>
      </c>
      <c r="L617" s="278">
        <v>880770</v>
      </c>
      <c r="M617" s="278">
        <v>850770</v>
      </c>
    </row>
    <row r="618" spans="1:13" ht="15" customHeight="1">
      <c r="A618" s="278">
        <v>9300</v>
      </c>
      <c r="B618" s="278">
        <v>9320</v>
      </c>
      <c r="C618" s="278">
        <v>1316940</v>
      </c>
      <c r="D618" s="278">
        <v>1255200</v>
      </c>
      <c r="E618" s="278">
        <v>1095140</v>
      </c>
      <c r="F618" s="278">
        <v>1065140</v>
      </c>
      <c r="G618" s="278">
        <v>1035140</v>
      </c>
      <c r="H618" s="278">
        <v>1005140</v>
      </c>
      <c r="I618" s="278">
        <v>975140</v>
      </c>
      <c r="J618" s="278">
        <v>945140</v>
      </c>
      <c r="K618" s="278">
        <v>915140</v>
      </c>
      <c r="L618" s="278">
        <v>885140</v>
      </c>
      <c r="M618" s="278">
        <v>855140</v>
      </c>
    </row>
    <row r="619" spans="1:13" ht="15" customHeight="1">
      <c r="A619" s="278">
        <v>9320</v>
      </c>
      <c r="B619" s="278">
        <v>9340</v>
      </c>
      <c r="C619" s="278">
        <v>1323770</v>
      </c>
      <c r="D619" s="278">
        <v>1259860</v>
      </c>
      <c r="E619" s="278">
        <v>1099510</v>
      </c>
      <c r="F619" s="278">
        <v>1069510</v>
      </c>
      <c r="G619" s="278">
        <v>1039510</v>
      </c>
      <c r="H619" s="278">
        <v>1009510</v>
      </c>
      <c r="I619" s="278">
        <v>979510</v>
      </c>
      <c r="J619" s="278">
        <v>949510</v>
      </c>
      <c r="K619" s="278">
        <v>919510</v>
      </c>
      <c r="L619" s="278">
        <v>889510</v>
      </c>
      <c r="M619" s="278">
        <v>859510</v>
      </c>
    </row>
    <row r="620" spans="1:13" ht="15" customHeight="1">
      <c r="A620" s="278">
        <v>9340</v>
      </c>
      <c r="B620" s="278">
        <v>9360</v>
      </c>
      <c r="C620" s="278">
        <v>1330590</v>
      </c>
      <c r="D620" s="278">
        <v>1264520</v>
      </c>
      <c r="E620" s="278">
        <v>1103880</v>
      </c>
      <c r="F620" s="278">
        <v>1073880</v>
      </c>
      <c r="G620" s="278">
        <v>1043880</v>
      </c>
      <c r="H620" s="278">
        <v>1013880</v>
      </c>
      <c r="I620" s="278">
        <v>983880</v>
      </c>
      <c r="J620" s="278">
        <v>953880</v>
      </c>
      <c r="K620" s="278">
        <v>923880</v>
      </c>
      <c r="L620" s="278">
        <v>893880</v>
      </c>
      <c r="M620" s="278">
        <v>863880</v>
      </c>
    </row>
    <row r="621" spans="1:13" ht="15" customHeight="1">
      <c r="A621" s="278">
        <v>9360</v>
      </c>
      <c r="B621" s="278">
        <v>9380</v>
      </c>
      <c r="C621" s="278">
        <v>1337420</v>
      </c>
      <c r="D621" s="278">
        <v>1269170</v>
      </c>
      <c r="E621" s="278">
        <v>1108240</v>
      </c>
      <c r="F621" s="278">
        <v>1078240</v>
      </c>
      <c r="G621" s="278">
        <v>1048240</v>
      </c>
      <c r="H621" s="278">
        <v>1018240</v>
      </c>
      <c r="I621" s="278">
        <v>988240</v>
      </c>
      <c r="J621" s="278">
        <v>958240</v>
      </c>
      <c r="K621" s="278">
        <v>928240</v>
      </c>
      <c r="L621" s="278">
        <v>898240</v>
      </c>
      <c r="M621" s="278">
        <v>868240</v>
      </c>
    </row>
    <row r="622" spans="1:13" ht="15" customHeight="1">
      <c r="A622" s="278">
        <v>9380</v>
      </c>
      <c r="B622" s="278">
        <v>9400</v>
      </c>
      <c r="C622" s="278">
        <v>1344240</v>
      </c>
      <c r="D622" s="278">
        <v>1273830</v>
      </c>
      <c r="E622" s="278">
        <v>1112610</v>
      </c>
      <c r="F622" s="278">
        <v>1082610</v>
      </c>
      <c r="G622" s="278">
        <v>1052610</v>
      </c>
      <c r="H622" s="278">
        <v>1022610</v>
      </c>
      <c r="I622" s="278">
        <v>992610</v>
      </c>
      <c r="J622" s="278">
        <v>962610</v>
      </c>
      <c r="K622" s="278">
        <v>932610</v>
      </c>
      <c r="L622" s="278">
        <v>902610</v>
      </c>
      <c r="M622" s="278">
        <v>872610</v>
      </c>
    </row>
    <row r="623" spans="1:13" ht="15" customHeight="1">
      <c r="A623" s="278">
        <v>9400</v>
      </c>
      <c r="B623" s="278">
        <v>9420</v>
      </c>
      <c r="C623" s="278">
        <v>1351070</v>
      </c>
      <c r="D623" s="278">
        <v>1278480</v>
      </c>
      <c r="E623" s="278">
        <v>1116980</v>
      </c>
      <c r="F623" s="278">
        <v>1086980</v>
      </c>
      <c r="G623" s="278">
        <v>1056980</v>
      </c>
      <c r="H623" s="278">
        <v>1026980</v>
      </c>
      <c r="I623" s="278">
        <v>996980</v>
      </c>
      <c r="J623" s="278">
        <v>966980</v>
      </c>
      <c r="K623" s="278">
        <v>936980</v>
      </c>
      <c r="L623" s="278">
        <v>906980</v>
      </c>
      <c r="M623" s="278">
        <v>876980</v>
      </c>
    </row>
    <row r="624" spans="1:13" ht="15" customHeight="1">
      <c r="A624" s="278">
        <v>9420</v>
      </c>
      <c r="B624" s="278">
        <v>9440</v>
      </c>
      <c r="C624" s="278">
        <v>1357890</v>
      </c>
      <c r="D624" s="278">
        <v>1283140</v>
      </c>
      <c r="E624" s="278">
        <v>1121350</v>
      </c>
      <c r="F624" s="278">
        <v>1091350</v>
      </c>
      <c r="G624" s="278">
        <v>1061350</v>
      </c>
      <c r="H624" s="278">
        <v>1031350</v>
      </c>
      <c r="I624" s="278">
        <v>1001350</v>
      </c>
      <c r="J624" s="278">
        <v>971350</v>
      </c>
      <c r="K624" s="278">
        <v>941350</v>
      </c>
      <c r="L624" s="278">
        <v>911350</v>
      </c>
      <c r="M624" s="278">
        <v>881350</v>
      </c>
    </row>
    <row r="625" spans="1:13" ht="15" customHeight="1">
      <c r="A625" s="278">
        <v>9440</v>
      </c>
      <c r="B625" s="278">
        <v>9460</v>
      </c>
      <c r="C625" s="278">
        <v>1364720</v>
      </c>
      <c r="D625" s="278">
        <v>1289840</v>
      </c>
      <c r="E625" s="278">
        <v>1125720</v>
      </c>
      <c r="F625" s="278">
        <v>1095720</v>
      </c>
      <c r="G625" s="278">
        <v>1065720</v>
      </c>
      <c r="H625" s="278">
        <v>1035720</v>
      </c>
      <c r="I625" s="278">
        <v>1005720</v>
      </c>
      <c r="J625" s="278">
        <v>975720</v>
      </c>
      <c r="K625" s="278">
        <v>945720</v>
      </c>
      <c r="L625" s="278">
        <v>915720</v>
      </c>
      <c r="M625" s="278">
        <v>885720</v>
      </c>
    </row>
    <row r="626" spans="1:13" ht="15" customHeight="1">
      <c r="A626" s="278">
        <v>9460</v>
      </c>
      <c r="B626" s="278">
        <v>9480</v>
      </c>
      <c r="C626" s="278">
        <v>1371540</v>
      </c>
      <c r="D626" s="278">
        <v>1296630</v>
      </c>
      <c r="E626" s="278">
        <v>1130080</v>
      </c>
      <c r="F626" s="278">
        <v>1100080</v>
      </c>
      <c r="G626" s="278">
        <v>1070080</v>
      </c>
      <c r="H626" s="278">
        <v>1040080</v>
      </c>
      <c r="I626" s="278">
        <v>1010080</v>
      </c>
      <c r="J626" s="278">
        <v>980080</v>
      </c>
      <c r="K626" s="278">
        <v>950080</v>
      </c>
      <c r="L626" s="278">
        <v>920080</v>
      </c>
      <c r="M626" s="278">
        <v>890080</v>
      </c>
    </row>
    <row r="627" spans="1:13" ht="15" customHeight="1">
      <c r="A627" s="278">
        <v>9480</v>
      </c>
      <c r="B627" s="278">
        <v>9500</v>
      </c>
      <c r="C627" s="278">
        <v>1378370</v>
      </c>
      <c r="D627" s="278">
        <v>1303420</v>
      </c>
      <c r="E627" s="278">
        <v>1134450</v>
      </c>
      <c r="F627" s="278">
        <v>1104450</v>
      </c>
      <c r="G627" s="278">
        <v>1074450</v>
      </c>
      <c r="H627" s="278">
        <v>1044450</v>
      </c>
      <c r="I627" s="278">
        <v>1014450</v>
      </c>
      <c r="J627" s="278">
        <v>984450</v>
      </c>
      <c r="K627" s="278">
        <v>954450</v>
      </c>
      <c r="L627" s="278">
        <v>924450</v>
      </c>
      <c r="M627" s="278">
        <v>894450</v>
      </c>
    </row>
    <row r="628" spans="1:13" ht="15" customHeight="1">
      <c r="A628" s="278">
        <v>9500</v>
      </c>
      <c r="B628" s="278">
        <v>9520</v>
      </c>
      <c r="C628" s="278">
        <v>1385190</v>
      </c>
      <c r="D628" s="278">
        <v>1310210</v>
      </c>
      <c r="E628" s="278">
        <v>1138820</v>
      </c>
      <c r="F628" s="278">
        <v>1108820</v>
      </c>
      <c r="G628" s="278">
        <v>1078820</v>
      </c>
      <c r="H628" s="278">
        <v>1048820</v>
      </c>
      <c r="I628" s="278">
        <v>1018820</v>
      </c>
      <c r="J628" s="278">
        <v>988820</v>
      </c>
      <c r="K628" s="278">
        <v>958820</v>
      </c>
      <c r="L628" s="278">
        <v>928820</v>
      </c>
      <c r="M628" s="278">
        <v>898820</v>
      </c>
    </row>
    <row r="629" spans="1:13" ht="15" customHeight="1">
      <c r="A629" s="278">
        <v>9520</v>
      </c>
      <c r="B629" s="278">
        <v>9540</v>
      </c>
      <c r="C629" s="278">
        <v>1392020</v>
      </c>
      <c r="D629" s="278">
        <v>1317000</v>
      </c>
      <c r="E629" s="278">
        <v>1143190</v>
      </c>
      <c r="F629" s="278">
        <v>1113190</v>
      </c>
      <c r="G629" s="278">
        <v>1083190</v>
      </c>
      <c r="H629" s="278">
        <v>1053190</v>
      </c>
      <c r="I629" s="278">
        <v>1023190</v>
      </c>
      <c r="J629" s="278">
        <v>993190</v>
      </c>
      <c r="K629" s="278">
        <v>963190</v>
      </c>
      <c r="L629" s="278">
        <v>933190</v>
      </c>
      <c r="M629" s="278">
        <v>903190</v>
      </c>
    </row>
    <row r="630" spans="1:13" ht="15" customHeight="1">
      <c r="A630" s="278">
        <v>9540</v>
      </c>
      <c r="B630" s="278">
        <v>9560</v>
      </c>
      <c r="C630" s="278">
        <v>1398840</v>
      </c>
      <c r="D630" s="278">
        <v>1323790</v>
      </c>
      <c r="E630" s="278">
        <v>1147560</v>
      </c>
      <c r="F630" s="278">
        <v>1117560</v>
      </c>
      <c r="G630" s="278">
        <v>1087560</v>
      </c>
      <c r="H630" s="278">
        <v>1057560</v>
      </c>
      <c r="I630" s="278">
        <v>1027560</v>
      </c>
      <c r="J630" s="278">
        <v>997560</v>
      </c>
      <c r="K630" s="278">
        <v>967560</v>
      </c>
      <c r="L630" s="278">
        <v>937560</v>
      </c>
      <c r="M630" s="278">
        <v>907560</v>
      </c>
    </row>
    <row r="631" spans="1:13" ht="15" customHeight="1">
      <c r="A631" s="278">
        <v>9560</v>
      </c>
      <c r="B631" s="278">
        <v>9580</v>
      </c>
      <c r="C631" s="278">
        <v>1405670</v>
      </c>
      <c r="D631" s="278">
        <v>1330580</v>
      </c>
      <c r="E631" s="278">
        <v>1151920</v>
      </c>
      <c r="F631" s="278">
        <v>1121920</v>
      </c>
      <c r="G631" s="278">
        <v>1091920</v>
      </c>
      <c r="H631" s="278">
        <v>1061920</v>
      </c>
      <c r="I631" s="278">
        <v>1031920</v>
      </c>
      <c r="J631" s="278">
        <v>1001920</v>
      </c>
      <c r="K631" s="278">
        <v>971920</v>
      </c>
      <c r="L631" s="278">
        <v>941920</v>
      </c>
      <c r="M631" s="278">
        <v>911920</v>
      </c>
    </row>
    <row r="632" spans="1:13" ht="15" customHeight="1">
      <c r="A632" s="278">
        <v>9580</v>
      </c>
      <c r="B632" s="278">
        <v>9600</v>
      </c>
      <c r="C632" s="278">
        <v>1412490</v>
      </c>
      <c r="D632" s="278">
        <v>1337370</v>
      </c>
      <c r="E632" s="278">
        <v>1156290</v>
      </c>
      <c r="F632" s="278">
        <v>1126290</v>
      </c>
      <c r="G632" s="278">
        <v>1096290</v>
      </c>
      <c r="H632" s="278">
        <v>1066290</v>
      </c>
      <c r="I632" s="278">
        <v>1036290</v>
      </c>
      <c r="J632" s="278">
        <v>1006290</v>
      </c>
      <c r="K632" s="278">
        <v>976290</v>
      </c>
      <c r="L632" s="278">
        <v>946290</v>
      </c>
      <c r="M632" s="278">
        <v>916290</v>
      </c>
    </row>
    <row r="633" spans="1:13" ht="15" customHeight="1">
      <c r="A633" s="278">
        <v>9600</v>
      </c>
      <c r="B633" s="278">
        <v>9620</v>
      </c>
      <c r="C633" s="278">
        <v>1419320</v>
      </c>
      <c r="D633" s="278">
        <v>1344160</v>
      </c>
      <c r="E633" s="278">
        <v>1160660</v>
      </c>
      <c r="F633" s="278">
        <v>1130660</v>
      </c>
      <c r="G633" s="278">
        <v>1100660</v>
      </c>
      <c r="H633" s="278">
        <v>1070660</v>
      </c>
      <c r="I633" s="278">
        <v>1040660</v>
      </c>
      <c r="J633" s="278">
        <v>1010660</v>
      </c>
      <c r="K633" s="278">
        <v>980660</v>
      </c>
      <c r="L633" s="278">
        <v>950660</v>
      </c>
      <c r="M633" s="278">
        <v>920660</v>
      </c>
    </row>
    <row r="634" spans="1:13" ht="15" customHeight="1">
      <c r="A634" s="278">
        <v>9620</v>
      </c>
      <c r="B634" s="278">
        <v>9640</v>
      </c>
      <c r="C634" s="278">
        <v>1426140</v>
      </c>
      <c r="D634" s="278">
        <v>1350950</v>
      </c>
      <c r="E634" s="278">
        <v>1165030</v>
      </c>
      <c r="F634" s="278">
        <v>1135030</v>
      </c>
      <c r="G634" s="278">
        <v>1105030</v>
      </c>
      <c r="H634" s="278">
        <v>1075030</v>
      </c>
      <c r="I634" s="278">
        <v>1045030</v>
      </c>
      <c r="J634" s="278">
        <v>1015030</v>
      </c>
      <c r="K634" s="278">
        <v>985030</v>
      </c>
      <c r="L634" s="278">
        <v>955030</v>
      </c>
      <c r="M634" s="278">
        <v>925030</v>
      </c>
    </row>
    <row r="635" spans="1:13" ht="15" customHeight="1">
      <c r="A635" s="278">
        <v>9640</v>
      </c>
      <c r="B635" s="278">
        <v>9660</v>
      </c>
      <c r="C635" s="278">
        <v>1432970</v>
      </c>
      <c r="D635" s="278">
        <v>1357740</v>
      </c>
      <c r="E635" s="278">
        <v>1169400</v>
      </c>
      <c r="F635" s="278">
        <v>1139400</v>
      </c>
      <c r="G635" s="278">
        <v>1109400</v>
      </c>
      <c r="H635" s="278">
        <v>1079400</v>
      </c>
      <c r="I635" s="278">
        <v>1049400</v>
      </c>
      <c r="J635" s="278">
        <v>1019400</v>
      </c>
      <c r="K635" s="278">
        <v>989400</v>
      </c>
      <c r="L635" s="278">
        <v>959400</v>
      </c>
      <c r="M635" s="278">
        <v>929400</v>
      </c>
    </row>
    <row r="636" spans="1:13" ht="15" customHeight="1">
      <c r="A636" s="278">
        <v>9660</v>
      </c>
      <c r="B636" s="278">
        <v>9680</v>
      </c>
      <c r="C636" s="278">
        <v>1439790</v>
      </c>
      <c r="D636" s="278">
        <v>1364530</v>
      </c>
      <c r="E636" s="278">
        <v>1173760</v>
      </c>
      <c r="F636" s="278">
        <v>1143760</v>
      </c>
      <c r="G636" s="278">
        <v>1113760</v>
      </c>
      <c r="H636" s="278">
        <v>1083760</v>
      </c>
      <c r="I636" s="278">
        <v>1053760</v>
      </c>
      <c r="J636" s="278">
        <v>1023760</v>
      </c>
      <c r="K636" s="278">
        <v>993760</v>
      </c>
      <c r="L636" s="278">
        <v>963760</v>
      </c>
      <c r="M636" s="278">
        <v>933760</v>
      </c>
    </row>
    <row r="637" spans="1:13" ht="15" customHeight="1">
      <c r="A637" s="278">
        <v>9680</v>
      </c>
      <c r="B637" s="278">
        <v>9700</v>
      </c>
      <c r="C637" s="278">
        <v>1446620</v>
      </c>
      <c r="D637" s="278">
        <v>1371320</v>
      </c>
      <c r="E637" s="278">
        <v>1178130</v>
      </c>
      <c r="F637" s="278">
        <v>1148130</v>
      </c>
      <c r="G637" s="278">
        <v>1118130</v>
      </c>
      <c r="H637" s="278">
        <v>1088130</v>
      </c>
      <c r="I637" s="278">
        <v>1058130</v>
      </c>
      <c r="J637" s="278">
        <v>1028130</v>
      </c>
      <c r="K637" s="278">
        <v>998130</v>
      </c>
      <c r="L637" s="278">
        <v>968130</v>
      </c>
      <c r="M637" s="278">
        <v>938130</v>
      </c>
    </row>
    <row r="638" spans="1:13" ht="15" customHeight="1">
      <c r="A638" s="278">
        <v>9700</v>
      </c>
      <c r="B638" s="278">
        <v>9720</v>
      </c>
      <c r="C638" s="278">
        <v>1453440</v>
      </c>
      <c r="D638" s="278">
        <v>1378110</v>
      </c>
      <c r="E638" s="278">
        <v>1182500</v>
      </c>
      <c r="F638" s="278">
        <v>1152500</v>
      </c>
      <c r="G638" s="278">
        <v>1122500</v>
      </c>
      <c r="H638" s="278">
        <v>1092500</v>
      </c>
      <c r="I638" s="278">
        <v>1062500</v>
      </c>
      <c r="J638" s="278">
        <v>1032500</v>
      </c>
      <c r="K638" s="278">
        <v>1002500</v>
      </c>
      <c r="L638" s="278">
        <v>972500</v>
      </c>
      <c r="M638" s="278">
        <v>942500</v>
      </c>
    </row>
    <row r="639" spans="1:13" ht="15" customHeight="1">
      <c r="A639" s="278">
        <v>9720</v>
      </c>
      <c r="B639" s="278">
        <v>9740</v>
      </c>
      <c r="C639" s="278">
        <v>1460270</v>
      </c>
      <c r="D639" s="278">
        <v>1384900</v>
      </c>
      <c r="E639" s="278">
        <v>1186870</v>
      </c>
      <c r="F639" s="278">
        <v>1156870</v>
      </c>
      <c r="G639" s="278">
        <v>1126870</v>
      </c>
      <c r="H639" s="278">
        <v>1096870</v>
      </c>
      <c r="I639" s="278">
        <v>1066870</v>
      </c>
      <c r="J639" s="278">
        <v>1036870</v>
      </c>
      <c r="K639" s="278">
        <v>1006870</v>
      </c>
      <c r="L639" s="278">
        <v>976870</v>
      </c>
      <c r="M639" s="278">
        <v>946870</v>
      </c>
    </row>
    <row r="640" spans="1:13" ht="15" customHeight="1">
      <c r="A640" s="278">
        <v>9740</v>
      </c>
      <c r="B640" s="278">
        <v>9760</v>
      </c>
      <c r="C640" s="278">
        <v>1467090</v>
      </c>
      <c r="D640" s="278">
        <v>1391690</v>
      </c>
      <c r="E640" s="278">
        <v>1191240</v>
      </c>
      <c r="F640" s="278">
        <v>1161240</v>
      </c>
      <c r="G640" s="278">
        <v>1131240</v>
      </c>
      <c r="H640" s="278">
        <v>1101240</v>
      </c>
      <c r="I640" s="278">
        <v>1071240</v>
      </c>
      <c r="J640" s="278">
        <v>1041240</v>
      </c>
      <c r="K640" s="278">
        <v>1011240</v>
      </c>
      <c r="L640" s="278">
        <v>981240</v>
      </c>
      <c r="M640" s="278">
        <v>951240</v>
      </c>
    </row>
    <row r="641" spans="1:20" ht="15" customHeight="1">
      <c r="A641" s="278">
        <v>9760</v>
      </c>
      <c r="B641" s="278">
        <v>9780</v>
      </c>
      <c r="C641" s="278">
        <v>1473920</v>
      </c>
      <c r="D641" s="278">
        <v>1398480</v>
      </c>
      <c r="E641" s="278">
        <v>1195600</v>
      </c>
      <c r="F641" s="278">
        <v>1165600</v>
      </c>
      <c r="G641" s="278">
        <v>1135600</v>
      </c>
      <c r="H641" s="278">
        <v>1105600</v>
      </c>
      <c r="I641" s="278">
        <v>1075600</v>
      </c>
      <c r="J641" s="278">
        <v>1045600</v>
      </c>
      <c r="K641" s="278">
        <v>1015600</v>
      </c>
      <c r="L641" s="278">
        <v>985600</v>
      </c>
      <c r="M641" s="278">
        <v>955600</v>
      </c>
    </row>
    <row r="642" spans="1:20" ht="15" customHeight="1">
      <c r="A642" s="278">
        <v>9780</v>
      </c>
      <c r="B642" s="278">
        <v>9800</v>
      </c>
      <c r="C642" s="278">
        <v>1480740</v>
      </c>
      <c r="D642" s="278">
        <v>1405270</v>
      </c>
      <c r="E642" s="278">
        <v>1199970</v>
      </c>
      <c r="F642" s="278">
        <v>1169970</v>
      </c>
      <c r="G642" s="278">
        <v>1139970</v>
      </c>
      <c r="H642" s="278">
        <v>1109970</v>
      </c>
      <c r="I642" s="278">
        <v>1079970</v>
      </c>
      <c r="J642" s="278">
        <v>1049970</v>
      </c>
      <c r="K642" s="278">
        <v>1019970</v>
      </c>
      <c r="L642" s="278">
        <v>989970</v>
      </c>
      <c r="M642" s="278">
        <v>959970</v>
      </c>
    </row>
    <row r="643" spans="1:20" ht="15" customHeight="1">
      <c r="A643" s="278">
        <v>9800</v>
      </c>
      <c r="B643" s="278">
        <v>9820</v>
      </c>
      <c r="C643" s="278">
        <v>1487570</v>
      </c>
      <c r="D643" s="278">
        <v>1412060</v>
      </c>
      <c r="E643" s="278">
        <v>1204340</v>
      </c>
      <c r="F643" s="278">
        <v>1174340</v>
      </c>
      <c r="G643" s="278">
        <v>1144340</v>
      </c>
      <c r="H643" s="278">
        <v>1114340</v>
      </c>
      <c r="I643" s="278">
        <v>1084340</v>
      </c>
      <c r="J643" s="278">
        <v>1054340</v>
      </c>
      <c r="K643" s="278">
        <v>1024340</v>
      </c>
      <c r="L643" s="278">
        <v>994340</v>
      </c>
      <c r="M643" s="278">
        <v>964340</v>
      </c>
    </row>
    <row r="644" spans="1:20" ht="15" customHeight="1">
      <c r="A644" s="278">
        <v>9820</v>
      </c>
      <c r="B644" s="278">
        <v>9840</v>
      </c>
      <c r="C644" s="278">
        <v>1494390</v>
      </c>
      <c r="D644" s="278">
        <v>1418850</v>
      </c>
      <c r="E644" s="278">
        <v>1208710</v>
      </c>
      <c r="F644" s="278">
        <v>1178710</v>
      </c>
      <c r="G644" s="278">
        <v>1148710</v>
      </c>
      <c r="H644" s="278">
        <v>1118710</v>
      </c>
      <c r="I644" s="278">
        <v>1088710</v>
      </c>
      <c r="J644" s="278">
        <v>1058710</v>
      </c>
      <c r="K644" s="278">
        <v>1028710</v>
      </c>
      <c r="L644" s="278">
        <v>998710</v>
      </c>
      <c r="M644" s="278">
        <v>968710</v>
      </c>
    </row>
    <row r="645" spans="1:20" ht="15" customHeight="1">
      <c r="A645" s="278">
        <v>9840</v>
      </c>
      <c r="B645" s="278">
        <v>9860</v>
      </c>
      <c r="C645" s="278">
        <v>1501220</v>
      </c>
      <c r="D645" s="278">
        <v>1425640</v>
      </c>
      <c r="E645" s="278">
        <v>1213080</v>
      </c>
      <c r="F645" s="278">
        <v>1183080</v>
      </c>
      <c r="G645" s="278">
        <v>1153080</v>
      </c>
      <c r="H645" s="278">
        <v>1123080</v>
      </c>
      <c r="I645" s="278">
        <v>1093080</v>
      </c>
      <c r="J645" s="278">
        <v>1063080</v>
      </c>
      <c r="K645" s="278">
        <v>1033080</v>
      </c>
      <c r="L645" s="278">
        <v>1003080</v>
      </c>
      <c r="M645" s="278">
        <v>973080</v>
      </c>
    </row>
    <row r="646" spans="1:20" ht="15" customHeight="1">
      <c r="A646" s="278">
        <v>9860</v>
      </c>
      <c r="B646" s="278">
        <v>9880</v>
      </c>
      <c r="C646" s="278">
        <v>1508040</v>
      </c>
      <c r="D646" s="278">
        <v>1432430</v>
      </c>
      <c r="E646" s="278">
        <v>1217440</v>
      </c>
      <c r="F646" s="278">
        <v>1187440</v>
      </c>
      <c r="G646" s="278">
        <v>1157440</v>
      </c>
      <c r="H646" s="278">
        <v>1127440</v>
      </c>
      <c r="I646" s="278">
        <v>1097440</v>
      </c>
      <c r="J646" s="278">
        <v>1067440</v>
      </c>
      <c r="K646" s="278">
        <v>1037440</v>
      </c>
      <c r="L646" s="278">
        <v>1007440</v>
      </c>
      <c r="M646" s="278">
        <v>977440</v>
      </c>
    </row>
    <row r="647" spans="1:20" ht="15" customHeight="1">
      <c r="A647" s="278">
        <v>9880</v>
      </c>
      <c r="B647" s="278">
        <v>9900</v>
      </c>
      <c r="C647" s="278">
        <v>1514870</v>
      </c>
      <c r="D647" s="278">
        <v>1439220</v>
      </c>
      <c r="E647" s="278">
        <v>1221810</v>
      </c>
      <c r="F647" s="278">
        <v>1191810</v>
      </c>
      <c r="G647" s="278">
        <v>1161810</v>
      </c>
      <c r="H647" s="278">
        <v>1131810</v>
      </c>
      <c r="I647" s="278">
        <v>1101810</v>
      </c>
      <c r="J647" s="278">
        <v>1071810</v>
      </c>
      <c r="K647" s="278">
        <v>1041810</v>
      </c>
      <c r="L647" s="278">
        <v>1011810</v>
      </c>
      <c r="M647" s="278">
        <v>981810</v>
      </c>
    </row>
    <row r="648" spans="1:20" ht="15" customHeight="1">
      <c r="A648" s="278">
        <v>9900</v>
      </c>
      <c r="B648" s="278">
        <v>9920</v>
      </c>
      <c r="C648" s="278">
        <v>1521690</v>
      </c>
      <c r="D648" s="278">
        <v>1446010</v>
      </c>
      <c r="E648" s="278">
        <v>1226180</v>
      </c>
      <c r="F648" s="278">
        <v>1196180</v>
      </c>
      <c r="G648" s="278">
        <v>1166180</v>
      </c>
      <c r="H648" s="278">
        <v>1136180</v>
      </c>
      <c r="I648" s="278">
        <v>1106180</v>
      </c>
      <c r="J648" s="278">
        <v>1076180</v>
      </c>
      <c r="K648" s="278">
        <v>1046180</v>
      </c>
      <c r="L648" s="278">
        <v>1016180</v>
      </c>
      <c r="M648" s="278">
        <v>986180</v>
      </c>
    </row>
    <row r="649" spans="1:20" ht="15" customHeight="1">
      <c r="A649" s="278">
        <v>9920</v>
      </c>
      <c r="B649" s="278">
        <v>9940</v>
      </c>
      <c r="C649" s="278">
        <v>1528520</v>
      </c>
      <c r="D649" s="278">
        <v>1452800</v>
      </c>
      <c r="E649" s="278">
        <v>1230550</v>
      </c>
      <c r="F649" s="278">
        <v>1200550</v>
      </c>
      <c r="G649" s="278">
        <v>1170550</v>
      </c>
      <c r="H649" s="278">
        <v>1140550</v>
      </c>
      <c r="I649" s="278">
        <v>1110550</v>
      </c>
      <c r="J649" s="278">
        <v>1080550</v>
      </c>
      <c r="K649" s="278">
        <v>1050550</v>
      </c>
      <c r="L649" s="278">
        <v>1020550</v>
      </c>
      <c r="M649" s="278">
        <v>990550</v>
      </c>
    </row>
    <row r="650" spans="1:20" ht="15" customHeight="1">
      <c r="A650" s="278">
        <v>9940</v>
      </c>
      <c r="B650" s="278">
        <v>9960</v>
      </c>
      <c r="C650" s="278">
        <v>1535340</v>
      </c>
      <c r="D650" s="278">
        <v>1459590</v>
      </c>
      <c r="E650" s="278">
        <v>1234920</v>
      </c>
      <c r="F650" s="278">
        <v>1204920</v>
      </c>
      <c r="G650" s="278">
        <v>1174920</v>
      </c>
      <c r="H650" s="278">
        <v>1144920</v>
      </c>
      <c r="I650" s="278">
        <v>1114920</v>
      </c>
      <c r="J650" s="278">
        <v>1084920</v>
      </c>
      <c r="K650" s="278">
        <v>1054920</v>
      </c>
      <c r="L650" s="278">
        <v>1024920</v>
      </c>
      <c r="M650" s="278">
        <v>994920</v>
      </c>
    </row>
    <row r="651" spans="1:20" ht="15" customHeight="1">
      <c r="A651" s="278">
        <v>9960</v>
      </c>
      <c r="B651" s="278">
        <v>9980</v>
      </c>
      <c r="C651" s="278">
        <v>1542170</v>
      </c>
      <c r="D651" s="278">
        <v>1466380</v>
      </c>
      <c r="E651" s="278">
        <v>1239280</v>
      </c>
      <c r="F651" s="278">
        <v>1209280</v>
      </c>
      <c r="G651" s="278">
        <v>1179280</v>
      </c>
      <c r="H651" s="278">
        <v>1149280</v>
      </c>
      <c r="I651" s="278">
        <v>1119280</v>
      </c>
      <c r="J651" s="278">
        <v>1089280</v>
      </c>
      <c r="K651" s="278">
        <v>1059280</v>
      </c>
      <c r="L651" s="278">
        <v>1029280</v>
      </c>
      <c r="M651" s="278">
        <v>999280</v>
      </c>
      <c r="O651" s="684" t="s">
        <v>1872</v>
      </c>
    </row>
    <row r="652" spans="1:20" ht="15" customHeight="1">
      <c r="A652" s="278">
        <v>9980</v>
      </c>
      <c r="B652" s="341">
        <v>9999</v>
      </c>
      <c r="C652" s="278">
        <v>1548990</v>
      </c>
      <c r="D652" s="278">
        <v>1473170</v>
      </c>
      <c r="E652" s="278">
        <v>1243650</v>
      </c>
      <c r="F652" s="278">
        <v>1213650</v>
      </c>
      <c r="G652" s="278">
        <v>1183650</v>
      </c>
      <c r="H652" s="278">
        <v>1153650</v>
      </c>
      <c r="I652" s="278">
        <v>1123650</v>
      </c>
      <c r="J652" s="278">
        <v>1093650</v>
      </c>
      <c r="K652" s="278">
        <v>1063650</v>
      </c>
      <c r="L652" s="278">
        <v>1033650</v>
      </c>
      <c r="M652" s="278">
        <v>1003650</v>
      </c>
      <c r="O652" s="275">
        <v>1</v>
      </c>
      <c r="P652" s="275">
        <f>O652+1</f>
        <v>2</v>
      </c>
      <c r="Q652" s="275">
        <f t="shared" ref="Q652:T652" si="0">P652+1</f>
        <v>3</v>
      </c>
      <c r="R652" s="275">
        <f t="shared" si="0"/>
        <v>4</v>
      </c>
      <c r="S652" s="275">
        <f t="shared" si="0"/>
        <v>5</v>
      </c>
      <c r="T652" s="275">
        <f t="shared" si="0"/>
        <v>6</v>
      </c>
    </row>
    <row r="653" spans="1:20" ht="15" customHeight="1">
      <c r="A653" s="341">
        <v>9999</v>
      </c>
      <c r="B653" s="341">
        <v>10000</v>
      </c>
      <c r="C653" s="278">
        <v>1552400</v>
      </c>
      <c r="D653" s="278">
        <v>1476570</v>
      </c>
      <c r="E653" s="278">
        <v>1245840</v>
      </c>
      <c r="F653" s="278">
        <v>1215840</v>
      </c>
      <c r="G653" s="278">
        <v>1185840</v>
      </c>
      <c r="H653" s="278">
        <v>1155840</v>
      </c>
      <c r="I653" s="278">
        <v>1125840</v>
      </c>
      <c r="J653" s="278">
        <v>1095840</v>
      </c>
      <c r="K653" s="278">
        <v>1065840</v>
      </c>
      <c r="L653" s="278">
        <v>1035840</v>
      </c>
      <c r="M653" s="278">
        <v>1005840</v>
      </c>
      <c r="O653"/>
      <c r="P653"/>
      <c r="Q653" s="281" t="s">
        <v>1126</v>
      </c>
      <c r="R653" s="281" t="s">
        <v>1127</v>
      </c>
      <c r="S653" s="1" t="s">
        <v>1261</v>
      </c>
      <c r="T653" s="1" t="s">
        <v>1261</v>
      </c>
    </row>
    <row r="654" spans="1:20" ht="15" customHeight="1">
      <c r="A654" s="1152" t="s">
        <v>1128</v>
      </c>
      <c r="B654" s="1152"/>
      <c r="C654" s="1160" t="s">
        <v>1129</v>
      </c>
      <c r="D654" s="1160"/>
      <c r="E654" s="1160"/>
      <c r="F654" s="1160"/>
      <c r="G654" s="1160"/>
      <c r="H654" s="1160"/>
      <c r="I654" s="1160"/>
      <c r="J654" s="1160"/>
      <c r="K654" s="1160"/>
      <c r="L654" s="1160"/>
      <c r="M654" s="1160"/>
      <c r="O654" s="251">
        <v>10000001</v>
      </c>
      <c r="P654" s="251">
        <v>14000000</v>
      </c>
      <c r="Q654" s="251">
        <v>0</v>
      </c>
      <c r="R654" s="251">
        <f t="shared" ref="R654:R659" si="1">O654-1</f>
        <v>10000000</v>
      </c>
      <c r="S654" s="282">
        <v>0.98</v>
      </c>
      <c r="T654" s="282">
        <v>0.35</v>
      </c>
    </row>
    <row r="655" spans="1:20" ht="15" customHeight="1">
      <c r="A655" s="1159" t="s">
        <v>1130</v>
      </c>
      <c r="B655" s="1159"/>
      <c r="C655" s="1160"/>
      <c r="D655" s="1160"/>
      <c r="E655" s="1160"/>
      <c r="F655" s="1160"/>
      <c r="G655" s="1160"/>
      <c r="H655" s="1160"/>
      <c r="I655" s="1160"/>
      <c r="J655" s="1160"/>
      <c r="K655" s="1160"/>
      <c r="L655" s="1160"/>
      <c r="M655" s="1160"/>
      <c r="O655" s="251">
        <f>P654+1</f>
        <v>14000001</v>
      </c>
      <c r="P655" s="251">
        <v>28000000</v>
      </c>
      <c r="Q655" s="251">
        <v>1372000</v>
      </c>
      <c r="R655" s="251">
        <f t="shared" si="1"/>
        <v>14000000</v>
      </c>
      <c r="S655" s="282">
        <v>0.98</v>
      </c>
      <c r="T655" s="282">
        <v>0.38</v>
      </c>
    </row>
    <row r="656" spans="1:20" ht="15" customHeight="1">
      <c r="A656" s="1152" t="s">
        <v>1131</v>
      </c>
      <c r="B656" s="1152"/>
      <c r="C656" s="1160" t="s">
        <v>1132</v>
      </c>
      <c r="D656" s="1160"/>
      <c r="E656" s="1160"/>
      <c r="F656" s="1160"/>
      <c r="G656" s="1160"/>
      <c r="H656" s="1160"/>
      <c r="I656" s="1160"/>
      <c r="J656" s="1160"/>
      <c r="K656" s="1160"/>
      <c r="L656" s="1160"/>
      <c r="M656" s="1160"/>
      <c r="O656" s="251">
        <f>P655+1</f>
        <v>28000001</v>
      </c>
      <c r="P656" s="251">
        <v>30000000</v>
      </c>
      <c r="Q656" s="251">
        <v>6585600</v>
      </c>
      <c r="R656" s="251">
        <f t="shared" si="1"/>
        <v>28000000</v>
      </c>
      <c r="S656" s="282">
        <v>0.98</v>
      </c>
      <c r="T656" s="282">
        <v>0.4</v>
      </c>
    </row>
    <row r="657" spans="1:20" ht="15" customHeight="1">
      <c r="A657" s="1159" t="s">
        <v>1133</v>
      </c>
      <c r="B657" s="1159"/>
      <c r="C657" s="1160"/>
      <c r="D657" s="1160"/>
      <c r="E657" s="1160"/>
      <c r="F657" s="1160"/>
      <c r="G657" s="1160"/>
      <c r="H657" s="1160"/>
      <c r="I657" s="1160"/>
      <c r="J657" s="1160"/>
      <c r="K657" s="1160"/>
      <c r="L657" s="1160"/>
      <c r="M657" s="1160"/>
      <c r="O657" s="251">
        <f>P656+1</f>
        <v>30000001</v>
      </c>
      <c r="P657" s="251">
        <v>45000000</v>
      </c>
      <c r="Q657" s="251">
        <v>7369600</v>
      </c>
      <c r="R657" s="251">
        <f t="shared" si="1"/>
        <v>30000000</v>
      </c>
      <c r="S657" s="282">
        <v>1</v>
      </c>
      <c r="T657" s="282">
        <v>0.4</v>
      </c>
    </row>
    <row r="658" spans="1:20" ht="15" customHeight="1">
      <c r="A658" s="1152" t="s">
        <v>1134</v>
      </c>
      <c r="B658" s="1152"/>
      <c r="C658" s="1160" t="s">
        <v>1135</v>
      </c>
      <c r="D658" s="1160"/>
      <c r="E658" s="1160"/>
      <c r="F658" s="1160"/>
      <c r="G658" s="1160"/>
      <c r="H658" s="1160"/>
      <c r="I658" s="1160"/>
      <c r="J658" s="1160"/>
      <c r="K658" s="1160"/>
      <c r="L658" s="1160"/>
      <c r="M658" s="1160"/>
      <c r="O658" s="251">
        <f>P657+1</f>
        <v>45000001</v>
      </c>
      <c r="P658" s="251">
        <v>87000000</v>
      </c>
      <c r="Q658" s="251">
        <v>13369600</v>
      </c>
      <c r="R658" s="251">
        <f t="shared" si="1"/>
        <v>45000000</v>
      </c>
      <c r="S658" s="282">
        <v>1</v>
      </c>
      <c r="T658" s="282">
        <v>0.42</v>
      </c>
    </row>
    <row r="659" spans="1:20" ht="15" customHeight="1">
      <c r="A659" s="1159" t="s">
        <v>1136</v>
      </c>
      <c r="B659" s="1159"/>
      <c r="C659" s="1160"/>
      <c r="D659" s="1160"/>
      <c r="E659" s="1160"/>
      <c r="F659" s="1160"/>
      <c r="G659" s="1160"/>
      <c r="H659" s="1160"/>
      <c r="I659" s="1160"/>
      <c r="J659" s="1160"/>
      <c r="K659" s="1160"/>
      <c r="L659" s="1160"/>
      <c r="M659" s="1160"/>
      <c r="O659" s="251">
        <f>P658+1</f>
        <v>87000001</v>
      </c>
      <c r="P659" s="251">
        <v>1E+26</v>
      </c>
      <c r="Q659" s="251">
        <v>31009600</v>
      </c>
      <c r="R659" s="251">
        <f t="shared" si="1"/>
        <v>87000000</v>
      </c>
      <c r="S659" s="282">
        <v>1</v>
      </c>
      <c r="T659" s="282">
        <v>0.45</v>
      </c>
    </row>
    <row r="660" spans="1:20" ht="15" customHeight="1">
      <c r="A660" s="1152" t="s">
        <v>1137</v>
      </c>
      <c r="B660" s="1152"/>
      <c r="C660" s="1160" t="s">
        <v>1138</v>
      </c>
      <c r="D660" s="1160"/>
      <c r="E660" s="1160"/>
      <c r="F660" s="1160"/>
      <c r="G660" s="1160"/>
      <c r="H660" s="1160"/>
      <c r="I660" s="1160"/>
      <c r="J660" s="1160"/>
      <c r="K660" s="1160"/>
      <c r="L660" s="1160"/>
      <c r="M660" s="1160"/>
    </row>
    <row r="661" spans="1:20" ht="15" customHeight="1">
      <c r="A661" s="1159" t="s">
        <v>1139</v>
      </c>
      <c r="B661" s="1159"/>
      <c r="C661" s="1160"/>
      <c r="D661" s="1160"/>
      <c r="E661" s="1160"/>
      <c r="F661" s="1160"/>
      <c r="G661" s="1160"/>
      <c r="H661" s="1160"/>
      <c r="I661" s="1160"/>
      <c r="J661" s="1160"/>
      <c r="K661" s="1160"/>
      <c r="L661" s="1160"/>
      <c r="M661" s="1160"/>
    </row>
    <row r="662" spans="1:20" ht="14.25" customHeight="1">
      <c r="A662" s="1152" t="s">
        <v>1140</v>
      </c>
      <c r="B662" s="1152"/>
      <c r="C662" s="1153" t="s">
        <v>1141</v>
      </c>
      <c r="D662" s="1154"/>
      <c r="E662" s="1154"/>
      <c r="F662" s="1154"/>
      <c r="G662" s="1154"/>
      <c r="H662" s="1154"/>
      <c r="I662" s="1154"/>
      <c r="J662" s="1154"/>
      <c r="K662" s="1154"/>
      <c r="L662" s="1154"/>
      <c r="M662" s="1155"/>
    </row>
    <row r="663" spans="1:20" ht="14.25" customHeight="1">
      <c r="A663" s="1159" t="s">
        <v>1142</v>
      </c>
      <c r="B663" s="1159"/>
      <c r="C663" s="1156"/>
      <c r="D663" s="1157"/>
      <c r="E663" s="1157"/>
      <c r="F663" s="1157"/>
      <c r="G663" s="1157"/>
      <c r="H663" s="1157"/>
      <c r="I663" s="1157"/>
      <c r="J663" s="1157"/>
      <c r="K663" s="1157"/>
      <c r="L663" s="1157"/>
      <c r="M663" s="1158"/>
    </row>
    <row r="664" spans="1:20" ht="24.75" customHeight="1">
      <c r="A664" s="1152" t="s">
        <v>1143</v>
      </c>
      <c r="B664" s="1152"/>
      <c r="C664" s="1153" t="s">
        <v>1144</v>
      </c>
      <c r="D664" s="1154"/>
      <c r="E664" s="1154"/>
      <c r="F664" s="1154"/>
      <c r="G664" s="1154"/>
      <c r="H664" s="1154"/>
      <c r="I664" s="1154"/>
      <c r="J664" s="1154"/>
      <c r="K664" s="1154"/>
      <c r="L664" s="1154"/>
      <c r="M664" s="1155"/>
    </row>
    <row r="665" spans="1:20">
      <c r="C665" s="275" t="s">
        <v>1145</v>
      </c>
    </row>
  </sheetData>
  <mergeCells count="22">
    <mergeCell ref="A1:M1"/>
    <mergeCell ref="A2:M2"/>
    <mergeCell ref="A3:B3"/>
    <mergeCell ref="C3:M3"/>
    <mergeCell ref="A4:B4"/>
    <mergeCell ref="A654:B654"/>
    <mergeCell ref="C654:M655"/>
    <mergeCell ref="A655:B655"/>
    <mergeCell ref="A656:B656"/>
    <mergeCell ref="C656:M657"/>
    <mergeCell ref="A657:B657"/>
    <mergeCell ref="A658:B658"/>
    <mergeCell ref="C658:M659"/>
    <mergeCell ref="A659:B659"/>
    <mergeCell ref="A660:B660"/>
    <mergeCell ref="C660:M661"/>
    <mergeCell ref="A661:B661"/>
    <mergeCell ref="A662:B662"/>
    <mergeCell ref="C662:M663"/>
    <mergeCell ref="A663:B663"/>
    <mergeCell ref="A664:B664"/>
    <mergeCell ref="C664:M664"/>
  </mergeCells>
  <phoneticPr fontId="2" type="noConversion"/>
  <pageMargins left="0.70866141732283472" right="0.70866141732283472" top="0.55118110236220474" bottom="0.35433070866141736" header="0" footer="0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4DC05-3423-454E-AA21-D82D19379CD3}">
  <sheetPr codeName="Sheet21"/>
  <dimension ref="B1:E120"/>
  <sheetViews>
    <sheetView showGridLines="0" topLeftCell="A83" workbookViewId="0">
      <selection activeCell="R111" sqref="R111"/>
    </sheetView>
  </sheetViews>
  <sheetFormatPr defaultRowHeight="16.5"/>
  <sheetData>
    <row r="1" spans="2:5">
      <c r="E1" t="s">
        <v>318</v>
      </c>
    </row>
    <row r="2" spans="2:5">
      <c r="E2" t="s">
        <v>355</v>
      </c>
    </row>
    <row r="3" spans="2:5">
      <c r="B3" s="41" t="s">
        <v>313</v>
      </c>
      <c r="C3" s="15" t="s">
        <v>311</v>
      </c>
      <c r="E3" t="s">
        <v>360</v>
      </c>
    </row>
    <row r="4" spans="2:5">
      <c r="E4" t="s">
        <v>381</v>
      </c>
    </row>
    <row r="5" spans="2:5">
      <c r="E5" t="s">
        <v>382</v>
      </c>
    </row>
    <row r="6" spans="2:5">
      <c r="E6" t="s">
        <v>320</v>
      </c>
    </row>
    <row r="7" spans="2:5">
      <c r="E7" t="s">
        <v>319</v>
      </c>
    </row>
    <row r="12" spans="2:5">
      <c r="B12" s="41" t="s">
        <v>314</v>
      </c>
      <c r="C12" s="15" t="s">
        <v>312</v>
      </c>
      <c r="E12" t="s">
        <v>321</v>
      </c>
    </row>
    <row r="13" spans="2:5">
      <c r="E13" t="s">
        <v>322</v>
      </c>
    </row>
    <row r="14" spans="2:5">
      <c r="E14" t="s">
        <v>323</v>
      </c>
    </row>
    <row r="16" spans="2:5">
      <c r="E16" t="s">
        <v>324</v>
      </c>
    </row>
    <row r="17" spans="2:5">
      <c r="E17" t="s">
        <v>325</v>
      </c>
    </row>
    <row r="25" spans="2:5">
      <c r="B25" s="41" t="s">
        <v>315</v>
      </c>
      <c r="C25" s="15" t="s">
        <v>316</v>
      </c>
      <c r="E25" t="s">
        <v>317</v>
      </c>
    </row>
    <row r="31" spans="2:5" ht="20.25">
      <c r="B31" s="44" t="s">
        <v>326</v>
      </c>
    </row>
    <row r="33" spans="2:2">
      <c r="B33" s="27" t="s">
        <v>327</v>
      </c>
    </row>
    <row r="34" spans="2:2">
      <c r="B34" t="s">
        <v>328</v>
      </c>
    </row>
    <row r="36" spans="2:2">
      <c r="B36" s="27" t="s">
        <v>329</v>
      </c>
    </row>
    <row r="37" spans="2:2">
      <c r="B37" t="s">
        <v>330</v>
      </c>
    </row>
    <row r="39" spans="2:2">
      <c r="B39" s="27" t="s">
        <v>324</v>
      </c>
    </row>
    <row r="40" spans="2:2">
      <c r="B40" t="s">
        <v>334</v>
      </c>
    </row>
    <row r="41" spans="2:2">
      <c r="B41" t="s">
        <v>335</v>
      </c>
    </row>
    <row r="43" spans="2:2">
      <c r="B43" t="s">
        <v>331</v>
      </c>
    </row>
    <row r="45" spans="2:2">
      <c r="B45" t="s">
        <v>332</v>
      </c>
    </row>
    <row r="47" spans="2:2">
      <c r="B47" t="s">
        <v>333</v>
      </c>
    </row>
    <row r="49" spans="2:2">
      <c r="B49" s="27" t="s">
        <v>336</v>
      </c>
    </row>
    <row r="51" spans="2:2">
      <c r="B51" t="s">
        <v>338</v>
      </c>
    </row>
    <row r="52" spans="2:2">
      <c r="B52" t="s">
        <v>337</v>
      </c>
    </row>
    <row r="54" spans="2:2">
      <c r="B54" t="s">
        <v>339</v>
      </c>
    </row>
    <row r="55" spans="2:2">
      <c r="B55" t="s">
        <v>340</v>
      </c>
    </row>
    <row r="56" spans="2:2">
      <c r="B56" t="s">
        <v>344</v>
      </c>
    </row>
    <row r="58" spans="2:2">
      <c r="B58" s="42" t="s">
        <v>341</v>
      </c>
    </row>
    <row r="59" spans="2:2">
      <c r="B59" s="43" t="s">
        <v>342</v>
      </c>
    </row>
    <row r="60" spans="2:2">
      <c r="B60" s="43" t="s">
        <v>343</v>
      </c>
    </row>
    <row r="62" spans="2:2">
      <c r="B62" t="s">
        <v>345</v>
      </c>
    </row>
    <row r="65" spans="2:2">
      <c r="B65" s="27" t="s">
        <v>346</v>
      </c>
    </row>
    <row r="67" spans="2:2">
      <c r="B67" t="s">
        <v>348</v>
      </c>
    </row>
    <row r="68" spans="2:2">
      <c r="B68" t="s">
        <v>347</v>
      </c>
    </row>
    <row r="70" spans="2:2">
      <c r="B70" s="27" t="s">
        <v>349</v>
      </c>
    </row>
    <row r="71" spans="2:2">
      <c r="B71" t="s">
        <v>350</v>
      </c>
    </row>
    <row r="73" spans="2:2">
      <c r="B73" s="27" t="s">
        <v>351</v>
      </c>
    </row>
    <row r="75" spans="2:2">
      <c r="B75" t="s">
        <v>353</v>
      </c>
    </row>
    <row r="77" spans="2:2">
      <c r="B77" t="s">
        <v>352</v>
      </c>
    </row>
    <row r="79" spans="2:2">
      <c r="B79" t="s">
        <v>354</v>
      </c>
    </row>
    <row r="80" spans="2:2">
      <c r="B80" t="s">
        <v>361</v>
      </c>
    </row>
    <row r="81" spans="2:2">
      <c r="B81" t="s">
        <v>362</v>
      </c>
    </row>
    <row r="83" spans="2:2">
      <c r="B83" t="s">
        <v>363</v>
      </c>
    </row>
    <row r="86" spans="2:2">
      <c r="B86" s="27" t="s">
        <v>355</v>
      </c>
    </row>
    <row r="87" spans="2:2">
      <c r="B87" t="s">
        <v>356</v>
      </c>
    </row>
    <row r="88" spans="2:2">
      <c r="B88" t="s">
        <v>357</v>
      </c>
    </row>
    <row r="89" spans="2:2">
      <c r="B89" t="s">
        <v>359</v>
      </c>
    </row>
    <row r="90" spans="2:2">
      <c r="B90" t="s">
        <v>358</v>
      </c>
    </row>
    <row r="93" spans="2:2">
      <c r="B93" s="27" t="s">
        <v>364</v>
      </c>
    </row>
    <row r="94" spans="2:2">
      <c r="B94" t="s">
        <v>366</v>
      </c>
    </row>
    <row r="95" spans="2:2">
      <c r="B95" t="s">
        <v>365</v>
      </c>
    </row>
    <row r="97" spans="2:2">
      <c r="B97" s="27" t="s">
        <v>367</v>
      </c>
    </row>
    <row r="98" spans="2:2">
      <c r="B98" t="s">
        <v>369</v>
      </c>
    </row>
    <row r="99" spans="2:2">
      <c r="B99" t="s">
        <v>368</v>
      </c>
    </row>
    <row r="101" spans="2:2">
      <c r="B101" t="s">
        <v>370</v>
      </c>
    </row>
    <row r="103" spans="2:2">
      <c r="B103" t="s">
        <v>371</v>
      </c>
    </row>
    <row r="104" spans="2:2">
      <c r="B104" t="s">
        <v>372</v>
      </c>
    </row>
    <row r="106" spans="2:2">
      <c r="B106" t="s">
        <v>373</v>
      </c>
    </row>
    <row r="108" spans="2:2">
      <c r="B108" t="s">
        <v>375</v>
      </c>
    </row>
    <row r="109" spans="2:2">
      <c r="B109" t="s">
        <v>374</v>
      </c>
    </row>
    <row r="111" spans="2:2">
      <c r="B111" t="s">
        <v>376</v>
      </c>
    </row>
    <row r="112" spans="2:2">
      <c r="B112" t="s">
        <v>377</v>
      </c>
    </row>
    <row r="114" spans="2:2">
      <c r="B114" t="s">
        <v>378</v>
      </c>
    </row>
    <row r="115" spans="2:2">
      <c r="B115" t="s">
        <v>379</v>
      </c>
    </row>
    <row r="116" spans="2:2">
      <c r="B116" t="s">
        <v>380</v>
      </c>
    </row>
    <row r="120" spans="2:2">
      <c r="B120" s="15" t="s">
        <v>1079</v>
      </c>
    </row>
  </sheetData>
  <phoneticPr fontId="2" type="noConversion"/>
  <hyperlinks>
    <hyperlink ref="C3" r:id="rId1" xr:uid="{A5E538B0-E998-4CD8-9112-E247F09E3FD5}"/>
    <hyperlink ref="C12" r:id="rId2" xr:uid="{432FCB9E-F71E-4560-8A6E-D7D793F38B74}"/>
    <hyperlink ref="C25" r:id="rId3" xr:uid="{E7156362-6A49-4312-8C8B-E22324BAE8AC}"/>
    <hyperlink ref="B120" r:id="rId4" xr:uid="{583FDFA3-40C2-4628-B8A5-BE52D35E15AA}"/>
  </hyperlinks>
  <pageMargins left="0.7" right="0.7" top="0.75" bottom="0.75" header="0.3" footer="0.3"/>
  <pageSetup paperSize="9" orientation="portrait" verticalDpi="0" r:id="rId5"/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DD3B-7CB0-432B-BBAA-F16A28F04B71}">
  <sheetPr codeName="Sheet22">
    <tabColor rgb="FF92D050"/>
  </sheetPr>
  <dimension ref="A1:AH49"/>
  <sheetViews>
    <sheetView showGridLines="0" workbookViewId="0">
      <selection activeCell="F1" sqref="F1:W1"/>
    </sheetView>
  </sheetViews>
  <sheetFormatPr defaultColWidth="3.125" defaultRowHeight="17.25"/>
  <cols>
    <col min="1" max="7" width="3.125" style="57"/>
    <col min="8" max="8" width="1.75" style="57" customWidth="1"/>
    <col min="9" max="16384" width="3.125" style="57"/>
  </cols>
  <sheetData>
    <row r="1" spans="1:34" s="45" customFormat="1" ht="29.25" customHeight="1" thickTop="1" thickBot="1">
      <c r="F1" s="1170" t="s">
        <v>384</v>
      </c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2"/>
      <c r="AH1" s="15" t="s">
        <v>1080</v>
      </c>
    </row>
    <row r="2" spans="1:34" s="45" customFormat="1" ht="14.25" customHeight="1" thickTop="1"/>
    <row r="3" spans="1:34" s="46" customFormat="1">
      <c r="A3" s="1173" t="s">
        <v>385</v>
      </c>
      <c r="B3" s="1173"/>
      <c r="C3" s="1173"/>
      <c r="D3" s="1173"/>
      <c r="E3" s="1173"/>
      <c r="F3" s="1173"/>
      <c r="G3" s="1173"/>
      <c r="H3" s="1173"/>
      <c r="I3" s="46" t="s">
        <v>386</v>
      </c>
      <c r="Q3" s="1173" t="s">
        <v>387</v>
      </c>
      <c r="R3" s="1173"/>
      <c r="S3" s="1173"/>
      <c r="T3" s="46" t="s">
        <v>388</v>
      </c>
      <c r="AH3" s="174" t="s">
        <v>790</v>
      </c>
    </row>
    <row r="4" spans="1:34" s="46" customFormat="1">
      <c r="A4" s="46" t="s">
        <v>389</v>
      </c>
    </row>
    <row r="5" spans="1:34" s="46" customFormat="1" ht="7.5" customHeight="1"/>
    <row r="6" spans="1:34" s="46" customFormat="1">
      <c r="B6" s="47" t="s">
        <v>313</v>
      </c>
      <c r="C6" s="1174" t="s">
        <v>390</v>
      </c>
      <c r="D6" s="1174"/>
      <c r="E6" s="1174"/>
      <c r="F6" s="1174"/>
      <c r="G6" s="1174"/>
      <c r="H6" s="48" t="s">
        <v>391</v>
      </c>
      <c r="I6" s="1169">
        <v>44481</v>
      </c>
      <c r="J6" s="1169"/>
      <c r="K6" s="1169"/>
      <c r="L6" s="1169"/>
      <c r="M6" s="1169"/>
      <c r="N6" s="1169"/>
      <c r="O6" s="1169"/>
      <c r="P6" s="46" t="s">
        <v>392</v>
      </c>
      <c r="AH6" s="46" t="s">
        <v>788</v>
      </c>
    </row>
    <row r="7" spans="1:34" s="46" customFormat="1">
      <c r="B7" s="47"/>
      <c r="C7" s="49"/>
      <c r="D7" s="50" t="s">
        <v>393</v>
      </c>
      <c r="E7" s="51"/>
      <c r="F7" s="51"/>
      <c r="G7" s="51"/>
      <c r="H7" s="51"/>
      <c r="I7" s="52"/>
      <c r="J7" s="52"/>
      <c r="K7" s="52"/>
      <c r="L7" s="52"/>
      <c r="M7" s="53"/>
      <c r="N7" s="1169"/>
      <c r="O7" s="1169"/>
      <c r="P7" s="1169"/>
      <c r="Q7" s="1169"/>
      <c r="R7" s="1169"/>
      <c r="S7" s="54" t="s">
        <v>392</v>
      </c>
      <c r="T7" s="55"/>
      <c r="U7" s="1169"/>
      <c r="V7" s="1169"/>
      <c r="W7" s="1169"/>
      <c r="X7" s="1169"/>
      <c r="Y7" s="1169"/>
      <c r="Z7" s="54" t="s">
        <v>394</v>
      </c>
      <c r="AH7" s="46" t="s">
        <v>789</v>
      </c>
    </row>
    <row r="8" spans="1:34" s="46" customFormat="1">
      <c r="B8" s="47" t="s">
        <v>314</v>
      </c>
      <c r="C8" s="1174" t="s">
        <v>395</v>
      </c>
      <c r="D8" s="1174"/>
      <c r="E8" s="1174"/>
      <c r="F8" s="1174"/>
      <c r="G8" s="1174"/>
      <c r="H8" s="48" t="s">
        <v>391</v>
      </c>
      <c r="I8" s="1175" t="s">
        <v>396</v>
      </c>
      <c r="J8" s="1175"/>
      <c r="K8" s="1175"/>
      <c r="L8" s="1175"/>
      <c r="M8" s="1175"/>
      <c r="N8" s="1175"/>
      <c r="O8" s="1175"/>
      <c r="P8" s="1175"/>
      <c r="Q8" s="1175"/>
      <c r="R8" s="1175"/>
      <c r="S8" s="1175"/>
      <c r="T8" s="1175"/>
      <c r="U8" s="1175"/>
      <c r="V8" s="1175"/>
      <c r="W8" s="1175"/>
      <c r="X8" s="1175"/>
      <c r="Y8" s="1175"/>
      <c r="Z8" s="1175"/>
      <c r="AA8" s="1175"/>
      <c r="AB8" s="1175"/>
      <c r="AH8" s="173" t="s">
        <v>787</v>
      </c>
    </row>
    <row r="9" spans="1:34" s="46" customFormat="1">
      <c r="B9" s="47" t="s">
        <v>315</v>
      </c>
      <c r="C9" s="1174" t="s">
        <v>397</v>
      </c>
      <c r="D9" s="1174"/>
      <c r="E9" s="1174"/>
      <c r="F9" s="1174"/>
      <c r="G9" s="1174"/>
      <c r="H9" s="48" t="s">
        <v>391</v>
      </c>
      <c r="I9" s="1175"/>
      <c r="J9" s="1175"/>
      <c r="K9" s="1175"/>
      <c r="L9" s="1175"/>
      <c r="M9" s="1175"/>
      <c r="N9" s="1175"/>
      <c r="O9" s="1175"/>
      <c r="P9" s="1175"/>
      <c r="Q9" s="1175"/>
      <c r="R9" s="1175"/>
      <c r="S9" s="1175"/>
      <c r="T9" s="1175"/>
      <c r="U9" s="1175"/>
      <c r="V9" s="1175"/>
      <c r="W9" s="1175"/>
      <c r="X9" s="1175"/>
      <c r="Y9" s="1175"/>
      <c r="Z9" s="1175"/>
      <c r="AA9" s="1175"/>
      <c r="AB9" s="1175"/>
    </row>
    <row r="10" spans="1:34" s="46" customFormat="1">
      <c r="B10" s="47" t="s">
        <v>398</v>
      </c>
      <c r="C10" s="1174" t="s">
        <v>399</v>
      </c>
      <c r="D10" s="1174"/>
      <c r="E10" s="1174"/>
      <c r="F10" s="1174"/>
      <c r="G10" s="1174"/>
      <c r="H10" s="48" t="s">
        <v>391</v>
      </c>
      <c r="I10" s="1176">
        <v>0.375</v>
      </c>
      <c r="J10" s="1176"/>
      <c r="K10" s="1176"/>
      <c r="L10" s="1177" t="s">
        <v>392</v>
      </c>
      <c r="M10" s="1177"/>
      <c r="N10" s="1176">
        <v>0.75</v>
      </c>
      <c r="O10" s="1176"/>
      <c r="P10" s="1176"/>
      <c r="Q10" s="46" t="s">
        <v>400</v>
      </c>
      <c r="V10" s="1176">
        <v>0.5</v>
      </c>
      <c r="W10" s="1176"/>
      <c r="X10" s="1176"/>
      <c r="Y10" s="56" t="s">
        <v>401</v>
      </c>
      <c r="Z10" s="1176">
        <v>0.54166666666666663</v>
      </c>
      <c r="AA10" s="1176"/>
      <c r="AB10" s="1176"/>
      <c r="AC10" s="46" t="s">
        <v>402</v>
      </c>
    </row>
    <row r="11" spans="1:34" s="45" customFormat="1" ht="19.5">
      <c r="B11" s="47" t="s">
        <v>403</v>
      </c>
      <c r="C11" s="1174" t="s">
        <v>404</v>
      </c>
      <c r="D11" s="1174"/>
      <c r="E11" s="1174"/>
      <c r="F11" s="1174"/>
      <c r="G11" s="1174"/>
      <c r="H11" s="48" t="s">
        <v>391</v>
      </c>
      <c r="I11" s="57" t="s">
        <v>405</v>
      </c>
      <c r="J11" s="57"/>
      <c r="K11" s="1178">
        <v>5</v>
      </c>
      <c r="L11" s="1178"/>
      <c r="M11" s="57" t="s">
        <v>406</v>
      </c>
      <c r="N11" s="57"/>
      <c r="O11" s="57"/>
      <c r="P11" s="57"/>
      <c r="Q11" s="57"/>
      <c r="R11" s="57"/>
      <c r="S11" s="57"/>
      <c r="T11" s="57" t="s">
        <v>407</v>
      </c>
      <c r="U11" s="57"/>
      <c r="V11" s="57"/>
      <c r="W11" s="57"/>
      <c r="X11" s="1178" t="s">
        <v>408</v>
      </c>
      <c r="Y11" s="1178"/>
      <c r="Z11" s="57" t="s">
        <v>409</v>
      </c>
      <c r="AA11" s="57"/>
      <c r="AB11" s="57"/>
      <c r="AC11" s="57"/>
    </row>
    <row r="12" spans="1:34" s="45" customFormat="1" ht="19.5">
      <c r="B12" s="47" t="s">
        <v>410</v>
      </c>
      <c r="C12" s="1174" t="s">
        <v>411</v>
      </c>
      <c r="D12" s="1174"/>
      <c r="E12" s="1174"/>
      <c r="F12" s="1174"/>
      <c r="G12" s="1174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34">
      <c r="C13" s="1179" t="s">
        <v>412</v>
      </c>
      <c r="D13" s="1179"/>
      <c r="E13" s="1179"/>
      <c r="F13" s="1179"/>
      <c r="G13" s="1179"/>
      <c r="H13" s="48"/>
      <c r="J13" s="48" t="s">
        <v>391</v>
      </c>
      <c r="K13" s="58" t="s">
        <v>413</v>
      </c>
      <c r="L13" s="1180" t="s">
        <v>414</v>
      </c>
      <c r="M13" s="1180"/>
      <c r="N13" s="59" t="s">
        <v>402</v>
      </c>
      <c r="P13" s="1181">
        <v>1822480</v>
      </c>
      <c r="Q13" s="1181"/>
      <c r="R13" s="1181"/>
      <c r="S13" s="1181"/>
      <c r="T13" s="1181"/>
      <c r="U13" s="1181"/>
      <c r="V13" s="1181"/>
      <c r="W13" s="57" t="s">
        <v>415</v>
      </c>
    </row>
    <row r="14" spans="1:34">
      <c r="C14" s="1179" t="s">
        <v>416</v>
      </c>
      <c r="D14" s="1179"/>
      <c r="E14" s="1179"/>
      <c r="F14" s="1179"/>
      <c r="G14" s="1179"/>
      <c r="H14" s="48"/>
      <c r="J14" s="48" t="s">
        <v>391</v>
      </c>
      <c r="K14" s="57" t="s">
        <v>417</v>
      </c>
      <c r="M14" s="1182"/>
      <c r="N14" s="1182"/>
      <c r="O14" s="57" t="s">
        <v>418</v>
      </c>
      <c r="P14" s="1181"/>
      <c r="Q14" s="1181"/>
      <c r="R14" s="1181"/>
      <c r="S14" s="1181"/>
      <c r="T14" s="1181"/>
      <c r="U14" s="1181"/>
      <c r="V14" s="1181"/>
      <c r="W14" s="57" t="s">
        <v>419</v>
      </c>
      <c r="X14" s="57" t="s">
        <v>420</v>
      </c>
      <c r="Z14" s="1183" t="s">
        <v>421</v>
      </c>
      <c r="AA14" s="1183"/>
      <c r="AB14" s="57" t="s">
        <v>402</v>
      </c>
    </row>
    <row r="15" spans="1:34">
      <c r="C15" s="56" t="s">
        <v>422</v>
      </c>
      <c r="J15" s="48" t="s">
        <v>391</v>
      </c>
      <c r="K15" s="57" t="s">
        <v>417</v>
      </c>
      <c r="M15" s="1182"/>
      <c r="N15" s="1182"/>
      <c r="O15" s="57" t="s">
        <v>418</v>
      </c>
      <c r="P15" s="57" t="s">
        <v>420</v>
      </c>
      <c r="R15" s="1183" t="s">
        <v>421</v>
      </c>
      <c r="S15" s="1183"/>
      <c r="T15" s="57" t="s">
        <v>402</v>
      </c>
    </row>
    <row r="16" spans="1:34">
      <c r="K16" s="1181"/>
      <c r="L16" s="1181"/>
      <c r="M16" s="1181"/>
      <c r="N16" s="1181"/>
      <c r="O16" s="1181"/>
      <c r="P16" s="1181"/>
      <c r="Q16" s="1181"/>
      <c r="R16" s="57" t="s">
        <v>419</v>
      </c>
      <c r="T16" s="1181"/>
      <c r="U16" s="1181"/>
      <c r="V16" s="1181"/>
      <c r="W16" s="1181"/>
      <c r="X16" s="1181"/>
      <c r="Y16" s="1181"/>
      <c r="Z16" s="1181"/>
      <c r="AA16" s="57" t="s">
        <v>415</v>
      </c>
    </row>
    <row r="17" spans="2:28">
      <c r="K17" s="1181"/>
      <c r="L17" s="1181"/>
      <c r="M17" s="1181"/>
      <c r="N17" s="1181"/>
      <c r="O17" s="1181"/>
      <c r="P17" s="1181"/>
      <c r="Q17" s="1181"/>
      <c r="R17" s="57" t="s">
        <v>419</v>
      </c>
      <c r="T17" s="1181"/>
      <c r="U17" s="1181"/>
      <c r="V17" s="1181"/>
      <c r="W17" s="1181"/>
      <c r="X17" s="1181"/>
      <c r="Y17" s="1181"/>
      <c r="Z17" s="1181"/>
      <c r="AA17" s="57" t="s">
        <v>415</v>
      </c>
    </row>
    <row r="18" spans="2:28" ht="7.5" customHeight="1"/>
    <row r="19" spans="2:28">
      <c r="C19" s="1179" t="s">
        <v>423</v>
      </c>
      <c r="D19" s="1179"/>
      <c r="E19" s="1179"/>
      <c r="F19" s="1179"/>
      <c r="G19" s="1179"/>
      <c r="H19" s="48" t="s">
        <v>391</v>
      </c>
      <c r="I19" s="57" t="s">
        <v>424</v>
      </c>
      <c r="P19" s="1184" t="s">
        <v>425</v>
      </c>
      <c r="Q19" s="1184"/>
      <c r="R19" s="1184"/>
      <c r="S19" s="1184"/>
      <c r="T19" s="57" t="s">
        <v>426</v>
      </c>
    </row>
    <row r="20" spans="2:28">
      <c r="C20" s="60" t="s">
        <v>427</v>
      </c>
      <c r="H20" s="48" t="s">
        <v>391</v>
      </c>
      <c r="I20" s="57" t="s">
        <v>428</v>
      </c>
      <c r="Q20" s="57" t="s">
        <v>429</v>
      </c>
      <c r="AA20" s="61" t="s">
        <v>421</v>
      </c>
      <c r="AB20" s="48" t="s">
        <v>402</v>
      </c>
    </row>
    <row r="21" spans="2:28" ht="7.5" customHeight="1"/>
    <row r="22" spans="2:28">
      <c r="B22" s="47" t="s">
        <v>430</v>
      </c>
      <c r="C22" s="57" t="s">
        <v>431</v>
      </c>
    </row>
    <row r="23" spans="2:28">
      <c r="C23" s="56" t="s">
        <v>432</v>
      </c>
    </row>
    <row r="24" spans="2:28" ht="7.5" customHeight="1"/>
    <row r="25" spans="2:28">
      <c r="B25" s="57" t="s">
        <v>433</v>
      </c>
    </row>
    <row r="26" spans="2:28" ht="2.25" customHeight="1"/>
    <row r="27" spans="2:28">
      <c r="C27" s="62" t="s">
        <v>421</v>
      </c>
      <c r="D27" s="57" t="s">
        <v>434</v>
      </c>
      <c r="I27" s="62" t="s">
        <v>421</v>
      </c>
      <c r="J27" s="57" t="s">
        <v>435</v>
      </c>
      <c r="O27" s="62" t="s">
        <v>421</v>
      </c>
      <c r="P27" s="57" t="s">
        <v>436</v>
      </c>
      <c r="U27" s="62" t="s">
        <v>421</v>
      </c>
      <c r="V27" s="57" t="s">
        <v>437</v>
      </c>
    </row>
    <row r="28" spans="2:28" ht="2.25" customHeight="1"/>
    <row r="29" spans="2:28" ht="7.5" customHeight="1"/>
    <row r="30" spans="2:28">
      <c r="B30" s="57" t="s">
        <v>438</v>
      </c>
    </row>
    <row r="31" spans="2:28">
      <c r="C31" s="56" t="s">
        <v>439</v>
      </c>
    </row>
    <row r="32" spans="2:28">
      <c r="C32" s="56" t="s">
        <v>440</v>
      </c>
    </row>
    <row r="33" spans="2:28" ht="7.5" customHeight="1"/>
    <row r="34" spans="2:28">
      <c r="B34" s="57" t="s">
        <v>441</v>
      </c>
    </row>
    <row r="35" spans="2:28">
      <c r="C35" s="56" t="s">
        <v>442</v>
      </c>
    </row>
    <row r="36" spans="2:28">
      <c r="C36" s="57" t="s">
        <v>443</v>
      </c>
    </row>
    <row r="37" spans="2:28" ht="7.5" customHeight="1"/>
    <row r="38" spans="2:28">
      <c r="B38" s="57" t="s">
        <v>444</v>
      </c>
    </row>
    <row r="39" spans="2:28">
      <c r="C39" s="56" t="s">
        <v>445</v>
      </c>
    </row>
    <row r="40" spans="2:28" ht="3.75" customHeight="1">
      <c r="C40" s="56"/>
    </row>
    <row r="41" spans="2:28">
      <c r="L41" s="1185">
        <f ca="1">TODAY()</f>
        <v>44595</v>
      </c>
      <c r="M41" s="1185"/>
      <c r="N41" s="1185"/>
      <c r="O41" s="1185"/>
      <c r="P41" s="1185"/>
      <c r="Q41" s="1185"/>
      <c r="R41" s="1185"/>
      <c r="S41" s="1185"/>
    </row>
    <row r="42" spans="2:28" ht="3.75" customHeight="1"/>
    <row r="43" spans="2:28" ht="21" customHeight="1">
      <c r="B43" s="57" t="s">
        <v>446</v>
      </c>
      <c r="E43" s="1182" t="s">
        <v>447</v>
      </c>
      <c r="F43" s="1182"/>
      <c r="G43" s="1182"/>
      <c r="H43" s="47" t="s">
        <v>391</v>
      </c>
      <c r="I43" s="1186" t="str">
        <f>A3</f>
        <v>선우회계법인</v>
      </c>
      <c r="J43" s="1186"/>
      <c r="K43" s="1186"/>
      <c r="L43" s="1186"/>
      <c r="M43" s="1186"/>
      <c r="N43" s="1186"/>
      <c r="O43" s="1186"/>
      <c r="P43" s="1186"/>
      <c r="Q43" s="1186"/>
      <c r="R43" s="1186"/>
      <c r="S43" s="57" t="s">
        <v>448</v>
      </c>
      <c r="U43" s="1184" t="s">
        <v>449</v>
      </c>
      <c r="V43" s="1184"/>
      <c r="W43" s="1184"/>
      <c r="X43" s="1184"/>
      <c r="Y43" s="1184"/>
      <c r="Z43" s="1184"/>
      <c r="AA43" s="1184"/>
      <c r="AB43" s="57" t="s">
        <v>402</v>
      </c>
    </row>
    <row r="44" spans="2:28" ht="21" customHeight="1">
      <c r="E44" s="1182" t="s">
        <v>450</v>
      </c>
      <c r="F44" s="1182"/>
      <c r="G44" s="1182"/>
      <c r="H44" s="47" t="s">
        <v>391</v>
      </c>
      <c r="I44" s="1186" t="str">
        <f>I8</f>
        <v>충남 천안시 서북구 오성로 103 , 6층 (두정동,청풍프라자)</v>
      </c>
      <c r="J44" s="1186"/>
      <c r="K44" s="1186"/>
      <c r="L44" s="1186"/>
      <c r="M44" s="1186"/>
      <c r="N44" s="1186"/>
      <c r="O44" s="1186"/>
      <c r="P44" s="1186"/>
      <c r="Q44" s="1186"/>
      <c r="R44" s="1186"/>
      <c r="S44" s="1186"/>
      <c r="T44" s="1186"/>
      <c r="U44" s="1186"/>
      <c r="V44" s="1186"/>
      <c r="W44" s="1186"/>
      <c r="X44" s="1186"/>
      <c r="Y44" s="1186"/>
      <c r="Z44" s="1186"/>
      <c r="AA44" s="1186"/>
      <c r="AB44" s="1186"/>
    </row>
    <row r="45" spans="2:28" ht="21" customHeight="1">
      <c r="E45" s="1182" t="s">
        <v>451</v>
      </c>
      <c r="F45" s="1182"/>
      <c r="G45" s="1182"/>
      <c r="H45" s="47" t="s">
        <v>391</v>
      </c>
      <c r="I45" s="1184" t="s">
        <v>452</v>
      </c>
      <c r="J45" s="1184"/>
      <c r="K45" s="1184"/>
      <c r="L45" s="1184"/>
      <c r="M45" s="1184"/>
      <c r="N45" s="1184"/>
      <c r="O45" s="1184"/>
      <c r="P45" s="1184"/>
      <c r="Q45" s="1184"/>
      <c r="R45" s="1184"/>
      <c r="S45" s="63" t="s">
        <v>453</v>
      </c>
    </row>
    <row r="46" spans="2:28" ht="14.25" customHeight="1"/>
    <row r="47" spans="2:28" ht="21" customHeight="1">
      <c r="B47" s="57" t="s">
        <v>454</v>
      </c>
      <c r="E47" s="1182" t="s">
        <v>450</v>
      </c>
      <c r="F47" s="1182"/>
      <c r="G47" s="1182"/>
      <c r="H47" s="47" t="s">
        <v>391</v>
      </c>
      <c r="I47" s="1188" t="s">
        <v>396</v>
      </c>
      <c r="J47" s="1188"/>
      <c r="K47" s="1188"/>
      <c r="L47" s="1188"/>
      <c r="M47" s="1188"/>
      <c r="N47" s="1188"/>
      <c r="O47" s="1188"/>
      <c r="P47" s="1188"/>
      <c r="Q47" s="1188"/>
      <c r="R47" s="1188"/>
      <c r="S47" s="1188"/>
      <c r="T47" s="1188"/>
      <c r="U47" s="1188"/>
      <c r="V47" s="1188"/>
      <c r="W47" s="1188"/>
      <c r="X47" s="1188"/>
      <c r="Y47" s="1188"/>
      <c r="Z47" s="1188"/>
      <c r="AA47" s="1188"/>
      <c r="AB47" s="1188"/>
    </row>
    <row r="48" spans="2:28" ht="21" customHeight="1">
      <c r="E48" s="1182" t="s">
        <v>455</v>
      </c>
      <c r="F48" s="1182"/>
      <c r="G48" s="1182"/>
      <c r="H48" s="47" t="s">
        <v>391</v>
      </c>
      <c r="I48" s="1188" t="s">
        <v>456</v>
      </c>
      <c r="J48" s="1188"/>
      <c r="K48" s="1188"/>
      <c r="L48" s="1188"/>
      <c r="M48" s="1188"/>
      <c r="N48" s="1188"/>
      <c r="O48" s="1188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</row>
    <row r="49" spans="5:19" ht="21" customHeight="1">
      <c r="E49" s="1182" t="s">
        <v>457</v>
      </c>
      <c r="F49" s="1182"/>
      <c r="G49" s="1182"/>
      <c r="H49" s="47" t="s">
        <v>391</v>
      </c>
      <c r="I49" s="1187" t="str">
        <f>Q3</f>
        <v>주황규</v>
      </c>
      <c r="J49" s="1187"/>
      <c r="K49" s="1187"/>
      <c r="L49" s="1187"/>
      <c r="M49" s="1187"/>
      <c r="N49" s="1187"/>
      <c r="O49" s="1187"/>
      <c r="P49" s="1187"/>
      <c r="Q49" s="1187"/>
      <c r="R49" s="1187"/>
      <c r="S49" s="63" t="s">
        <v>453</v>
      </c>
    </row>
  </sheetData>
  <mergeCells count="50">
    <mergeCell ref="E49:G49"/>
    <mergeCell ref="I49:R49"/>
    <mergeCell ref="E45:G45"/>
    <mergeCell ref="I45:R45"/>
    <mergeCell ref="E47:G47"/>
    <mergeCell ref="I47:AB47"/>
    <mergeCell ref="E48:G48"/>
    <mergeCell ref="I48:O48"/>
    <mergeCell ref="L41:S41"/>
    <mergeCell ref="E43:G43"/>
    <mergeCell ref="I43:R43"/>
    <mergeCell ref="U43:AA43"/>
    <mergeCell ref="E44:G44"/>
    <mergeCell ref="I44:AB44"/>
    <mergeCell ref="K16:Q16"/>
    <mergeCell ref="T16:Z16"/>
    <mergeCell ref="K17:Q17"/>
    <mergeCell ref="T17:Z17"/>
    <mergeCell ref="C19:G19"/>
    <mergeCell ref="P19:S19"/>
    <mergeCell ref="C14:G14"/>
    <mergeCell ref="M14:N14"/>
    <mergeCell ref="P14:V14"/>
    <mergeCell ref="Z14:AA14"/>
    <mergeCell ref="M15:N15"/>
    <mergeCell ref="R15:S15"/>
    <mergeCell ref="C11:G11"/>
    <mergeCell ref="K11:L11"/>
    <mergeCell ref="X11:Y11"/>
    <mergeCell ref="C12:G12"/>
    <mergeCell ref="C13:G13"/>
    <mergeCell ref="L13:M13"/>
    <mergeCell ref="P13:V13"/>
    <mergeCell ref="C8:G8"/>
    <mergeCell ref="I8:AB8"/>
    <mergeCell ref="C9:G9"/>
    <mergeCell ref="I9:AB9"/>
    <mergeCell ref="C10:G10"/>
    <mergeCell ref="I10:K10"/>
    <mergeCell ref="L10:M10"/>
    <mergeCell ref="N10:P10"/>
    <mergeCell ref="V10:X10"/>
    <mergeCell ref="Z10:AB10"/>
    <mergeCell ref="N7:R7"/>
    <mergeCell ref="U7:Y7"/>
    <mergeCell ref="F1:W1"/>
    <mergeCell ref="A3:H3"/>
    <mergeCell ref="Q3:S3"/>
    <mergeCell ref="C6:G6"/>
    <mergeCell ref="I6:O6"/>
  </mergeCells>
  <phoneticPr fontId="2" type="noConversion"/>
  <hyperlinks>
    <hyperlink ref="AH3" r:id="rId1" xr:uid="{D6388B67-C24B-4C1F-BE5B-C8E550AF5FCE}"/>
    <hyperlink ref="AH1" r:id="rId2" display="세무사는 임금명세서를 작성, 확인할 수 없습니다. (by 박사영 노무사)" xr:uid="{38BAC242-7183-4C27-9123-1BE6482A5062}"/>
  </hyperlinks>
  <pageMargins left="0.31496062992125984" right="0.31496062992125984" top="0.55118110236220474" bottom="0.55118110236220474" header="0.31496062992125984" footer="0"/>
  <pageSetup paperSize="9" orientation="portrait" verticalDpi="0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A548C-D669-4B6B-A089-059884C4A942}">
  <sheetPr codeName="Sheet23">
    <tabColor rgb="FF92D050"/>
  </sheetPr>
  <dimension ref="A1:I35"/>
  <sheetViews>
    <sheetView showGridLines="0" workbookViewId="0">
      <selection activeCell="C5" sqref="C5:H5"/>
    </sheetView>
  </sheetViews>
  <sheetFormatPr defaultRowHeight="18.75" customHeight="1"/>
  <cols>
    <col min="1" max="1" width="5.625" customWidth="1"/>
    <col min="2" max="2" width="15" customWidth="1"/>
    <col min="3" max="3" width="1.25" customWidth="1"/>
    <col min="4" max="4" width="20" customWidth="1"/>
    <col min="5" max="5" width="1.25" customWidth="1"/>
    <col min="6" max="6" width="5.625" customWidth="1"/>
    <col min="7" max="7" width="15.125" customWidth="1"/>
    <col min="8" max="8" width="21.25" customWidth="1"/>
    <col min="9" max="9" width="1.25" style="150" customWidth="1"/>
  </cols>
  <sheetData>
    <row r="1" spans="1:9" ht="16.5">
      <c r="A1" t="s">
        <v>748</v>
      </c>
    </row>
    <row r="2" spans="1:9" ht="6" customHeight="1" thickBot="1"/>
    <row r="3" spans="1:9" ht="30" customHeight="1">
      <c r="A3" s="148" t="s">
        <v>749</v>
      </c>
      <c r="B3" s="149"/>
      <c r="C3" s="149"/>
      <c r="D3" s="149"/>
      <c r="E3" s="149"/>
      <c r="F3" s="149"/>
      <c r="G3" s="149"/>
      <c r="H3" s="149"/>
      <c r="I3" s="154"/>
    </row>
    <row r="4" spans="1:9" ht="30" customHeight="1">
      <c r="A4" s="1230" t="s">
        <v>757</v>
      </c>
      <c r="B4" s="1208"/>
      <c r="C4" s="881" t="s">
        <v>387</v>
      </c>
      <c r="D4" s="884"/>
      <c r="E4" s="885"/>
      <c r="F4" s="1207" t="s">
        <v>759</v>
      </c>
      <c r="G4" s="1208"/>
      <c r="H4" s="1198">
        <v>26665</v>
      </c>
      <c r="I4" s="1199"/>
    </row>
    <row r="5" spans="1:9" ht="22.5" customHeight="1">
      <c r="A5" s="1226" t="s">
        <v>758</v>
      </c>
      <c r="B5" s="1227"/>
      <c r="C5" s="1201" t="s">
        <v>756</v>
      </c>
      <c r="D5" s="1202"/>
      <c r="E5" s="1202"/>
      <c r="F5" s="1202"/>
      <c r="G5" s="1202"/>
      <c r="H5" s="1202"/>
      <c r="I5" s="152"/>
    </row>
    <row r="6" spans="1:9" ht="22.5" customHeight="1">
      <c r="A6" s="1228"/>
      <c r="B6" s="1229"/>
      <c r="C6" s="1203"/>
      <c r="D6" s="714"/>
      <c r="E6" s="714"/>
      <c r="F6" s="714"/>
      <c r="G6" s="21" t="s">
        <v>649</v>
      </c>
      <c r="H6" s="160" t="s">
        <v>456</v>
      </c>
      <c r="I6" s="155" t="s">
        <v>402</v>
      </c>
    </row>
    <row r="7" spans="1:9" ht="30" customHeight="1">
      <c r="A7" s="1231" t="s">
        <v>761</v>
      </c>
      <c r="B7" s="1232"/>
      <c r="C7" s="156"/>
      <c r="D7" s="161">
        <v>1</v>
      </c>
      <c r="E7" s="151"/>
      <c r="F7" s="1207" t="s">
        <v>760</v>
      </c>
      <c r="G7" s="1208"/>
      <c r="H7" s="881" t="s">
        <v>774</v>
      </c>
      <c r="I7" s="1200"/>
    </row>
    <row r="8" spans="1:9" ht="30" customHeight="1">
      <c r="A8" s="1245" t="s">
        <v>751</v>
      </c>
      <c r="B8" s="66" t="s">
        <v>762</v>
      </c>
      <c r="C8" s="881" t="s">
        <v>773</v>
      </c>
      <c r="D8" s="884"/>
      <c r="E8" s="885"/>
      <c r="F8" s="936" t="s">
        <v>752</v>
      </c>
      <c r="G8" s="157" t="s">
        <v>766</v>
      </c>
      <c r="H8" s="1204"/>
      <c r="I8" s="1205"/>
    </row>
    <row r="9" spans="1:9" ht="30" customHeight="1">
      <c r="A9" s="1246"/>
      <c r="B9" s="66" t="s">
        <v>763</v>
      </c>
      <c r="C9" s="881" t="s">
        <v>771</v>
      </c>
      <c r="D9" s="884"/>
      <c r="E9" s="885"/>
      <c r="F9" s="937"/>
      <c r="G9" s="66" t="s">
        <v>767</v>
      </c>
      <c r="H9" s="1204"/>
      <c r="I9" s="1205"/>
    </row>
    <row r="10" spans="1:9" ht="30" customHeight="1">
      <c r="A10" s="1246"/>
      <c r="B10" s="66" t="s">
        <v>764</v>
      </c>
      <c r="C10" s="881" t="s">
        <v>772</v>
      </c>
      <c r="D10" s="884"/>
      <c r="E10" s="885"/>
      <c r="F10" s="937"/>
      <c r="G10" s="66" t="s">
        <v>768</v>
      </c>
      <c r="H10" s="992"/>
      <c r="I10" s="1206"/>
    </row>
    <row r="11" spans="1:9" ht="22.5" customHeight="1">
      <c r="A11" s="1246"/>
      <c r="B11" s="1233" t="s">
        <v>765</v>
      </c>
      <c r="C11" s="1235">
        <v>34335</v>
      </c>
      <c r="D11" s="1240"/>
      <c r="E11" s="1241"/>
      <c r="F11" s="937"/>
      <c r="G11" s="1233" t="s">
        <v>769</v>
      </c>
      <c r="H11" s="1201"/>
      <c r="I11" s="1248"/>
    </row>
    <row r="12" spans="1:9" ht="22.5" customHeight="1">
      <c r="A12" s="1247"/>
      <c r="B12" s="1234"/>
      <c r="C12" s="1195">
        <v>35430</v>
      </c>
      <c r="D12" s="1196"/>
      <c r="E12" s="1197"/>
      <c r="F12" s="938"/>
      <c r="G12" s="1234"/>
      <c r="H12" s="1249"/>
      <c r="I12" s="1250"/>
    </row>
    <row r="13" spans="1:9" ht="22.5" customHeight="1">
      <c r="A13" s="1060" t="s">
        <v>750</v>
      </c>
      <c r="B13" s="717"/>
      <c r="C13" s="1242">
        <v>37257</v>
      </c>
      <c r="D13" s="1243"/>
      <c r="E13" s="1244"/>
      <c r="F13" s="1239" t="s">
        <v>770</v>
      </c>
      <c r="G13" s="1239"/>
      <c r="H13" s="1235"/>
      <c r="I13" s="1236"/>
    </row>
    <row r="14" spans="1:9" ht="22.5" customHeight="1">
      <c r="A14" s="1060"/>
      <c r="B14" s="717"/>
      <c r="C14" s="158" t="s">
        <v>413</v>
      </c>
      <c r="D14" s="162"/>
      <c r="E14" s="159" t="s">
        <v>402</v>
      </c>
      <c r="F14" s="1239"/>
      <c r="G14" s="1239"/>
      <c r="H14" s="1237"/>
      <c r="I14" s="1238"/>
    </row>
    <row r="15" spans="1:9" ht="18.75" customHeight="1">
      <c r="A15" s="1218" t="s">
        <v>753</v>
      </c>
      <c r="B15" s="1223"/>
      <c r="C15" s="1224"/>
      <c r="D15" s="1224"/>
      <c r="E15" s="1224"/>
      <c r="F15" s="1224"/>
      <c r="G15" s="1224"/>
      <c r="H15" s="1224"/>
      <c r="I15" s="1225"/>
    </row>
    <row r="16" spans="1:9" ht="18.75" customHeight="1">
      <c r="A16" s="1060"/>
      <c r="B16" s="1209"/>
      <c r="C16" s="1210"/>
      <c r="D16" s="1210"/>
      <c r="E16" s="1210"/>
      <c r="F16" s="1210"/>
      <c r="G16" s="1210"/>
      <c r="H16" s="1210"/>
      <c r="I16" s="1211"/>
    </row>
    <row r="17" spans="1:9" ht="18.75" customHeight="1">
      <c r="A17" s="1060"/>
      <c r="B17" s="1209"/>
      <c r="C17" s="1210"/>
      <c r="D17" s="1210"/>
      <c r="E17" s="1210"/>
      <c r="F17" s="1210"/>
      <c r="G17" s="1210"/>
      <c r="H17" s="1210"/>
      <c r="I17" s="1211"/>
    </row>
    <row r="18" spans="1:9" ht="18.75" customHeight="1">
      <c r="A18" s="1060"/>
      <c r="B18" s="1209"/>
      <c r="C18" s="1210"/>
      <c r="D18" s="1210"/>
      <c r="E18" s="1210"/>
      <c r="F18" s="1210"/>
      <c r="G18" s="1210"/>
      <c r="H18" s="1210"/>
      <c r="I18" s="1211"/>
    </row>
    <row r="19" spans="1:9" ht="18.75" customHeight="1">
      <c r="A19" s="1060"/>
      <c r="B19" s="1209"/>
      <c r="C19" s="1210"/>
      <c r="D19" s="1210"/>
      <c r="E19" s="1210"/>
      <c r="F19" s="1210"/>
      <c r="G19" s="1210"/>
      <c r="H19" s="1210"/>
      <c r="I19" s="1211"/>
    </row>
    <row r="20" spans="1:9" ht="18.75" customHeight="1">
      <c r="A20" s="1060"/>
      <c r="B20" s="1209"/>
      <c r="C20" s="1210"/>
      <c r="D20" s="1210"/>
      <c r="E20" s="1210"/>
      <c r="F20" s="1210"/>
      <c r="G20" s="1210"/>
      <c r="H20" s="1210"/>
      <c r="I20" s="1211"/>
    </row>
    <row r="21" spans="1:9" ht="18.75" customHeight="1">
      <c r="A21" s="1060"/>
      <c r="B21" s="1209"/>
      <c r="C21" s="1210"/>
      <c r="D21" s="1210"/>
      <c r="E21" s="1210"/>
      <c r="F21" s="1210"/>
      <c r="G21" s="1210"/>
      <c r="H21" s="1210"/>
      <c r="I21" s="1211"/>
    </row>
    <row r="22" spans="1:9" ht="18.75" customHeight="1">
      <c r="A22" s="1060"/>
      <c r="B22" s="1209"/>
      <c r="C22" s="1210"/>
      <c r="D22" s="1210"/>
      <c r="E22" s="1210"/>
      <c r="F22" s="1210"/>
      <c r="G22" s="1210"/>
      <c r="H22" s="1210"/>
      <c r="I22" s="1211"/>
    </row>
    <row r="23" spans="1:9" ht="18.75" customHeight="1">
      <c r="A23" s="1060"/>
      <c r="B23" s="1209"/>
      <c r="C23" s="1210"/>
      <c r="D23" s="1210"/>
      <c r="E23" s="1210"/>
      <c r="F23" s="1210"/>
      <c r="G23" s="1210"/>
      <c r="H23" s="1210"/>
      <c r="I23" s="1211"/>
    </row>
    <row r="24" spans="1:9" ht="18.75" customHeight="1">
      <c r="A24" s="1219"/>
      <c r="B24" s="1212"/>
      <c r="C24" s="1213"/>
      <c r="D24" s="1213"/>
      <c r="E24" s="1213"/>
      <c r="F24" s="1213"/>
      <c r="G24" s="1213"/>
      <c r="H24" s="1213"/>
      <c r="I24" s="1214"/>
    </row>
    <row r="25" spans="1:9" ht="18.75" customHeight="1">
      <c r="A25" s="1220" t="s">
        <v>754</v>
      </c>
      <c r="B25" s="1221"/>
      <c r="C25" s="1221"/>
      <c r="D25" s="1221"/>
      <c r="E25" s="1221"/>
      <c r="F25" s="1221"/>
      <c r="G25" s="1221"/>
      <c r="H25" s="1221"/>
      <c r="I25" s="1222"/>
    </row>
    <row r="26" spans="1:9" ht="18.75" customHeight="1">
      <c r="A26" s="1215"/>
      <c r="B26" s="1216"/>
      <c r="C26" s="1216"/>
      <c r="D26" s="1216"/>
      <c r="E26" s="1216"/>
      <c r="F26" s="1216"/>
      <c r="G26" s="1216"/>
      <c r="H26" s="1216"/>
      <c r="I26" s="1217"/>
    </row>
    <row r="27" spans="1:9" ht="18.75" customHeight="1">
      <c r="A27" s="1192"/>
      <c r="B27" s="1193"/>
      <c r="C27" s="1193"/>
      <c r="D27" s="1193"/>
      <c r="E27" s="1193"/>
      <c r="F27" s="1193"/>
      <c r="G27" s="1193"/>
      <c r="H27" s="1193"/>
      <c r="I27" s="1194"/>
    </row>
    <row r="28" spans="1:9" ht="18.75" customHeight="1">
      <c r="A28" s="1192"/>
      <c r="B28" s="1193"/>
      <c r="C28" s="1193"/>
      <c r="D28" s="1193"/>
      <c r="E28" s="1193"/>
      <c r="F28" s="1193"/>
      <c r="G28" s="1193"/>
      <c r="H28" s="1193"/>
      <c r="I28" s="1194"/>
    </row>
    <row r="29" spans="1:9" ht="18.75" customHeight="1">
      <c r="A29" s="1192"/>
      <c r="B29" s="1193"/>
      <c r="C29" s="1193"/>
      <c r="D29" s="1193"/>
      <c r="E29" s="1193"/>
      <c r="F29" s="1193"/>
      <c r="G29" s="1193"/>
      <c r="H29" s="1193"/>
      <c r="I29" s="1194"/>
    </row>
    <row r="30" spans="1:9" ht="18.75" customHeight="1">
      <c r="A30" s="1192"/>
      <c r="B30" s="1193"/>
      <c r="C30" s="1193"/>
      <c r="D30" s="1193"/>
      <c r="E30" s="1193"/>
      <c r="F30" s="1193"/>
      <c r="G30" s="1193"/>
      <c r="H30" s="1193"/>
      <c r="I30" s="1194"/>
    </row>
    <row r="31" spans="1:9" ht="18.75" customHeight="1">
      <c r="A31" s="1192"/>
      <c r="B31" s="1193"/>
      <c r="C31" s="1193"/>
      <c r="D31" s="1193"/>
      <c r="E31" s="1193"/>
      <c r="F31" s="1193"/>
      <c r="G31" s="1193"/>
      <c r="H31" s="1193"/>
      <c r="I31" s="1194"/>
    </row>
    <row r="32" spans="1:9" ht="18.75" customHeight="1">
      <c r="A32" s="1192"/>
      <c r="B32" s="1193"/>
      <c r="C32" s="1193"/>
      <c r="D32" s="1193"/>
      <c r="E32" s="1193"/>
      <c r="F32" s="1193"/>
      <c r="G32" s="1193"/>
      <c r="H32" s="1193"/>
      <c r="I32" s="1194"/>
    </row>
    <row r="33" spans="1:9" ht="18.75" customHeight="1">
      <c r="A33" s="1192"/>
      <c r="B33" s="1193"/>
      <c r="C33" s="1193"/>
      <c r="D33" s="1193"/>
      <c r="E33" s="1193"/>
      <c r="F33" s="1193"/>
      <c r="G33" s="1193"/>
      <c r="H33" s="1193"/>
      <c r="I33" s="1194"/>
    </row>
    <row r="34" spans="1:9" ht="18.75" customHeight="1" thickBot="1">
      <c r="A34" s="1189"/>
      <c r="B34" s="1190"/>
      <c r="C34" s="1190"/>
      <c r="D34" s="1190"/>
      <c r="E34" s="1190"/>
      <c r="F34" s="1190"/>
      <c r="G34" s="1190"/>
      <c r="H34" s="1190"/>
      <c r="I34" s="1191"/>
    </row>
    <row r="35" spans="1:9" ht="18.75" customHeight="1">
      <c r="H35" s="26" t="s">
        <v>755</v>
      </c>
      <c r="I35" s="153"/>
    </row>
  </sheetData>
  <mergeCells count="48">
    <mergeCell ref="A5:B6"/>
    <mergeCell ref="A4:B4"/>
    <mergeCell ref="A7:B7"/>
    <mergeCell ref="B11:B12"/>
    <mergeCell ref="H13:I14"/>
    <mergeCell ref="C8:E8"/>
    <mergeCell ref="C9:E9"/>
    <mergeCell ref="A13:B14"/>
    <mergeCell ref="F13:G14"/>
    <mergeCell ref="C10:E10"/>
    <mergeCell ref="C11:E11"/>
    <mergeCell ref="C13:E13"/>
    <mergeCell ref="A8:A12"/>
    <mergeCell ref="G11:G12"/>
    <mergeCell ref="F8:F12"/>
    <mergeCell ref="H11:I12"/>
    <mergeCell ref="B22:I22"/>
    <mergeCell ref="B23:I23"/>
    <mergeCell ref="B24:I24"/>
    <mergeCell ref="A26:I26"/>
    <mergeCell ref="A15:A24"/>
    <mergeCell ref="A25:I25"/>
    <mergeCell ref="B15:I15"/>
    <mergeCell ref="B16:I16"/>
    <mergeCell ref="B17:I17"/>
    <mergeCell ref="B18:I18"/>
    <mergeCell ref="B19:I19"/>
    <mergeCell ref="B20:I20"/>
    <mergeCell ref="B21:I21"/>
    <mergeCell ref="C12:E12"/>
    <mergeCell ref="C4:E4"/>
    <mergeCell ref="H4:I4"/>
    <mergeCell ref="H7:I7"/>
    <mergeCell ref="C5:H5"/>
    <mergeCell ref="C6:F6"/>
    <mergeCell ref="H8:I8"/>
    <mergeCell ref="H9:I9"/>
    <mergeCell ref="H10:I10"/>
    <mergeCell ref="F4:G4"/>
    <mergeCell ref="F7:G7"/>
    <mergeCell ref="A34:I34"/>
    <mergeCell ref="A27:I27"/>
    <mergeCell ref="A28:I28"/>
    <mergeCell ref="A29:I29"/>
    <mergeCell ref="A30:I30"/>
    <mergeCell ref="A31:I31"/>
    <mergeCell ref="A32:I32"/>
    <mergeCell ref="A33:I33"/>
  </mergeCells>
  <phoneticPr fontId="2" type="noConversion"/>
  <printOptions horizontalCentered="1" verticalCentered="1"/>
  <pageMargins left="0.31496062992125984" right="0.31496062992125984" top="0.74803149606299213" bottom="0.55118110236220474" header="0.31496062992125984" footer="0.31496062992125984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5067-6442-43D0-90C4-0B45E74B22DA}">
  <sheetPr codeName="Sheet24">
    <tabColor rgb="FF92D050"/>
    <pageSetUpPr fitToPage="1"/>
  </sheetPr>
  <dimension ref="A1:W25"/>
  <sheetViews>
    <sheetView showGridLines="0" workbookViewId="0">
      <selection activeCell="K12" sqref="K12"/>
    </sheetView>
  </sheetViews>
  <sheetFormatPr defaultRowHeight="25.5" customHeight="1" outlineLevelCol="1"/>
  <cols>
    <col min="1" max="1" width="9.125" style="125" customWidth="1"/>
    <col min="2" max="6" width="4.75" style="125" bestFit="1" customWidth="1"/>
    <col min="7" max="11" width="8.875" style="125" customWidth="1"/>
    <col min="12" max="13" width="8.5" style="125" customWidth="1" outlineLevel="1"/>
    <col min="14" max="14" width="8.875" style="125" customWidth="1"/>
    <col min="15" max="16" width="7.125" style="125" customWidth="1" outlineLevel="1"/>
    <col min="17" max="20" width="8.875" style="125" customWidth="1"/>
    <col min="21" max="21" width="9" style="125"/>
    <col min="22" max="23" width="10.25" style="125" bestFit="1" customWidth="1"/>
    <col min="24" max="256" width="9" style="125"/>
    <col min="257" max="257" width="9.125" style="125" customWidth="1"/>
    <col min="258" max="262" width="4.75" style="125" bestFit="1" customWidth="1"/>
    <col min="263" max="267" width="8.875" style="125" customWidth="1"/>
    <col min="268" max="269" width="8.5" style="125" customWidth="1"/>
    <col min="270" max="270" width="8.875" style="125" customWidth="1"/>
    <col min="271" max="272" width="0" style="125" hidden="1" customWidth="1"/>
    <col min="273" max="276" width="8.875" style="125" customWidth="1"/>
    <col min="277" max="277" width="9" style="125"/>
    <col min="278" max="279" width="10.25" style="125" bestFit="1" customWidth="1"/>
    <col min="280" max="512" width="9" style="125"/>
    <col min="513" max="513" width="9.125" style="125" customWidth="1"/>
    <col min="514" max="518" width="4.75" style="125" bestFit="1" customWidth="1"/>
    <col min="519" max="523" width="8.875" style="125" customWidth="1"/>
    <col min="524" max="525" width="8.5" style="125" customWidth="1"/>
    <col min="526" max="526" width="8.875" style="125" customWidth="1"/>
    <col min="527" max="528" width="0" style="125" hidden="1" customWidth="1"/>
    <col min="529" max="532" width="8.875" style="125" customWidth="1"/>
    <col min="533" max="533" width="9" style="125"/>
    <col min="534" max="535" width="10.25" style="125" bestFit="1" customWidth="1"/>
    <col min="536" max="768" width="9" style="125"/>
    <col min="769" max="769" width="9.125" style="125" customWidth="1"/>
    <col min="770" max="774" width="4.75" style="125" bestFit="1" customWidth="1"/>
    <col min="775" max="779" width="8.875" style="125" customWidth="1"/>
    <col min="780" max="781" width="8.5" style="125" customWidth="1"/>
    <col min="782" max="782" width="8.875" style="125" customWidth="1"/>
    <col min="783" max="784" width="0" style="125" hidden="1" customWidth="1"/>
    <col min="785" max="788" width="8.875" style="125" customWidth="1"/>
    <col min="789" max="789" width="9" style="125"/>
    <col min="790" max="791" width="10.25" style="125" bestFit="1" customWidth="1"/>
    <col min="792" max="1024" width="9" style="125"/>
    <col min="1025" max="1025" width="9.125" style="125" customWidth="1"/>
    <col min="1026" max="1030" width="4.75" style="125" bestFit="1" customWidth="1"/>
    <col min="1031" max="1035" width="8.875" style="125" customWidth="1"/>
    <col min="1036" max="1037" width="8.5" style="125" customWidth="1"/>
    <col min="1038" max="1038" width="8.875" style="125" customWidth="1"/>
    <col min="1039" max="1040" width="0" style="125" hidden="1" customWidth="1"/>
    <col min="1041" max="1044" width="8.875" style="125" customWidth="1"/>
    <col min="1045" max="1045" width="9" style="125"/>
    <col min="1046" max="1047" width="10.25" style="125" bestFit="1" customWidth="1"/>
    <col min="1048" max="1280" width="9" style="125"/>
    <col min="1281" max="1281" width="9.125" style="125" customWidth="1"/>
    <col min="1282" max="1286" width="4.75" style="125" bestFit="1" customWidth="1"/>
    <col min="1287" max="1291" width="8.875" style="125" customWidth="1"/>
    <col min="1292" max="1293" width="8.5" style="125" customWidth="1"/>
    <col min="1294" max="1294" width="8.875" style="125" customWidth="1"/>
    <col min="1295" max="1296" width="0" style="125" hidden="1" customWidth="1"/>
    <col min="1297" max="1300" width="8.875" style="125" customWidth="1"/>
    <col min="1301" max="1301" width="9" style="125"/>
    <col min="1302" max="1303" width="10.25" style="125" bestFit="1" customWidth="1"/>
    <col min="1304" max="1536" width="9" style="125"/>
    <col min="1537" max="1537" width="9.125" style="125" customWidth="1"/>
    <col min="1538" max="1542" width="4.75" style="125" bestFit="1" customWidth="1"/>
    <col min="1543" max="1547" width="8.875" style="125" customWidth="1"/>
    <col min="1548" max="1549" width="8.5" style="125" customWidth="1"/>
    <col min="1550" max="1550" width="8.875" style="125" customWidth="1"/>
    <col min="1551" max="1552" width="0" style="125" hidden="1" customWidth="1"/>
    <col min="1553" max="1556" width="8.875" style="125" customWidth="1"/>
    <col min="1557" max="1557" width="9" style="125"/>
    <col min="1558" max="1559" width="10.25" style="125" bestFit="1" customWidth="1"/>
    <col min="1560" max="1792" width="9" style="125"/>
    <col min="1793" max="1793" width="9.125" style="125" customWidth="1"/>
    <col min="1794" max="1798" width="4.75" style="125" bestFit="1" customWidth="1"/>
    <col min="1799" max="1803" width="8.875" style="125" customWidth="1"/>
    <col min="1804" max="1805" width="8.5" style="125" customWidth="1"/>
    <col min="1806" max="1806" width="8.875" style="125" customWidth="1"/>
    <col min="1807" max="1808" width="0" style="125" hidden="1" customWidth="1"/>
    <col min="1809" max="1812" width="8.875" style="125" customWidth="1"/>
    <col min="1813" max="1813" width="9" style="125"/>
    <col min="1814" max="1815" width="10.25" style="125" bestFit="1" customWidth="1"/>
    <col min="1816" max="2048" width="9" style="125"/>
    <col min="2049" max="2049" width="9.125" style="125" customWidth="1"/>
    <col min="2050" max="2054" width="4.75" style="125" bestFit="1" customWidth="1"/>
    <col min="2055" max="2059" width="8.875" style="125" customWidth="1"/>
    <col min="2060" max="2061" width="8.5" style="125" customWidth="1"/>
    <col min="2062" max="2062" width="8.875" style="125" customWidth="1"/>
    <col min="2063" max="2064" width="0" style="125" hidden="1" customWidth="1"/>
    <col min="2065" max="2068" width="8.875" style="125" customWidth="1"/>
    <col min="2069" max="2069" width="9" style="125"/>
    <col min="2070" max="2071" width="10.25" style="125" bestFit="1" customWidth="1"/>
    <col min="2072" max="2304" width="9" style="125"/>
    <col min="2305" max="2305" width="9.125" style="125" customWidth="1"/>
    <col min="2306" max="2310" width="4.75" style="125" bestFit="1" customWidth="1"/>
    <col min="2311" max="2315" width="8.875" style="125" customWidth="1"/>
    <col min="2316" max="2317" width="8.5" style="125" customWidth="1"/>
    <col min="2318" max="2318" width="8.875" style="125" customWidth="1"/>
    <col min="2319" max="2320" width="0" style="125" hidden="1" customWidth="1"/>
    <col min="2321" max="2324" width="8.875" style="125" customWidth="1"/>
    <col min="2325" max="2325" width="9" style="125"/>
    <col min="2326" max="2327" width="10.25" style="125" bestFit="1" customWidth="1"/>
    <col min="2328" max="2560" width="9" style="125"/>
    <col min="2561" max="2561" width="9.125" style="125" customWidth="1"/>
    <col min="2562" max="2566" width="4.75" style="125" bestFit="1" customWidth="1"/>
    <col min="2567" max="2571" width="8.875" style="125" customWidth="1"/>
    <col min="2572" max="2573" width="8.5" style="125" customWidth="1"/>
    <col min="2574" max="2574" width="8.875" style="125" customWidth="1"/>
    <col min="2575" max="2576" width="0" style="125" hidden="1" customWidth="1"/>
    <col min="2577" max="2580" width="8.875" style="125" customWidth="1"/>
    <col min="2581" max="2581" width="9" style="125"/>
    <col min="2582" max="2583" width="10.25" style="125" bestFit="1" customWidth="1"/>
    <col min="2584" max="2816" width="9" style="125"/>
    <col min="2817" max="2817" width="9.125" style="125" customWidth="1"/>
    <col min="2818" max="2822" width="4.75" style="125" bestFit="1" customWidth="1"/>
    <col min="2823" max="2827" width="8.875" style="125" customWidth="1"/>
    <col min="2828" max="2829" width="8.5" style="125" customWidth="1"/>
    <col min="2830" max="2830" width="8.875" style="125" customWidth="1"/>
    <col min="2831" max="2832" width="0" style="125" hidden="1" customWidth="1"/>
    <col min="2833" max="2836" width="8.875" style="125" customWidth="1"/>
    <col min="2837" max="2837" width="9" style="125"/>
    <col min="2838" max="2839" width="10.25" style="125" bestFit="1" customWidth="1"/>
    <col min="2840" max="3072" width="9" style="125"/>
    <col min="3073" max="3073" width="9.125" style="125" customWidth="1"/>
    <col min="3074" max="3078" width="4.75" style="125" bestFit="1" customWidth="1"/>
    <col min="3079" max="3083" width="8.875" style="125" customWidth="1"/>
    <col min="3084" max="3085" width="8.5" style="125" customWidth="1"/>
    <col min="3086" max="3086" width="8.875" style="125" customWidth="1"/>
    <col min="3087" max="3088" width="0" style="125" hidden="1" customWidth="1"/>
    <col min="3089" max="3092" width="8.875" style="125" customWidth="1"/>
    <col min="3093" max="3093" width="9" style="125"/>
    <col min="3094" max="3095" width="10.25" style="125" bestFit="1" customWidth="1"/>
    <col min="3096" max="3328" width="9" style="125"/>
    <col min="3329" max="3329" width="9.125" style="125" customWidth="1"/>
    <col min="3330" max="3334" width="4.75" style="125" bestFit="1" customWidth="1"/>
    <col min="3335" max="3339" width="8.875" style="125" customWidth="1"/>
    <col min="3340" max="3341" width="8.5" style="125" customWidth="1"/>
    <col min="3342" max="3342" width="8.875" style="125" customWidth="1"/>
    <col min="3343" max="3344" width="0" style="125" hidden="1" customWidth="1"/>
    <col min="3345" max="3348" width="8.875" style="125" customWidth="1"/>
    <col min="3349" max="3349" width="9" style="125"/>
    <col min="3350" max="3351" width="10.25" style="125" bestFit="1" customWidth="1"/>
    <col min="3352" max="3584" width="9" style="125"/>
    <col min="3585" max="3585" width="9.125" style="125" customWidth="1"/>
    <col min="3586" max="3590" width="4.75" style="125" bestFit="1" customWidth="1"/>
    <col min="3591" max="3595" width="8.875" style="125" customWidth="1"/>
    <col min="3596" max="3597" width="8.5" style="125" customWidth="1"/>
    <col min="3598" max="3598" width="8.875" style="125" customWidth="1"/>
    <col min="3599" max="3600" width="0" style="125" hidden="1" customWidth="1"/>
    <col min="3601" max="3604" width="8.875" style="125" customWidth="1"/>
    <col min="3605" max="3605" width="9" style="125"/>
    <col min="3606" max="3607" width="10.25" style="125" bestFit="1" customWidth="1"/>
    <col min="3608" max="3840" width="9" style="125"/>
    <col min="3841" max="3841" width="9.125" style="125" customWidth="1"/>
    <col min="3842" max="3846" width="4.75" style="125" bestFit="1" customWidth="1"/>
    <col min="3847" max="3851" width="8.875" style="125" customWidth="1"/>
    <col min="3852" max="3853" width="8.5" style="125" customWidth="1"/>
    <col min="3854" max="3854" width="8.875" style="125" customWidth="1"/>
    <col min="3855" max="3856" width="0" style="125" hidden="1" customWidth="1"/>
    <col min="3857" max="3860" width="8.875" style="125" customWidth="1"/>
    <col min="3861" max="3861" width="9" style="125"/>
    <col min="3862" max="3863" width="10.25" style="125" bestFit="1" customWidth="1"/>
    <col min="3864" max="4096" width="9" style="125"/>
    <col min="4097" max="4097" width="9.125" style="125" customWidth="1"/>
    <col min="4098" max="4102" width="4.75" style="125" bestFit="1" customWidth="1"/>
    <col min="4103" max="4107" width="8.875" style="125" customWidth="1"/>
    <col min="4108" max="4109" width="8.5" style="125" customWidth="1"/>
    <col min="4110" max="4110" width="8.875" style="125" customWidth="1"/>
    <col min="4111" max="4112" width="0" style="125" hidden="1" customWidth="1"/>
    <col min="4113" max="4116" width="8.875" style="125" customWidth="1"/>
    <col min="4117" max="4117" width="9" style="125"/>
    <col min="4118" max="4119" width="10.25" style="125" bestFit="1" customWidth="1"/>
    <col min="4120" max="4352" width="9" style="125"/>
    <col min="4353" max="4353" width="9.125" style="125" customWidth="1"/>
    <col min="4354" max="4358" width="4.75" style="125" bestFit="1" customWidth="1"/>
    <col min="4359" max="4363" width="8.875" style="125" customWidth="1"/>
    <col min="4364" max="4365" width="8.5" style="125" customWidth="1"/>
    <col min="4366" max="4366" width="8.875" style="125" customWidth="1"/>
    <col min="4367" max="4368" width="0" style="125" hidden="1" customWidth="1"/>
    <col min="4369" max="4372" width="8.875" style="125" customWidth="1"/>
    <col min="4373" max="4373" width="9" style="125"/>
    <col min="4374" max="4375" width="10.25" style="125" bestFit="1" customWidth="1"/>
    <col min="4376" max="4608" width="9" style="125"/>
    <col min="4609" max="4609" width="9.125" style="125" customWidth="1"/>
    <col min="4610" max="4614" width="4.75" style="125" bestFit="1" customWidth="1"/>
    <col min="4615" max="4619" width="8.875" style="125" customWidth="1"/>
    <col min="4620" max="4621" width="8.5" style="125" customWidth="1"/>
    <col min="4622" max="4622" width="8.875" style="125" customWidth="1"/>
    <col min="4623" max="4624" width="0" style="125" hidden="1" customWidth="1"/>
    <col min="4625" max="4628" width="8.875" style="125" customWidth="1"/>
    <col min="4629" max="4629" width="9" style="125"/>
    <col min="4630" max="4631" width="10.25" style="125" bestFit="1" customWidth="1"/>
    <col min="4632" max="4864" width="9" style="125"/>
    <col min="4865" max="4865" width="9.125" style="125" customWidth="1"/>
    <col min="4866" max="4870" width="4.75" style="125" bestFit="1" customWidth="1"/>
    <col min="4871" max="4875" width="8.875" style="125" customWidth="1"/>
    <col min="4876" max="4877" width="8.5" style="125" customWidth="1"/>
    <col min="4878" max="4878" width="8.875" style="125" customWidth="1"/>
    <col min="4879" max="4880" width="0" style="125" hidden="1" customWidth="1"/>
    <col min="4881" max="4884" width="8.875" style="125" customWidth="1"/>
    <col min="4885" max="4885" width="9" style="125"/>
    <col min="4886" max="4887" width="10.25" style="125" bestFit="1" customWidth="1"/>
    <col min="4888" max="5120" width="9" style="125"/>
    <col min="5121" max="5121" width="9.125" style="125" customWidth="1"/>
    <col min="5122" max="5126" width="4.75" style="125" bestFit="1" customWidth="1"/>
    <col min="5127" max="5131" width="8.875" style="125" customWidth="1"/>
    <col min="5132" max="5133" width="8.5" style="125" customWidth="1"/>
    <col min="5134" max="5134" width="8.875" style="125" customWidth="1"/>
    <col min="5135" max="5136" width="0" style="125" hidden="1" customWidth="1"/>
    <col min="5137" max="5140" width="8.875" style="125" customWidth="1"/>
    <col min="5141" max="5141" width="9" style="125"/>
    <col min="5142" max="5143" width="10.25" style="125" bestFit="1" customWidth="1"/>
    <col min="5144" max="5376" width="9" style="125"/>
    <col min="5377" max="5377" width="9.125" style="125" customWidth="1"/>
    <col min="5378" max="5382" width="4.75" style="125" bestFit="1" customWidth="1"/>
    <col min="5383" max="5387" width="8.875" style="125" customWidth="1"/>
    <col min="5388" max="5389" width="8.5" style="125" customWidth="1"/>
    <col min="5390" max="5390" width="8.875" style="125" customWidth="1"/>
    <col min="5391" max="5392" width="0" style="125" hidden="1" customWidth="1"/>
    <col min="5393" max="5396" width="8.875" style="125" customWidth="1"/>
    <col min="5397" max="5397" width="9" style="125"/>
    <col min="5398" max="5399" width="10.25" style="125" bestFit="1" customWidth="1"/>
    <col min="5400" max="5632" width="9" style="125"/>
    <col min="5633" max="5633" width="9.125" style="125" customWidth="1"/>
    <col min="5634" max="5638" width="4.75" style="125" bestFit="1" customWidth="1"/>
    <col min="5639" max="5643" width="8.875" style="125" customWidth="1"/>
    <col min="5644" max="5645" width="8.5" style="125" customWidth="1"/>
    <col min="5646" max="5646" width="8.875" style="125" customWidth="1"/>
    <col min="5647" max="5648" width="0" style="125" hidden="1" customWidth="1"/>
    <col min="5649" max="5652" width="8.875" style="125" customWidth="1"/>
    <col min="5653" max="5653" width="9" style="125"/>
    <col min="5654" max="5655" width="10.25" style="125" bestFit="1" customWidth="1"/>
    <col min="5656" max="5888" width="9" style="125"/>
    <col min="5889" max="5889" width="9.125" style="125" customWidth="1"/>
    <col min="5890" max="5894" width="4.75" style="125" bestFit="1" customWidth="1"/>
    <col min="5895" max="5899" width="8.875" style="125" customWidth="1"/>
    <col min="5900" max="5901" width="8.5" style="125" customWidth="1"/>
    <col min="5902" max="5902" width="8.875" style="125" customWidth="1"/>
    <col min="5903" max="5904" width="0" style="125" hidden="1" customWidth="1"/>
    <col min="5905" max="5908" width="8.875" style="125" customWidth="1"/>
    <col min="5909" max="5909" width="9" style="125"/>
    <col min="5910" max="5911" width="10.25" style="125" bestFit="1" customWidth="1"/>
    <col min="5912" max="6144" width="9" style="125"/>
    <col min="6145" max="6145" width="9.125" style="125" customWidth="1"/>
    <col min="6146" max="6150" width="4.75" style="125" bestFit="1" customWidth="1"/>
    <col min="6151" max="6155" width="8.875" style="125" customWidth="1"/>
    <col min="6156" max="6157" width="8.5" style="125" customWidth="1"/>
    <col min="6158" max="6158" width="8.875" style="125" customWidth="1"/>
    <col min="6159" max="6160" width="0" style="125" hidden="1" customWidth="1"/>
    <col min="6161" max="6164" width="8.875" style="125" customWidth="1"/>
    <col min="6165" max="6165" width="9" style="125"/>
    <col min="6166" max="6167" width="10.25" style="125" bestFit="1" customWidth="1"/>
    <col min="6168" max="6400" width="9" style="125"/>
    <col min="6401" max="6401" width="9.125" style="125" customWidth="1"/>
    <col min="6402" max="6406" width="4.75" style="125" bestFit="1" customWidth="1"/>
    <col min="6407" max="6411" width="8.875" style="125" customWidth="1"/>
    <col min="6412" max="6413" width="8.5" style="125" customWidth="1"/>
    <col min="6414" max="6414" width="8.875" style="125" customWidth="1"/>
    <col min="6415" max="6416" width="0" style="125" hidden="1" customWidth="1"/>
    <col min="6417" max="6420" width="8.875" style="125" customWidth="1"/>
    <col min="6421" max="6421" width="9" style="125"/>
    <col min="6422" max="6423" width="10.25" style="125" bestFit="1" customWidth="1"/>
    <col min="6424" max="6656" width="9" style="125"/>
    <col min="6657" max="6657" width="9.125" style="125" customWidth="1"/>
    <col min="6658" max="6662" width="4.75" style="125" bestFit="1" customWidth="1"/>
    <col min="6663" max="6667" width="8.875" style="125" customWidth="1"/>
    <col min="6668" max="6669" width="8.5" style="125" customWidth="1"/>
    <col min="6670" max="6670" width="8.875" style="125" customWidth="1"/>
    <col min="6671" max="6672" width="0" style="125" hidden="1" customWidth="1"/>
    <col min="6673" max="6676" width="8.875" style="125" customWidth="1"/>
    <col min="6677" max="6677" width="9" style="125"/>
    <col min="6678" max="6679" width="10.25" style="125" bestFit="1" customWidth="1"/>
    <col min="6680" max="6912" width="9" style="125"/>
    <col min="6913" max="6913" width="9.125" style="125" customWidth="1"/>
    <col min="6914" max="6918" width="4.75" style="125" bestFit="1" customWidth="1"/>
    <col min="6919" max="6923" width="8.875" style="125" customWidth="1"/>
    <col min="6924" max="6925" width="8.5" style="125" customWidth="1"/>
    <col min="6926" max="6926" width="8.875" style="125" customWidth="1"/>
    <col min="6927" max="6928" width="0" style="125" hidden="1" customWidth="1"/>
    <col min="6929" max="6932" width="8.875" style="125" customWidth="1"/>
    <col min="6933" max="6933" width="9" style="125"/>
    <col min="6934" max="6935" width="10.25" style="125" bestFit="1" customWidth="1"/>
    <col min="6936" max="7168" width="9" style="125"/>
    <col min="7169" max="7169" width="9.125" style="125" customWidth="1"/>
    <col min="7170" max="7174" width="4.75" style="125" bestFit="1" customWidth="1"/>
    <col min="7175" max="7179" width="8.875" style="125" customWidth="1"/>
    <col min="7180" max="7181" width="8.5" style="125" customWidth="1"/>
    <col min="7182" max="7182" width="8.875" style="125" customWidth="1"/>
    <col min="7183" max="7184" width="0" style="125" hidden="1" customWidth="1"/>
    <col min="7185" max="7188" width="8.875" style="125" customWidth="1"/>
    <col min="7189" max="7189" width="9" style="125"/>
    <col min="7190" max="7191" width="10.25" style="125" bestFit="1" customWidth="1"/>
    <col min="7192" max="7424" width="9" style="125"/>
    <col min="7425" max="7425" width="9.125" style="125" customWidth="1"/>
    <col min="7426" max="7430" width="4.75" style="125" bestFit="1" customWidth="1"/>
    <col min="7431" max="7435" width="8.875" style="125" customWidth="1"/>
    <col min="7436" max="7437" width="8.5" style="125" customWidth="1"/>
    <col min="7438" max="7438" width="8.875" style="125" customWidth="1"/>
    <col min="7439" max="7440" width="0" style="125" hidden="1" customWidth="1"/>
    <col min="7441" max="7444" width="8.875" style="125" customWidth="1"/>
    <col min="7445" max="7445" width="9" style="125"/>
    <col min="7446" max="7447" width="10.25" style="125" bestFit="1" customWidth="1"/>
    <col min="7448" max="7680" width="9" style="125"/>
    <col min="7681" max="7681" width="9.125" style="125" customWidth="1"/>
    <col min="7682" max="7686" width="4.75" style="125" bestFit="1" customWidth="1"/>
    <col min="7687" max="7691" width="8.875" style="125" customWidth="1"/>
    <col min="7692" max="7693" width="8.5" style="125" customWidth="1"/>
    <col min="7694" max="7694" width="8.875" style="125" customWidth="1"/>
    <col min="7695" max="7696" width="0" style="125" hidden="1" customWidth="1"/>
    <col min="7697" max="7700" width="8.875" style="125" customWidth="1"/>
    <col min="7701" max="7701" width="9" style="125"/>
    <col min="7702" max="7703" width="10.25" style="125" bestFit="1" customWidth="1"/>
    <col min="7704" max="7936" width="9" style="125"/>
    <col min="7937" max="7937" width="9.125" style="125" customWidth="1"/>
    <col min="7938" max="7942" width="4.75" style="125" bestFit="1" customWidth="1"/>
    <col min="7943" max="7947" width="8.875" style="125" customWidth="1"/>
    <col min="7948" max="7949" width="8.5" style="125" customWidth="1"/>
    <col min="7950" max="7950" width="8.875" style="125" customWidth="1"/>
    <col min="7951" max="7952" width="0" style="125" hidden="1" customWidth="1"/>
    <col min="7953" max="7956" width="8.875" style="125" customWidth="1"/>
    <col min="7957" max="7957" width="9" style="125"/>
    <col min="7958" max="7959" width="10.25" style="125" bestFit="1" customWidth="1"/>
    <col min="7960" max="8192" width="9" style="125"/>
    <col min="8193" max="8193" width="9.125" style="125" customWidth="1"/>
    <col min="8194" max="8198" width="4.75" style="125" bestFit="1" customWidth="1"/>
    <col min="8199" max="8203" width="8.875" style="125" customWidth="1"/>
    <col min="8204" max="8205" width="8.5" style="125" customWidth="1"/>
    <col min="8206" max="8206" width="8.875" style="125" customWidth="1"/>
    <col min="8207" max="8208" width="0" style="125" hidden="1" customWidth="1"/>
    <col min="8209" max="8212" width="8.875" style="125" customWidth="1"/>
    <col min="8213" max="8213" width="9" style="125"/>
    <col min="8214" max="8215" width="10.25" style="125" bestFit="1" customWidth="1"/>
    <col min="8216" max="8448" width="9" style="125"/>
    <col min="8449" max="8449" width="9.125" style="125" customWidth="1"/>
    <col min="8450" max="8454" width="4.75" style="125" bestFit="1" customWidth="1"/>
    <col min="8455" max="8459" width="8.875" style="125" customWidth="1"/>
    <col min="8460" max="8461" width="8.5" style="125" customWidth="1"/>
    <col min="8462" max="8462" width="8.875" style="125" customWidth="1"/>
    <col min="8463" max="8464" width="0" style="125" hidden="1" customWidth="1"/>
    <col min="8465" max="8468" width="8.875" style="125" customWidth="1"/>
    <col min="8469" max="8469" width="9" style="125"/>
    <col min="8470" max="8471" width="10.25" style="125" bestFit="1" customWidth="1"/>
    <col min="8472" max="8704" width="9" style="125"/>
    <col min="8705" max="8705" width="9.125" style="125" customWidth="1"/>
    <col min="8706" max="8710" width="4.75" style="125" bestFit="1" customWidth="1"/>
    <col min="8711" max="8715" width="8.875" style="125" customWidth="1"/>
    <col min="8716" max="8717" width="8.5" style="125" customWidth="1"/>
    <col min="8718" max="8718" width="8.875" style="125" customWidth="1"/>
    <col min="8719" max="8720" width="0" style="125" hidden="1" customWidth="1"/>
    <col min="8721" max="8724" width="8.875" style="125" customWidth="1"/>
    <col min="8725" max="8725" width="9" style="125"/>
    <col min="8726" max="8727" width="10.25" style="125" bestFit="1" customWidth="1"/>
    <col min="8728" max="8960" width="9" style="125"/>
    <col min="8961" max="8961" width="9.125" style="125" customWidth="1"/>
    <col min="8962" max="8966" width="4.75" style="125" bestFit="1" customWidth="1"/>
    <col min="8967" max="8971" width="8.875" style="125" customWidth="1"/>
    <col min="8972" max="8973" width="8.5" style="125" customWidth="1"/>
    <col min="8974" max="8974" width="8.875" style="125" customWidth="1"/>
    <col min="8975" max="8976" width="0" style="125" hidden="1" customWidth="1"/>
    <col min="8977" max="8980" width="8.875" style="125" customWidth="1"/>
    <col min="8981" max="8981" width="9" style="125"/>
    <col min="8982" max="8983" width="10.25" style="125" bestFit="1" customWidth="1"/>
    <col min="8984" max="9216" width="9" style="125"/>
    <col min="9217" max="9217" width="9.125" style="125" customWidth="1"/>
    <col min="9218" max="9222" width="4.75" style="125" bestFit="1" customWidth="1"/>
    <col min="9223" max="9227" width="8.875" style="125" customWidth="1"/>
    <col min="9228" max="9229" width="8.5" style="125" customWidth="1"/>
    <col min="9230" max="9230" width="8.875" style="125" customWidth="1"/>
    <col min="9231" max="9232" width="0" style="125" hidden="1" customWidth="1"/>
    <col min="9233" max="9236" width="8.875" style="125" customWidth="1"/>
    <col min="9237" max="9237" width="9" style="125"/>
    <col min="9238" max="9239" width="10.25" style="125" bestFit="1" customWidth="1"/>
    <col min="9240" max="9472" width="9" style="125"/>
    <col min="9473" max="9473" width="9.125" style="125" customWidth="1"/>
    <col min="9474" max="9478" width="4.75" style="125" bestFit="1" customWidth="1"/>
    <col min="9479" max="9483" width="8.875" style="125" customWidth="1"/>
    <col min="9484" max="9485" width="8.5" style="125" customWidth="1"/>
    <col min="9486" max="9486" width="8.875" style="125" customWidth="1"/>
    <col min="9487" max="9488" width="0" style="125" hidden="1" customWidth="1"/>
    <col min="9489" max="9492" width="8.875" style="125" customWidth="1"/>
    <col min="9493" max="9493" width="9" style="125"/>
    <col min="9494" max="9495" width="10.25" style="125" bestFit="1" customWidth="1"/>
    <col min="9496" max="9728" width="9" style="125"/>
    <col min="9729" max="9729" width="9.125" style="125" customWidth="1"/>
    <col min="9730" max="9734" width="4.75" style="125" bestFit="1" customWidth="1"/>
    <col min="9735" max="9739" width="8.875" style="125" customWidth="1"/>
    <col min="9740" max="9741" width="8.5" style="125" customWidth="1"/>
    <col min="9742" max="9742" width="8.875" style="125" customWidth="1"/>
    <col min="9743" max="9744" width="0" style="125" hidden="1" customWidth="1"/>
    <col min="9745" max="9748" width="8.875" style="125" customWidth="1"/>
    <col min="9749" max="9749" width="9" style="125"/>
    <col min="9750" max="9751" width="10.25" style="125" bestFit="1" customWidth="1"/>
    <col min="9752" max="9984" width="9" style="125"/>
    <col min="9985" max="9985" width="9.125" style="125" customWidth="1"/>
    <col min="9986" max="9990" width="4.75" style="125" bestFit="1" customWidth="1"/>
    <col min="9991" max="9995" width="8.875" style="125" customWidth="1"/>
    <col min="9996" max="9997" width="8.5" style="125" customWidth="1"/>
    <col min="9998" max="9998" width="8.875" style="125" customWidth="1"/>
    <col min="9999" max="10000" width="0" style="125" hidden="1" customWidth="1"/>
    <col min="10001" max="10004" width="8.875" style="125" customWidth="1"/>
    <col min="10005" max="10005" width="9" style="125"/>
    <col min="10006" max="10007" width="10.25" style="125" bestFit="1" customWidth="1"/>
    <col min="10008" max="10240" width="9" style="125"/>
    <col min="10241" max="10241" width="9.125" style="125" customWidth="1"/>
    <col min="10242" max="10246" width="4.75" style="125" bestFit="1" customWidth="1"/>
    <col min="10247" max="10251" width="8.875" style="125" customWidth="1"/>
    <col min="10252" max="10253" width="8.5" style="125" customWidth="1"/>
    <col min="10254" max="10254" width="8.875" style="125" customWidth="1"/>
    <col min="10255" max="10256" width="0" style="125" hidden="1" customWidth="1"/>
    <col min="10257" max="10260" width="8.875" style="125" customWidth="1"/>
    <col min="10261" max="10261" width="9" style="125"/>
    <col min="10262" max="10263" width="10.25" style="125" bestFit="1" customWidth="1"/>
    <col min="10264" max="10496" width="9" style="125"/>
    <col min="10497" max="10497" width="9.125" style="125" customWidth="1"/>
    <col min="10498" max="10502" width="4.75" style="125" bestFit="1" customWidth="1"/>
    <col min="10503" max="10507" width="8.875" style="125" customWidth="1"/>
    <col min="10508" max="10509" width="8.5" style="125" customWidth="1"/>
    <col min="10510" max="10510" width="8.875" style="125" customWidth="1"/>
    <col min="10511" max="10512" width="0" style="125" hidden="1" customWidth="1"/>
    <col min="10513" max="10516" width="8.875" style="125" customWidth="1"/>
    <col min="10517" max="10517" width="9" style="125"/>
    <col min="10518" max="10519" width="10.25" style="125" bestFit="1" customWidth="1"/>
    <col min="10520" max="10752" width="9" style="125"/>
    <col min="10753" max="10753" width="9.125" style="125" customWidth="1"/>
    <col min="10754" max="10758" width="4.75" style="125" bestFit="1" customWidth="1"/>
    <col min="10759" max="10763" width="8.875" style="125" customWidth="1"/>
    <col min="10764" max="10765" width="8.5" style="125" customWidth="1"/>
    <col min="10766" max="10766" width="8.875" style="125" customWidth="1"/>
    <col min="10767" max="10768" width="0" style="125" hidden="1" customWidth="1"/>
    <col min="10769" max="10772" width="8.875" style="125" customWidth="1"/>
    <col min="10773" max="10773" width="9" style="125"/>
    <col min="10774" max="10775" width="10.25" style="125" bestFit="1" customWidth="1"/>
    <col min="10776" max="11008" width="9" style="125"/>
    <col min="11009" max="11009" width="9.125" style="125" customWidth="1"/>
    <col min="11010" max="11014" width="4.75" style="125" bestFit="1" customWidth="1"/>
    <col min="11015" max="11019" width="8.875" style="125" customWidth="1"/>
    <col min="11020" max="11021" width="8.5" style="125" customWidth="1"/>
    <col min="11022" max="11022" width="8.875" style="125" customWidth="1"/>
    <col min="11023" max="11024" width="0" style="125" hidden="1" customWidth="1"/>
    <col min="11025" max="11028" width="8.875" style="125" customWidth="1"/>
    <col min="11029" max="11029" width="9" style="125"/>
    <col min="11030" max="11031" width="10.25" style="125" bestFit="1" customWidth="1"/>
    <col min="11032" max="11264" width="9" style="125"/>
    <col min="11265" max="11265" width="9.125" style="125" customWidth="1"/>
    <col min="11266" max="11270" width="4.75" style="125" bestFit="1" customWidth="1"/>
    <col min="11271" max="11275" width="8.875" style="125" customWidth="1"/>
    <col min="11276" max="11277" width="8.5" style="125" customWidth="1"/>
    <col min="11278" max="11278" width="8.875" style="125" customWidth="1"/>
    <col min="11279" max="11280" width="0" style="125" hidden="1" customWidth="1"/>
    <col min="11281" max="11284" width="8.875" style="125" customWidth="1"/>
    <col min="11285" max="11285" width="9" style="125"/>
    <col min="11286" max="11287" width="10.25" style="125" bestFit="1" customWidth="1"/>
    <col min="11288" max="11520" width="9" style="125"/>
    <col min="11521" max="11521" width="9.125" style="125" customWidth="1"/>
    <col min="11522" max="11526" width="4.75" style="125" bestFit="1" customWidth="1"/>
    <col min="11527" max="11531" width="8.875" style="125" customWidth="1"/>
    <col min="11532" max="11533" width="8.5" style="125" customWidth="1"/>
    <col min="11534" max="11534" width="8.875" style="125" customWidth="1"/>
    <col min="11535" max="11536" width="0" style="125" hidden="1" customWidth="1"/>
    <col min="11537" max="11540" width="8.875" style="125" customWidth="1"/>
    <col min="11541" max="11541" width="9" style="125"/>
    <col min="11542" max="11543" width="10.25" style="125" bestFit="1" customWidth="1"/>
    <col min="11544" max="11776" width="9" style="125"/>
    <col min="11777" max="11777" width="9.125" style="125" customWidth="1"/>
    <col min="11778" max="11782" width="4.75" style="125" bestFit="1" customWidth="1"/>
    <col min="11783" max="11787" width="8.875" style="125" customWidth="1"/>
    <col min="11788" max="11789" width="8.5" style="125" customWidth="1"/>
    <col min="11790" max="11790" width="8.875" style="125" customWidth="1"/>
    <col min="11791" max="11792" width="0" style="125" hidden="1" customWidth="1"/>
    <col min="11793" max="11796" width="8.875" style="125" customWidth="1"/>
    <col min="11797" max="11797" width="9" style="125"/>
    <col min="11798" max="11799" width="10.25" style="125" bestFit="1" customWidth="1"/>
    <col min="11800" max="12032" width="9" style="125"/>
    <col min="12033" max="12033" width="9.125" style="125" customWidth="1"/>
    <col min="12034" max="12038" width="4.75" style="125" bestFit="1" customWidth="1"/>
    <col min="12039" max="12043" width="8.875" style="125" customWidth="1"/>
    <col min="12044" max="12045" width="8.5" style="125" customWidth="1"/>
    <col min="12046" max="12046" width="8.875" style="125" customWidth="1"/>
    <col min="12047" max="12048" width="0" style="125" hidden="1" customWidth="1"/>
    <col min="12049" max="12052" width="8.875" style="125" customWidth="1"/>
    <col min="12053" max="12053" width="9" style="125"/>
    <col min="12054" max="12055" width="10.25" style="125" bestFit="1" customWidth="1"/>
    <col min="12056" max="12288" width="9" style="125"/>
    <col min="12289" max="12289" width="9.125" style="125" customWidth="1"/>
    <col min="12290" max="12294" width="4.75" style="125" bestFit="1" customWidth="1"/>
    <col min="12295" max="12299" width="8.875" style="125" customWidth="1"/>
    <col min="12300" max="12301" width="8.5" style="125" customWidth="1"/>
    <col min="12302" max="12302" width="8.875" style="125" customWidth="1"/>
    <col min="12303" max="12304" width="0" style="125" hidden="1" customWidth="1"/>
    <col min="12305" max="12308" width="8.875" style="125" customWidth="1"/>
    <col min="12309" max="12309" width="9" style="125"/>
    <col min="12310" max="12311" width="10.25" style="125" bestFit="1" customWidth="1"/>
    <col min="12312" max="12544" width="9" style="125"/>
    <col min="12545" max="12545" width="9.125" style="125" customWidth="1"/>
    <col min="12546" max="12550" width="4.75" style="125" bestFit="1" customWidth="1"/>
    <col min="12551" max="12555" width="8.875" style="125" customWidth="1"/>
    <col min="12556" max="12557" width="8.5" style="125" customWidth="1"/>
    <col min="12558" max="12558" width="8.875" style="125" customWidth="1"/>
    <col min="12559" max="12560" width="0" style="125" hidden="1" customWidth="1"/>
    <col min="12561" max="12564" width="8.875" style="125" customWidth="1"/>
    <col min="12565" max="12565" width="9" style="125"/>
    <col min="12566" max="12567" width="10.25" style="125" bestFit="1" customWidth="1"/>
    <col min="12568" max="12800" width="9" style="125"/>
    <col min="12801" max="12801" width="9.125" style="125" customWidth="1"/>
    <col min="12802" max="12806" width="4.75" style="125" bestFit="1" customWidth="1"/>
    <col min="12807" max="12811" width="8.875" style="125" customWidth="1"/>
    <col min="12812" max="12813" width="8.5" style="125" customWidth="1"/>
    <col min="12814" max="12814" width="8.875" style="125" customWidth="1"/>
    <col min="12815" max="12816" width="0" style="125" hidden="1" customWidth="1"/>
    <col min="12817" max="12820" width="8.875" style="125" customWidth="1"/>
    <col min="12821" max="12821" width="9" style="125"/>
    <col min="12822" max="12823" width="10.25" style="125" bestFit="1" customWidth="1"/>
    <col min="12824" max="13056" width="9" style="125"/>
    <col min="13057" max="13057" width="9.125" style="125" customWidth="1"/>
    <col min="13058" max="13062" width="4.75" style="125" bestFit="1" customWidth="1"/>
    <col min="13063" max="13067" width="8.875" style="125" customWidth="1"/>
    <col min="13068" max="13069" width="8.5" style="125" customWidth="1"/>
    <col min="13070" max="13070" width="8.875" style="125" customWidth="1"/>
    <col min="13071" max="13072" width="0" style="125" hidden="1" customWidth="1"/>
    <col min="13073" max="13076" width="8.875" style="125" customWidth="1"/>
    <col min="13077" max="13077" width="9" style="125"/>
    <col min="13078" max="13079" width="10.25" style="125" bestFit="1" customWidth="1"/>
    <col min="13080" max="13312" width="9" style="125"/>
    <col min="13313" max="13313" width="9.125" style="125" customWidth="1"/>
    <col min="13314" max="13318" width="4.75" style="125" bestFit="1" customWidth="1"/>
    <col min="13319" max="13323" width="8.875" style="125" customWidth="1"/>
    <col min="13324" max="13325" width="8.5" style="125" customWidth="1"/>
    <col min="13326" max="13326" width="8.875" style="125" customWidth="1"/>
    <col min="13327" max="13328" width="0" style="125" hidden="1" customWidth="1"/>
    <col min="13329" max="13332" width="8.875" style="125" customWidth="1"/>
    <col min="13333" max="13333" width="9" style="125"/>
    <col min="13334" max="13335" width="10.25" style="125" bestFit="1" customWidth="1"/>
    <col min="13336" max="13568" width="9" style="125"/>
    <col min="13569" max="13569" width="9.125" style="125" customWidth="1"/>
    <col min="13570" max="13574" width="4.75" style="125" bestFit="1" customWidth="1"/>
    <col min="13575" max="13579" width="8.875" style="125" customWidth="1"/>
    <col min="13580" max="13581" width="8.5" style="125" customWidth="1"/>
    <col min="13582" max="13582" width="8.875" style="125" customWidth="1"/>
    <col min="13583" max="13584" width="0" style="125" hidden="1" customWidth="1"/>
    <col min="13585" max="13588" width="8.875" style="125" customWidth="1"/>
    <col min="13589" max="13589" width="9" style="125"/>
    <col min="13590" max="13591" width="10.25" style="125" bestFit="1" customWidth="1"/>
    <col min="13592" max="13824" width="9" style="125"/>
    <col min="13825" max="13825" width="9.125" style="125" customWidth="1"/>
    <col min="13826" max="13830" width="4.75" style="125" bestFit="1" customWidth="1"/>
    <col min="13831" max="13835" width="8.875" style="125" customWidth="1"/>
    <col min="13836" max="13837" width="8.5" style="125" customWidth="1"/>
    <col min="13838" max="13838" width="8.875" style="125" customWidth="1"/>
    <col min="13839" max="13840" width="0" style="125" hidden="1" customWidth="1"/>
    <col min="13841" max="13844" width="8.875" style="125" customWidth="1"/>
    <col min="13845" max="13845" width="9" style="125"/>
    <col min="13846" max="13847" width="10.25" style="125" bestFit="1" customWidth="1"/>
    <col min="13848" max="14080" width="9" style="125"/>
    <col min="14081" max="14081" width="9.125" style="125" customWidth="1"/>
    <col min="14082" max="14086" width="4.75" style="125" bestFit="1" customWidth="1"/>
    <col min="14087" max="14091" width="8.875" style="125" customWidth="1"/>
    <col min="14092" max="14093" width="8.5" style="125" customWidth="1"/>
    <col min="14094" max="14094" width="8.875" style="125" customWidth="1"/>
    <col min="14095" max="14096" width="0" style="125" hidden="1" customWidth="1"/>
    <col min="14097" max="14100" width="8.875" style="125" customWidth="1"/>
    <col min="14101" max="14101" width="9" style="125"/>
    <col min="14102" max="14103" width="10.25" style="125" bestFit="1" customWidth="1"/>
    <col min="14104" max="14336" width="9" style="125"/>
    <col min="14337" max="14337" width="9.125" style="125" customWidth="1"/>
    <col min="14338" max="14342" width="4.75" style="125" bestFit="1" customWidth="1"/>
    <col min="14343" max="14347" width="8.875" style="125" customWidth="1"/>
    <col min="14348" max="14349" width="8.5" style="125" customWidth="1"/>
    <col min="14350" max="14350" width="8.875" style="125" customWidth="1"/>
    <col min="14351" max="14352" width="0" style="125" hidden="1" customWidth="1"/>
    <col min="14353" max="14356" width="8.875" style="125" customWidth="1"/>
    <col min="14357" max="14357" width="9" style="125"/>
    <col min="14358" max="14359" width="10.25" style="125" bestFit="1" customWidth="1"/>
    <col min="14360" max="14592" width="9" style="125"/>
    <col min="14593" max="14593" width="9.125" style="125" customWidth="1"/>
    <col min="14594" max="14598" width="4.75" style="125" bestFit="1" customWidth="1"/>
    <col min="14599" max="14603" width="8.875" style="125" customWidth="1"/>
    <col min="14604" max="14605" width="8.5" style="125" customWidth="1"/>
    <col min="14606" max="14606" width="8.875" style="125" customWidth="1"/>
    <col min="14607" max="14608" width="0" style="125" hidden="1" customWidth="1"/>
    <col min="14609" max="14612" width="8.875" style="125" customWidth="1"/>
    <col min="14613" max="14613" width="9" style="125"/>
    <col min="14614" max="14615" width="10.25" style="125" bestFit="1" customWidth="1"/>
    <col min="14616" max="14848" width="9" style="125"/>
    <col min="14849" max="14849" width="9.125" style="125" customWidth="1"/>
    <col min="14850" max="14854" width="4.75" style="125" bestFit="1" customWidth="1"/>
    <col min="14855" max="14859" width="8.875" style="125" customWidth="1"/>
    <col min="14860" max="14861" width="8.5" style="125" customWidth="1"/>
    <col min="14862" max="14862" width="8.875" style="125" customWidth="1"/>
    <col min="14863" max="14864" width="0" style="125" hidden="1" customWidth="1"/>
    <col min="14865" max="14868" width="8.875" style="125" customWidth="1"/>
    <col min="14869" max="14869" width="9" style="125"/>
    <col min="14870" max="14871" width="10.25" style="125" bestFit="1" customWidth="1"/>
    <col min="14872" max="15104" width="9" style="125"/>
    <col min="15105" max="15105" width="9.125" style="125" customWidth="1"/>
    <col min="15106" max="15110" width="4.75" style="125" bestFit="1" customWidth="1"/>
    <col min="15111" max="15115" width="8.875" style="125" customWidth="1"/>
    <col min="15116" max="15117" width="8.5" style="125" customWidth="1"/>
    <col min="15118" max="15118" width="8.875" style="125" customWidth="1"/>
    <col min="15119" max="15120" width="0" style="125" hidden="1" customWidth="1"/>
    <col min="15121" max="15124" width="8.875" style="125" customWidth="1"/>
    <col min="15125" max="15125" width="9" style="125"/>
    <col min="15126" max="15127" width="10.25" style="125" bestFit="1" customWidth="1"/>
    <col min="15128" max="15360" width="9" style="125"/>
    <col min="15361" max="15361" width="9.125" style="125" customWidth="1"/>
    <col min="15362" max="15366" width="4.75" style="125" bestFit="1" customWidth="1"/>
    <col min="15367" max="15371" width="8.875" style="125" customWidth="1"/>
    <col min="15372" max="15373" width="8.5" style="125" customWidth="1"/>
    <col min="15374" max="15374" width="8.875" style="125" customWidth="1"/>
    <col min="15375" max="15376" width="0" style="125" hidden="1" customWidth="1"/>
    <col min="15377" max="15380" width="8.875" style="125" customWidth="1"/>
    <col min="15381" max="15381" width="9" style="125"/>
    <col min="15382" max="15383" width="10.25" style="125" bestFit="1" customWidth="1"/>
    <col min="15384" max="15616" width="9" style="125"/>
    <col min="15617" max="15617" width="9.125" style="125" customWidth="1"/>
    <col min="15618" max="15622" width="4.75" style="125" bestFit="1" customWidth="1"/>
    <col min="15623" max="15627" width="8.875" style="125" customWidth="1"/>
    <col min="15628" max="15629" width="8.5" style="125" customWidth="1"/>
    <col min="15630" max="15630" width="8.875" style="125" customWidth="1"/>
    <col min="15631" max="15632" width="0" style="125" hidden="1" customWidth="1"/>
    <col min="15633" max="15636" width="8.875" style="125" customWidth="1"/>
    <col min="15637" max="15637" width="9" style="125"/>
    <col min="15638" max="15639" width="10.25" style="125" bestFit="1" customWidth="1"/>
    <col min="15640" max="15872" width="9" style="125"/>
    <col min="15873" max="15873" width="9.125" style="125" customWidth="1"/>
    <col min="15874" max="15878" width="4.75" style="125" bestFit="1" customWidth="1"/>
    <col min="15879" max="15883" width="8.875" style="125" customWidth="1"/>
    <col min="15884" max="15885" width="8.5" style="125" customWidth="1"/>
    <col min="15886" max="15886" width="8.875" style="125" customWidth="1"/>
    <col min="15887" max="15888" width="0" style="125" hidden="1" customWidth="1"/>
    <col min="15889" max="15892" width="8.875" style="125" customWidth="1"/>
    <col min="15893" max="15893" width="9" style="125"/>
    <col min="15894" max="15895" width="10.25" style="125" bestFit="1" customWidth="1"/>
    <col min="15896" max="16128" width="9" style="125"/>
    <col min="16129" max="16129" width="9.125" style="125" customWidth="1"/>
    <col min="16130" max="16134" width="4.75" style="125" bestFit="1" customWidth="1"/>
    <col min="16135" max="16139" width="8.875" style="125" customWidth="1"/>
    <col min="16140" max="16141" width="8.5" style="125" customWidth="1"/>
    <col min="16142" max="16142" width="8.875" style="125" customWidth="1"/>
    <col min="16143" max="16144" width="0" style="125" hidden="1" customWidth="1"/>
    <col min="16145" max="16148" width="8.875" style="125" customWidth="1"/>
    <col min="16149" max="16149" width="9" style="125"/>
    <col min="16150" max="16151" width="10.25" style="125" bestFit="1" customWidth="1"/>
    <col min="16152" max="16384" width="9" style="125"/>
  </cols>
  <sheetData>
    <row r="1" spans="1:23" ht="16.5">
      <c r="A1" s="125" t="s">
        <v>688</v>
      </c>
    </row>
    <row r="2" spans="1:23" ht="25.5" customHeight="1">
      <c r="A2" s="126" t="s">
        <v>689</v>
      </c>
      <c r="B2" s="1264" t="s">
        <v>385</v>
      </c>
      <c r="C2" s="1265"/>
      <c r="D2" s="1265"/>
      <c r="E2" s="1265"/>
      <c r="F2" s="1265"/>
      <c r="V2" s="127" t="s">
        <v>690</v>
      </c>
    </row>
    <row r="3" spans="1:23" ht="25.5" customHeight="1">
      <c r="A3" s="128" t="s">
        <v>691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Q3" s="130" t="s">
        <v>692</v>
      </c>
      <c r="R3" s="1266"/>
      <c r="S3" s="1266"/>
      <c r="T3" s="1266"/>
      <c r="V3" s="125" t="s">
        <v>693</v>
      </c>
    </row>
    <row r="4" spans="1:23" ht="6.75" customHeight="1"/>
    <row r="5" spans="1:23" ht="25.5" customHeight="1">
      <c r="A5" s="1254" t="s">
        <v>694</v>
      </c>
      <c r="B5" s="1254"/>
      <c r="C5" s="1251" t="s">
        <v>695</v>
      </c>
      <c r="D5" s="1254"/>
      <c r="E5" s="1267" t="s">
        <v>696</v>
      </c>
      <c r="F5" s="1254"/>
      <c r="G5" s="131" t="s">
        <v>697</v>
      </c>
      <c r="H5" s="131" t="s">
        <v>698</v>
      </c>
      <c r="I5" s="1251" t="s">
        <v>699</v>
      </c>
      <c r="J5" s="1251"/>
      <c r="K5" s="1251"/>
      <c r="L5" s="1251"/>
      <c r="M5" s="1251"/>
      <c r="N5" s="1251"/>
      <c r="Q5" s="1254" t="s">
        <v>700</v>
      </c>
      <c r="R5" s="1254"/>
      <c r="S5" s="1254"/>
      <c r="T5" s="1254"/>
      <c r="W5" s="125" t="s">
        <v>701</v>
      </c>
    </row>
    <row r="6" spans="1:23" ht="25.5" customHeight="1">
      <c r="A6" s="1259" t="s">
        <v>702</v>
      </c>
      <c r="B6" s="1260"/>
      <c r="C6" s="1261">
        <v>26961</v>
      </c>
      <c r="D6" s="1261"/>
      <c r="E6" s="1260"/>
      <c r="F6" s="1260"/>
      <c r="G6" s="1262">
        <v>44197</v>
      </c>
      <c r="H6" s="1259" t="s">
        <v>703</v>
      </c>
      <c r="I6" s="131" t="s">
        <v>704</v>
      </c>
      <c r="J6" s="131" t="s">
        <v>705</v>
      </c>
      <c r="K6" s="1251" t="s">
        <v>706</v>
      </c>
      <c r="L6" s="1251"/>
      <c r="M6" s="1251"/>
      <c r="N6" s="1251"/>
      <c r="O6" s="132"/>
      <c r="P6" s="132"/>
      <c r="Q6" s="133" t="s">
        <v>707</v>
      </c>
      <c r="R6" s="1254" t="s">
        <v>708</v>
      </c>
      <c r="S6" s="1254"/>
      <c r="T6" s="131" t="s">
        <v>709</v>
      </c>
      <c r="V6" s="131" t="s">
        <v>710</v>
      </c>
      <c r="W6" s="131" t="s">
        <v>711</v>
      </c>
    </row>
    <row r="7" spans="1:23" ht="25.5" customHeight="1">
      <c r="A7" s="1260"/>
      <c r="B7" s="1260"/>
      <c r="C7" s="1261"/>
      <c r="D7" s="1261"/>
      <c r="E7" s="1260"/>
      <c r="F7" s="1260"/>
      <c r="G7" s="1263"/>
      <c r="H7" s="1260"/>
      <c r="I7" s="134"/>
      <c r="J7" s="134"/>
      <c r="K7" s="1255">
        <f>I7*W7</f>
        <v>0</v>
      </c>
      <c r="L7" s="1255"/>
      <c r="M7" s="1255"/>
      <c r="N7" s="1255"/>
      <c r="O7" s="135"/>
      <c r="P7" s="135"/>
      <c r="Q7" s="136">
        <v>1</v>
      </c>
      <c r="R7" s="1255">
        <v>100000</v>
      </c>
      <c r="S7" s="1255"/>
      <c r="T7" s="137"/>
      <c r="V7" s="138">
        <v>8</v>
      </c>
      <c r="W7" s="138">
        <v>209</v>
      </c>
    </row>
    <row r="8" spans="1:23" ht="4.5" customHeight="1"/>
    <row r="9" spans="1:23" ht="24" customHeight="1">
      <c r="A9" s="1256" t="s">
        <v>712</v>
      </c>
      <c r="B9" s="1252" t="s">
        <v>713</v>
      </c>
      <c r="C9" s="1252" t="s">
        <v>714</v>
      </c>
      <c r="D9" s="1257" t="s">
        <v>715</v>
      </c>
      <c r="E9" s="1257" t="s">
        <v>716</v>
      </c>
      <c r="F9" s="1257" t="s">
        <v>717</v>
      </c>
      <c r="G9" s="1251" t="s">
        <v>718</v>
      </c>
      <c r="H9" s="1254" t="s">
        <v>719</v>
      </c>
      <c r="I9" s="1254"/>
      <c r="J9" s="1254"/>
      <c r="K9" s="1254"/>
      <c r="L9" s="1254"/>
      <c r="M9" s="1254"/>
      <c r="N9" s="1251" t="s">
        <v>720</v>
      </c>
      <c r="O9" s="1254" t="s">
        <v>721</v>
      </c>
      <c r="P9" s="1254"/>
      <c r="Q9" s="1251" t="s">
        <v>722</v>
      </c>
      <c r="R9" s="1251" t="s">
        <v>723</v>
      </c>
      <c r="S9" s="1251" t="s">
        <v>724</v>
      </c>
      <c r="T9" s="1251" t="s">
        <v>725</v>
      </c>
    </row>
    <row r="10" spans="1:23" ht="24" customHeight="1">
      <c r="A10" s="1256"/>
      <c r="B10" s="1252"/>
      <c r="C10" s="1252"/>
      <c r="D10" s="1258"/>
      <c r="E10" s="1258"/>
      <c r="F10" s="1258"/>
      <c r="G10" s="1251"/>
      <c r="H10" s="1252" t="s">
        <v>726</v>
      </c>
      <c r="I10" s="1252" t="s">
        <v>727</v>
      </c>
      <c r="J10" s="1252" t="s">
        <v>728</v>
      </c>
      <c r="K10" s="1252" t="s">
        <v>729</v>
      </c>
      <c r="L10" s="1253" t="s">
        <v>730</v>
      </c>
      <c r="M10" s="1253" t="s">
        <v>731</v>
      </c>
      <c r="N10" s="1251"/>
      <c r="O10" s="1254" t="s">
        <v>732</v>
      </c>
      <c r="P10" s="1254"/>
      <c r="Q10" s="1251"/>
      <c r="R10" s="1251"/>
      <c r="S10" s="1251"/>
      <c r="T10" s="1251"/>
      <c r="V10" s="139" t="s">
        <v>733</v>
      </c>
    </row>
    <row r="11" spans="1:23" s="132" customFormat="1" ht="27.75" customHeight="1">
      <c r="A11" s="1256"/>
      <c r="B11" s="1252"/>
      <c r="C11" s="1252"/>
      <c r="D11" s="140"/>
      <c r="E11" s="140"/>
      <c r="F11" s="141" t="s">
        <v>734</v>
      </c>
      <c r="G11" s="1251"/>
      <c r="H11" s="1252"/>
      <c r="I11" s="1252"/>
      <c r="J11" s="1252" t="s">
        <v>728</v>
      </c>
      <c r="K11" s="1252"/>
      <c r="L11" s="1253"/>
      <c r="M11" s="1253"/>
      <c r="N11" s="1251"/>
      <c r="O11" s="131" t="s">
        <v>735</v>
      </c>
      <c r="P11" s="133" t="s">
        <v>736</v>
      </c>
      <c r="Q11" s="1251"/>
      <c r="R11" s="1251"/>
      <c r="S11" s="1251"/>
      <c r="T11" s="1251"/>
      <c r="V11" s="142" t="s">
        <v>737</v>
      </c>
    </row>
    <row r="12" spans="1:23" ht="25.5" customHeight="1">
      <c r="A12" s="143">
        <v>44409</v>
      </c>
      <c r="B12" s="144">
        <v>22</v>
      </c>
      <c r="C12" s="145"/>
      <c r="D12" s="144"/>
      <c r="E12" s="144"/>
      <c r="F12" s="144"/>
      <c r="G12" s="146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V12" s="125" t="s">
        <v>738</v>
      </c>
    </row>
    <row r="13" spans="1:23" ht="25.5" customHeight="1">
      <c r="A13" s="143"/>
      <c r="B13" s="144"/>
      <c r="C13" s="144"/>
      <c r="D13" s="144"/>
      <c r="E13" s="144"/>
      <c r="F13" s="144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V13" s="125" t="s">
        <v>739</v>
      </c>
    </row>
    <row r="14" spans="1:23" ht="25.5" customHeight="1">
      <c r="A14" s="143"/>
      <c r="B14" s="144"/>
      <c r="C14" s="144"/>
      <c r="D14" s="144"/>
      <c r="E14" s="144"/>
      <c r="F14" s="144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</row>
    <row r="15" spans="1:23" ht="25.5" customHeight="1">
      <c r="A15" s="143"/>
      <c r="B15" s="144"/>
      <c r="C15" s="144"/>
      <c r="D15" s="144"/>
      <c r="E15" s="144"/>
      <c r="F15" s="144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V15" s="125" t="s">
        <v>740</v>
      </c>
    </row>
    <row r="16" spans="1:23" ht="25.5" customHeight="1">
      <c r="A16" s="143"/>
      <c r="B16" s="144"/>
      <c r="C16" s="144"/>
      <c r="D16" s="144"/>
      <c r="E16" s="144"/>
      <c r="F16" s="144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V16" s="127" t="s">
        <v>741</v>
      </c>
    </row>
    <row r="17" spans="1:22" ht="25.5" customHeight="1">
      <c r="A17" s="143"/>
      <c r="B17" s="144"/>
      <c r="C17" s="144"/>
      <c r="D17" s="144"/>
      <c r="E17" s="144"/>
      <c r="F17" s="144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</row>
    <row r="18" spans="1:22" ht="25.5" customHeight="1">
      <c r="A18" s="143"/>
      <c r="B18" s="144"/>
      <c r="C18" s="144"/>
      <c r="D18" s="144"/>
      <c r="E18" s="144"/>
      <c r="F18" s="144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V18" s="125" t="s">
        <v>742</v>
      </c>
    </row>
    <row r="19" spans="1:22" ht="25.5" customHeight="1">
      <c r="A19" s="143"/>
      <c r="B19" s="144"/>
      <c r="C19" s="144"/>
      <c r="D19" s="144"/>
      <c r="E19" s="144"/>
      <c r="F19" s="144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V19" s="127" t="s">
        <v>743</v>
      </c>
    </row>
    <row r="20" spans="1:22" ht="25.5" customHeight="1">
      <c r="A20" s="143"/>
      <c r="B20" s="144"/>
      <c r="C20" s="144"/>
      <c r="D20" s="144"/>
      <c r="E20" s="144"/>
      <c r="F20" s="144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</row>
    <row r="21" spans="1:22" ht="25.5" customHeight="1">
      <c r="A21" s="143"/>
      <c r="B21" s="144"/>
      <c r="C21" s="144"/>
      <c r="D21" s="144"/>
      <c r="E21" s="144"/>
      <c r="F21" s="144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V21" s="125" t="s">
        <v>744</v>
      </c>
    </row>
    <row r="22" spans="1:22" ht="25.5" customHeight="1">
      <c r="A22" s="143"/>
      <c r="B22" s="144"/>
      <c r="C22" s="144"/>
      <c r="D22" s="144"/>
      <c r="E22" s="144"/>
      <c r="F22" s="144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V22" s="127" t="s">
        <v>745</v>
      </c>
    </row>
    <row r="24" spans="1:22" ht="25.5" customHeight="1">
      <c r="V24" s="125" t="s">
        <v>746</v>
      </c>
    </row>
    <row r="25" spans="1:22" ht="25.5" customHeight="1">
      <c r="V25" s="127" t="s">
        <v>747</v>
      </c>
    </row>
  </sheetData>
  <mergeCells count="37">
    <mergeCell ref="B2:F2"/>
    <mergeCell ref="R3:T3"/>
    <mergeCell ref="A5:B5"/>
    <mergeCell ref="C5:D5"/>
    <mergeCell ref="E5:F5"/>
    <mergeCell ref="I5:N5"/>
    <mergeCell ref="Q5:T5"/>
    <mergeCell ref="R6:S6"/>
    <mergeCell ref="K7:N7"/>
    <mergeCell ref="R7:S7"/>
    <mergeCell ref="A9:A11"/>
    <mergeCell ref="B9:B11"/>
    <mergeCell ref="C9:C11"/>
    <mergeCell ref="D9:D10"/>
    <mergeCell ref="E9:E10"/>
    <mergeCell ref="F9:F10"/>
    <mergeCell ref="G9:G11"/>
    <mergeCell ref="A6:B7"/>
    <mergeCell ref="C6:D7"/>
    <mergeCell ref="E6:F7"/>
    <mergeCell ref="G6:G7"/>
    <mergeCell ref="H6:H7"/>
    <mergeCell ref="K6:N6"/>
    <mergeCell ref="T9:T11"/>
    <mergeCell ref="H10:H11"/>
    <mergeCell ref="I10:I11"/>
    <mergeCell ref="J10:J11"/>
    <mergeCell ref="K10:K11"/>
    <mergeCell ref="L10:L11"/>
    <mergeCell ref="M10:M11"/>
    <mergeCell ref="O10:P10"/>
    <mergeCell ref="H9:M9"/>
    <mergeCell ref="N9:N11"/>
    <mergeCell ref="O9:P9"/>
    <mergeCell ref="Q9:Q11"/>
    <mergeCell ref="R9:R11"/>
    <mergeCell ref="S9:S11"/>
  </mergeCells>
  <phoneticPr fontId="2" type="noConversion"/>
  <hyperlinks>
    <hyperlink ref="V2" r:id="rId1" xr:uid="{B52D8E68-A071-444A-AB6F-8050E4DC8F11}"/>
    <hyperlink ref="V16" r:id="rId2" xr:uid="{41A51420-57BB-47FF-B189-32C64C0C93A9}"/>
    <hyperlink ref="V19" r:id="rId3" xr:uid="{D419D5B5-2493-4663-935D-03F26C10CC60}"/>
    <hyperlink ref="V22" r:id="rId4" xr:uid="{43657E92-D402-406A-8815-DA7DD6821E20}"/>
    <hyperlink ref="V25" r:id="rId5" xr:uid="{5440E3A2-730A-4FF5-8F85-CBC8CBE8EDDF}"/>
  </hyperlinks>
  <printOptions horizontalCentered="1" verticalCentered="1"/>
  <pageMargins left="0.31496062992125984" right="0.31496062992125984" top="0.35433070866141736" bottom="0.15748031496062992" header="0" footer="0"/>
  <pageSetup paperSize="9" scale="84" orientation="landscape" verticalDpi="0" r:id="rId6"/>
  <legacyDrawing r:id="rId7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0EA79-9EF1-46FE-A4FA-46458926DED6}">
  <sheetPr codeName="Sheet25">
    <tabColor theme="9" tint="-0.499984740745262"/>
  </sheetPr>
  <dimension ref="A1:AG102"/>
  <sheetViews>
    <sheetView showGridLines="0" workbookViewId="0">
      <selection activeCell="F1" sqref="F1:W1"/>
    </sheetView>
  </sheetViews>
  <sheetFormatPr defaultColWidth="3.125" defaultRowHeight="17.25"/>
  <cols>
    <col min="1" max="7" width="3.125" style="57"/>
    <col min="8" max="8" width="1.75" style="57" customWidth="1"/>
    <col min="9" max="16384" width="3.125" style="57"/>
  </cols>
  <sheetData>
    <row r="1" spans="1:33" s="45" customFormat="1" ht="29.25" customHeight="1" thickTop="1" thickBot="1">
      <c r="F1" s="1268" t="s">
        <v>552</v>
      </c>
      <c r="G1" s="1269"/>
      <c r="H1" s="1269"/>
      <c r="I1" s="1269"/>
      <c r="J1" s="1269"/>
      <c r="K1" s="1269"/>
      <c r="L1" s="1269"/>
      <c r="M1" s="1269"/>
      <c r="N1" s="1269"/>
      <c r="O1" s="1269"/>
      <c r="P1" s="1269"/>
      <c r="Q1" s="1269"/>
      <c r="R1" s="1269"/>
      <c r="S1" s="1269"/>
      <c r="T1" s="1269"/>
      <c r="U1" s="1269"/>
      <c r="V1" s="1269"/>
      <c r="W1" s="1270"/>
      <c r="AG1" s="15" t="s">
        <v>1080</v>
      </c>
    </row>
    <row r="2" spans="1:33" s="45" customFormat="1" ht="14.25" customHeight="1" thickTop="1"/>
    <row r="3" spans="1:33" s="46" customFormat="1">
      <c r="A3" s="1173" t="s">
        <v>385</v>
      </c>
      <c r="B3" s="1173"/>
      <c r="C3" s="1173"/>
      <c r="D3" s="1173"/>
      <c r="E3" s="1173"/>
      <c r="F3" s="1173"/>
      <c r="G3" s="1173"/>
      <c r="H3" s="1173"/>
      <c r="I3" s="46" t="s">
        <v>386</v>
      </c>
      <c r="Q3" s="1173" t="s">
        <v>387</v>
      </c>
      <c r="R3" s="1173"/>
      <c r="S3" s="1173"/>
      <c r="T3" s="46" t="s">
        <v>388</v>
      </c>
    </row>
    <row r="4" spans="1:33" s="46" customFormat="1">
      <c r="A4" s="46" t="s">
        <v>389</v>
      </c>
    </row>
    <row r="5" spans="1:33" s="46" customFormat="1" ht="7.5" customHeight="1"/>
    <row r="6" spans="1:33" s="46" customFormat="1" ht="16.5" customHeight="1">
      <c r="B6" s="47" t="s">
        <v>313</v>
      </c>
      <c r="C6" s="1174" t="s">
        <v>390</v>
      </c>
      <c r="D6" s="1174"/>
      <c r="E6" s="1174"/>
      <c r="F6" s="1174"/>
      <c r="G6" s="1174"/>
      <c r="H6" s="70" t="s">
        <v>391</v>
      </c>
      <c r="I6" s="1169">
        <v>44481</v>
      </c>
      <c r="J6" s="1169"/>
      <c r="K6" s="1169"/>
      <c r="L6" s="1169"/>
      <c r="M6" s="1169"/>
      <c r="N6" s="1169"/>
      <c r="O6" s="1169"/>
      <c r="P6" s="46" t="s">
        <v>392</v>
      </c>
    </row>
    <row r="7" spans="1:33" s="46" customFormat="1" ht="16.5" customHeight="1">
      <c r="B7" s="47"/>
      <c r="C7" s="73"/>
      <c r="D7" s="50" t="s">
        <v>393</v>
      </c>
      <c r="E7" s="51"/>
      <c r="F7" s="51"/>
      <c r="G7" s="51"/>
      <c r="H7" s="51"/>
      <c r="I7" s="52"/>
      <c r="J7" s="52"/>
      <c r="K7" s="52"/>
      <c r="L7" s="52"/>
      <c r="M7" s="53"/>
      <c r="N7" s="1169"/>
      <c r="O7" s="1169"/>
      <c r="P7" s="1169"/>
      <c r="Q7" s="1169"/>
      <c r="R7" s="1169"/>
      <c r="S7" s="54" t="s">
        <v>392</v>
      </c>
      <c r="T7" s="55"/>
      <c r="U7" s="1169"/>
      <c r="V7" s="1169"/>
      <c r="W7" s="1169"/>
      <c r="X7" s="1169"/>
      <c r="Y7" s="1169"/>
      <c r="Z7" s="54" t="s">
        <v>394</v>
      </c>
    </row>
    <row r="8" spans="1:33" s="46" customFormat="1" ht="16.5" customHeight="1">
      <c r="B8" s="47" t="s">
        <v>314</v>
      </c>
      <c r="C8" s="1174" t="s">
        <v>395</v>
      </c>
      <c r="D8" s="1174"/>
      <c r="E8" s="1174"/>
      <c r="F8" s="1174"/>
      <c r="G8" s="1174"/>
      <c r="H8" s="70" t="s">
        <v>391</v>
      </c>
      <c r="I8" s="1175" t="s">
        <v>396</v>
      </c>
      <c r="J8" s="1175"/>
      <c r="K8" s="1175"/>
      <c r="L8" s="1175"/>
      <c r="M8" s="1175"/>
      <c r="N8" s="1175"/>
      <c r="O8" s="1175"/>
      <c r="P8" s="1175"/>
      <c r="Q8" s="1175"/>
      <c r="R8" s="1175"/>
      <c r="S8" s="1175"/>
      <c r="T8" s="1175"/>
      <c r="U8" s="1175"/>
      <c r="V8" s="1175"/>
      <c r="W8" s="1175"/>
      <c r="X8" s="1175"/>
      <c r="Y8" s="1175"/>
      <c r="Z8" s="1175"/>
      <c r="AA8" s="1175"/>
      <c r="AB8" s="1175"/>
    </row>
    <row r="9" spans="1:33" s="46" customFormat="1" ht="16.5" customHeight="1">
      <c r="B9" s="47" t="s">
        <v>315</v>
      </c>
      <c r="C9" s="1174" t="s">
        <v>397</v>
      </c>
      <c r="D9" s="1174"/>
      <c r="E9" s="1174"/>
      <c r="F9" s="1174"/>
      <c r="G9" s="1174"/>
      <c r="H9" s="70" t="s">
        <v>391</v>
      </c>
      <c r="I9" s="1175"/>
      <c r="J9" s="1175"/>
      <c r="K9" s="1175"/>
      <c r="L9" s="1175"/>
      <c r="M9" s="1175"/>
      <c r="N9" s="1175"/>
      <c r="O9" s="1175"/>
      <c r="P9" s="1175"/>
      <c r="Q9" s="1175"/>
      <c r="R9" s="1175"/>
      <c r="S9" s="1175"/>
      <c r="T9" s="1175"/>
      <c r="U9" s="1175"/>
      <c r="V9" s="1175"/>
      <c r="W9" s="1175"/>
      <c r="X9" s="1175"/>
      <c r="Y9" s="1175"/>
      <c r="Z9" s="1175"/>
      <c r="AA9" s="1175"/>
      <c r="AB9" s="1175"/>
    </row>
    <row r="10" spans="1:33" s="46" customFormat="1" ht="16.5" customHeight="1">
      <c r="B10" s="47" t="s">
        <v>398</v>
      </c>
      <c r="C10" s="1174" t="s">
        <v>399</v>
      </c>
      <c r="D10" s="1174"/>
      <c r="E10" s="1174"/>
      <c r="F10" s="1174"/>
      <c r="G10" s="1174"/>
      <c r="H10" s="70" t="s">
        <v>391</v>
      </c>
      <c r="I10" s="1176">
        <v>0.375</v>
      </c>
      <c r="J10" s="1176"/>
      <c r="K10" s="1176"/>
      <c r="L10" s="1177" t="s">
        <v>392</v>
      </c>
      <c r="M10" s="1177"/>
      <c r="N10" s="1176">
        <v>0.75</v>
      </c>
      <c r="O10" s="1176"/>
      <c r="P10" s="1176"/>
      <c r="Q10" s="46" t="s">
        <v>400</v>
      </c>
      <c r="V10" s="1176">
        <v>0.5</v>
      </c>
      <c r="W10" s="1176"/>
      <c r="X10" s="1176"/>
      <c r="Y10" s="56" t="s">
        <v>401</v>
      </c>
      <c r="Z10" s="1176">
        <v>0.54166666666666663</v>
      </c>
      <c r="AA10" s="1176"/>
      <c r="AB10" s="1176"/>
      <c r="AC10" s="46" t="s">
        <v>402</v>
      </c>
    </row>
    <row r="11" spans="1:33" s="45" customFormat="1" ht="16.5" customHeight="1">
      <c r="B11" s="47" t="s">
        <v>403</v>
      </c>
      <c r="C11" s="1174" t="s">
        <v>404</v>
      </c>
      <c r="D11" s="1174"/>
      <c r="E11" s="1174"/>
      <c r="F11" s="1174"/>
      <c r="G11" s="1174"/>
      <c r="H11" s="70" t="s">
        <v>391</v>
      </c>
      <c r="I11" s="57" t="s">
        <v>405</v>
      </c>
      <c r="J11" s="57"/>
      <c r="K11" s="1178">
        <v>5</v>
      </c>
      <c r="L11" s="1178"/>
      <c r="M11" s="57" t="s">
        <v>406</v>
      </c>
      <c r="N11" s="57"/>
      <c r="O11" s="57"/>
      <c r="P11" s="57"/>
      <c r="Q11" s="57"/>
      <c r="R11" s="57"/>
      <c r="S11" s="57"/>
      <c r="T11" s="57" t="s">
        <v>407</v>
      </c>
      <c r="U11" s="57"/>
      <c r="V11" s="57"/>
      <c r="W11" s="57"/>
      <c r="X11" s="1178" t="s">
        <v>408</v>
      </c>
      <c r="Y11" s="1178"/>
      <c r="Z11" s="57" t="s">
        <v>409</v>
      </c>
      <c r="AA11" s="57"/>
      <c r="AB11" s="57"/>
      <c r="AC11" s="57"/>
    </row>
    <row r="12" spans="1:33" s="45" customFormat="1" ht="16.5" customHeight="1">
      <c r="B12" s="47" t="s">
        <v>410</v>
      </c>
      <c r="C12" s="1174" t="s">
        <v>411</v>
      </c>
      <c r="D12" s="1174"/>
      <c r="E12" s="1174"/>
      <c r="F12" s="1174"/>
      <c r="G12" s="1174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33" ht="16.5" customHeight="1">
      <c r="C13" s="1179" t="s">
        <v>412</v>
      </c>
      <c r="D13" s="1179"/>
      <c r="E13" s="1179"/>
      <c r="F13" s="1179"/>
      <c r="G13" s="1179"/>
      <c r="H13" s="70"/>
      <c r="J13" s="70" t="s">
        <v>391</v>
      </c>
      <c r="K13" s="58" t="s">
        <v>413</v>
      </c>
      <c r="L13" s="1180" t="s">
        <v>414</v>
      </c>
      <c r="M13" s="1180"/>
      <c r="N13" s="59" t="s">
        <v>402</v>
      </c>
      <c r="P13" s="1181">
        <v>1822480</v>
      </c>
      <c r="Q13" s="1181"/>
      <c r="R13" s="1181"/>
      <c r="S13" s="1181"/>
      <c r="T13" s="1181"/>
      <c r="U13" s="1181"/>
      <c r="V13" s="1181"/>
      <c r="W13" s="57" t="s">
        <v>415</v>
      </c>
    </row>
    <row r="14" spans="1:33" ht="16.5" customHeight="1">
      <c r="C14" s="1179" t="s">
        <v>416</v>
      </c>
      <c r="D14" s="1179"/>
      <c r="E14" s="1179"/>
      <c r="F14" s="1179"/>
      <c r="G14" s="1179"/>
      <c r="H14" s="70"/>
      <c r="J14" s="70" t="s">
        <v>391</v>
      </c>
      <c r="K14" s="57" t="s">
        <v>417</v>
      </c>
      <c r="M14" s="1182"/>
      <c r="N14" s="1182"/>
      <c r="O14" s="57" t="s">
        <v>418</v>
      </c>
      <c r="P14" s="1181"/>
      <c r="Q14" s="1181"/>
      <c r="R14" s="1181"/>
      <c r="S14" s="1181"/>
      <c r="T14" s="1181"/>
      <c r="U14" s="1181"/>
      <c r="V14" s="1181"/>
      <c r="W14" s="57" t="s">
        <v>419</v>
      </c>
      <c r="X14" s="57" t="s">
        <v>420</v>
      </c>
      <c r="Z14" s="1183" t="s">
        <v>421</v>
      </c>
      <c r="AA14" s="1183"/>
      <c r="AB14" s="57" t="s">
        <v>402</v>
      </c>
    </row>
    <row r="15" spans="1:33" ht="16.5" customHeight="1">
      <c r="C15" s="56" t="s">
        <v>422</v>
      </c>
      <c r="J15" s="70" t="s">
        <v>391</v>
      </c>
      <c r="K15" s="57" t="s">
        <v>417</v>
      </c>
      <c r="M15" s="1182"/>
      <c r="N15" s="1182"/>
      <c r="O15" s="57" t="s">
        <v>418</v>
      </c>
      <c r="P15" s="57" t="s">
        <v>420</v>
      </c>
      <c r="R15" s="1183" t="s">
        <v>421</v>
      </c>
      <c r="S15" s="1183"/>
      <c r="T15" s="57" t="s">
        <v>402</v>
      </c>
    </row>
    <row r="16" spans="1:33" ht="16.5" customHeight="1">
      <c r="K16" s="1181"/>
      <c r="L16" s="1181"/>
      <c r="M16" s="1181"/>
      <c r="N16" s="1181"/>
      <c r="O16" s="1181"/>
      <c r="P16" s="1181"/>
      <c r="Q16" s="1181"/>
      <c r="R16" s="57" t="s">
        <v>419</v>
      </c>
      <c r="T16" s="1181"/>
      <c r="U16" s="1181"/>
      <c r="V16" s="1181"/>
      <c r="W16" s="1181"/>
      <c r="X16" s="1181"/>
      <c r="Y16" s="1181"/>
      <c r="Z16" s="1181"/>
      <c r="AA16" s="57" t="s">
        <v>415</v>
      </c>
    </row>
    <row r="17" spans="2:28" ht="16.5" customHeight="1">
      <c r="K17" s="1181"/>
      <c r="L17" s="1181"/>
      <c r="M17" s="1181"/>
      <c r="N17" s="1181"/>
      <c r="O17" s="1181"/>
      <c r="P17" s="1181"/>
      <c r="Q17" s="1181"/>
      <c r="R17" s="57" t="s">
        <v>419</v>
      </c>
      <c r="T17" s="1181"/>
      <c r="U17" s="1181"/>
      <c r="V17" s="1181"/>
      <c r="W17" s="1181"/>
      <c r="X17" s="1181"/>
      <c r="Y17" s="1181"/>
      <c r="Z17" s="1181"/>
      <c r="AA17" s="57" t="s">
        <v>415</v>
      </c>
    </row>
    <row r="18" spans="2:28" ht="7.5" customHeight="1"/>
    <row r="19" spans="2:28" ht="16.5" customHeight="1">
      <c r="C19" s="1179" t="s">
        <v>423</v>
      </c>
      <c r="D19" s="1179"/>
      <c r="E19" s="1179"/>
      <c r="F19" s="1179"/>
      <c r="G19" s="1179"/>
      <c r="H19" s="70" t="s">
        <v>391</v>
      </c>
      <c r="I19" s="57" t="s">
        <v>424</v>
      </c>
      <c r="P19" s="1184" t="s">
        <v>425</v>
      </c>
      <c r="Q19" s="1184"/>
      <c r="R19" s="1184"/>
      <c r="S19" s="1184"/>
      <c r="T19" s="57" t="s">
        <v>426</v>
      </c>
    </row>
    <row r="20" spans="2:28" ht="16.5" customHeight="1">
      <c r="C20" s="71" t="s">
        <v>427</v>
      </c>
      <c r="H20" s="70" t="s">
        <v>391</v>
      </c>
      <c r="I20" s="57" t="s">
        <v>428</v>
      </c>
      <c r="Q20" s="57" t="s">
        <v>429</v>
      </c>
      <c r="AA20" s="72" t="s">
        <v>421</v>
      </c>
      <c r="AB20" s="70" t="s">
        <v>402</v>
      </c>
    </row>
    <row r="21" spans="2:28" ht="3.75" customHeight="1"/>
    <row r="22" spans="2:28" ht="16.5" customHeight="1">
      <c r="B22" s="47" t="s">
        <v>430</v>
      </c>
      <c r="C22" s="57" t="s">
        <v>431</v>
      </c>
    </row>
    <row r="23" spans="2:28" ht="16.5" customHeight="1">
      <c r="C23" s="56" t="s">
        <v>432</v>
      </c>
    </row>
    <row r="24" spans="2:28" ht="3.75" customHeight="1"/>
    <row r="25" spans="2:28" ht="16.5" customHeight="1">
      <c r="B25" s="47" t="s">
        <v>553</v>
      </c>
      <c r="C25" s="57" t="s">
        <v>554</v>
      </c>
    </row>
    <row r="26" spans="2:28" ht="16.5" customHeight="1">
      <c r="B26" s="47"/>
      <c r="C26" s="56" t="s">
        <v>555</v>
      </c>
      <c r="Q26" s="1271" t="s">
        <v>556</v>
      </c>
      <c r="R26" s="1271"/>
      <c r="S26" s="1271"/>
      <c r="T26" s="1271"/>
    </row>
    <row r="27" spans="2:28" ht="16.5" customHeight="1">
      <c r="C27" s="56" t="s">
        <v>557</v>
      </c>
      <c r="Q27" s="1271" t="s">
        <v>556</v>
      </c>
      <c r="R27" s="1271"/>
      <c r="S27" s="1271"/>
      <c r="T27" s="1271"/>
    </row>
    <row r="28" spans="2:28" ht="3.75" customHeight="1"/>
    <row r="29" spans="2:28">
      <c r="B29" s="57" t="s">
        <v>558</v>
      </c>
    </row>
    <row r="30" spans="2:28" ht="2.25" customHeight="1"/>
    <row r="31" spans="2:28">
      <c r="C31" s="62" t="s">
        <v>421</v>
      </c>
      <c r="D31" s="57" t="s">
        <v>434</v>
      </c>
      <c r="I31" s="62" t="s">
        <v>421</v>
      </c>
      <c r="J31" s="57" t="s">
        <v>435</v>
      </c>
      <c r="O31" s="62" t="s">
        <v>421</v>
      </c>
      <c r="P31" s="57" t="s">
        <v>436</v>
      </c>
      <c r="U31" s="62" t="s">
        <v>421</v>
      </c>
      <c r="V31" s="57" t="s">
        <v>437</v>
      </c>
    </row>
    <row r="32" spans="2:28" ht="2.25" customHeight="1"/>
    <row r="33" spans="2:28" ht="3.75" customHeight="1"/>
    <row r="34" spans="2:28" ht="16.5" customHeight="1">
      <c r="B34" s="57" t="s">
        <v>559</v>
      </c>
    </row>
    <row r="35" spans="2:28" ht="16.5" customHeight="1">
      <c r="C35" s="56" t="s">
        <v>439</v>
      </c>
    </row>
    <row r="36" spans="2:28" ht="16.5" customHeight="1">
      <c r="C36" s="56" t="s">
        <v>560</v>
      </c>
    </row>
    <row r="37" spans="2:28" ht="7.5" customHeight="1"/>
    <row r="38" spans="2:28" ht="16.5" customHeight="1">
      <c r="B38" s="57" t="s">
        <v>441</v>
      </c>
    </row>
    <row r="39" spans="2:28" ht="16.5" customHeight="1">
      <c r="C39" s="56" t="s">
        <v>442</v>
      </c>
    </row>
    <row r="40" spans="2:28" ht="16.5" customHeight="1">
      <c r="C40" s="57" t="s">
        <v>443</v>
      </c>
    </row>
    <row r="41" spans="2:28" ht="3.75" customHeight="1"/>
    <row r="42" spans="2:28" ht="16.5" customHeight="1">
      <c r="B42" s="57" t="s">
        <v>444</v>
      </c>
    </row>
    <row r="43" spans="2:28" ht="16.5" customHeight="1">
      <c r="C43" s="56" t="s">
        <v>561</v>
      </c>
    </row>
    <row r="44" spans="2:28" ht="16.5" customHeight="1">
      <c r="C44" s="56" t="s">
        <v>562</v>
      </c>
    </row>
    <row r="45" spans="2:28" ht="3.75" customHeight="1">
      <c r="C45" s="56"/>
    </row>
    <row r="46" spans="2:28">
      <c r="L46" s="1185">
        <f ca="1">TODAY()</f>
        <v>44595</v>
      </c>
      <c r="M46" s="1185"/>
      <c r="N46" s="1185"/>
      <c r="O46" s="1185"/>
      <c r="P46" s="1185"/>
      <c r="Q46" s="1185"/>
      <c r="R46" s="1185"/>
      <c r="S46" s="1185"/>
    </row>
    <row r="47" spans="2:28" ht="3.75" customHeight="1"/>
    <row r="48" spans="2:28" ht="16.5" customHeight="1">
      <c r="B48" s="57" t="s">
        <v>446</v>
      </c>
      <c r="E48" s="1182" t="s">
        <v>447</v>
      </c>
      <c r="F48" s="1182"/>
      <c r="G48" s="1182"/>
      <c r="H48" s="47" t="s">
        <v>391</v>
      </c>
      <c r="I48" s="1186" t="str">
        <f>A3</f>
        <v>선우회계법인</v>
      </c>
      <c r="J48" s="1186"/>
      <c r="K48" s="1186"/>
      <c r="L48" s="1186"/>
      <c r="M48" s="1186"/>
      <c r="N48" s="1186"/>
      <c r="O48" s="1186"/>
      <c r="P48" s="1186"/>
      <c r="Q48" s="1186"/>
      <c r="R48" s="1186"/>
      <c r="S48" s="57" t="s">
        <v>448</v>
      </c>
      <c r="U48" s="1184" t="s">
        <v>449</v>
      </c>
      <c r="V48" s="1184"/>
      <c r="W48" s="1184"/>
      <c r="X48" s="1184"/>
      <c r="Y48" s="1184"/>
      <c r="Z48" s="1184"/>
      <c r="AA48" s="1184"/>
      <c r="AB48" s="57" t="s">
        <v>402</v>
      </c>
    </row>
    <row r="49" spans="1:28" ht="16.5" customHeight="1">
      <c r="E49" s="1182" t="s">
        <v>450</v>
      </c>
      <c r="F49" s="1182"/>
      <c r="G49" s="1182"/>
      <c r="H49" s="47" t="s">
        <v>391</v>
      </c>
      <c r="I49" s="1186" t="str">
        <f>I8</f>
        <v>충남 천안시 서북구 오성로 103 , 6층 (두정동,청풍프라자)</v>
      </c>
      <c r="J49" s="1186"/>
      <c r="K49" s="1186"/>
      <c r="L49" s="1186"/>
      <c r="M49" s="1186"/>
      <c r="N49" s="1186"/>
      <c r="O49" s="1186"/>
      <c r="P49" s="1186"/>
      <c r="Q49" s="1186"/>
      <c r="R49" s="1186"/>
      <c r="S49" s="1186"/>
      <c r="T49" s="1186"/>
      <c r="U49" s="1186"/>
      <c r="V49" s="1186"/>
      <c r="W49" s="1186"/>
      <c r="X49" s="1186"/>
      <c r="Y49" s="1186"/>
      <c r="Z49" s="1186"/>
      <c r="AA49" s="1186"/>
      <c r="AB49" s="1186"/>
    </row>
    <row r="50" spans="1:28" ht="16.5" customHeight="1">
      <c r="E50" s="1182" t="s">
        <v>451</v>
      </c>
      <c r="F50" s="1182"/>
      <c r="G50" s="1182"/>
      <c r="H50" s="47" t="s">
        <v>391</v>
      </c>
      <c r="I50" s="1184" t="s">
        <v>452</v>
      </c>
      <c r="J50" s="1184"/>
      <c r="K50" s="1184"/>
      <c r="L50" s="1184"/>
      <c r="M50" s="1184"/>
      <c r="N50" s="1184"/>
      <c r="O50" s="1184"/>
      <c r="P50" s="1184"/>
      <c r="Q50" s="1184"/>
      <c r="R50" s="1184"/>
      <c r="S50" s="63" t="s">
        <v>453</v>
      </c>
    </row>
    <row r="51" spans="1:28" ht="7.5" customHeight="1"/>
    <row r="52" spans="1:28" ht="21" customHeight="1">
      <c r="B52" s="57" t="s">
        <v>454</v>
      </c>
      <c r="E52" s="1182" t="s">
        <v>450</v>
      </c>
      <c r="F52" s="1182"/>
      <c r="G52" s="1182"/>
      <c r="H52" s="47" t="s">
        <v>391</v>
      </c>
      <c r="I52" s="1188" t="s">
        <v>396</v>
      </c>
      <c r="J52" s="1188"/>
      <c r="K52" s="1188"/>
      <c r="L52" s="1188"/>
      <c r="M52" s="1188"/>
      <c r="N52" s="1188"/>
      <c r="O52" s="1188"/>
      <c r="P52" s="1188"/>
      <c r="Q52" s="1188"/>
      <c r="R52" s="1188"/>
      <c r="S52" s="1188"/>
      <c r="T52" s="1188"/>
      <c r="U52" s="1188"/>
      <c r="V52" s="1188"/>
      <c r="W52" s="1188"/>
      <c r="X52" s="1188"/>
      <c r="Y52" s="1188"/>
      <c r="Z52" s="1188"/>
      <c r="AA52" s="1188"/>
      <c r="AB52" s="1188"/>
    </row>
    <row r="53" spans="1:28" ht="16.5" customHeight="1">
      <c r="E53" s="1182" t="s">
        <v>455</v>
      </c>
      <c r="F53" s="1182"/>
      <c r="G53" s="1182"/>
      <c r="H53" s="47" t="s">
        <v>391</v>
      </c>
      <c r="I53" s="1188" t="s">
        <v>456</v>
      </c>
      <c r="J53" s="1188"/>
      <c r="K53" s="1188"/>
      <c r="L53" s="1188"/>
      <c r="M53" s="1188"/>
      <c r="N53" s="1188"/>
      <c r="O53" s="1188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</row>
    <row r="54" spans="1:28" ht="16.5" customHeight="1">
      <c r="E54" s="1182" t="s">
        <v>457</v>
      </c>
      <c r="F54" s="1182"/>
      <c r="G54" s="1182"/>
      <c r="H54" s="47" t="s">
        <v>391</v>
      </c>
      <c r="I54" s="1187" t="str">
        <f>Q3</f>
        <v>주황규</v>
      </c>
      <c r="J54" s="1187"/>
      <c r="K54" s="1187"/>
      <c r="L54" s="1187"/>
      <c r="M54" s="1187"/>
      <c r="N54" s="1187"/>
      <c r="O54" s="1187"/>
      <c r="P54" s="1187"/>
      <c r="Q54" s="1187"/>
      <c r="R54" s="1187"/>
      <c r="S54" s="63" t="s">
        <v>453</v>
      </c>
    </row>
    <row r="55" spans="1:28" ht="16.5" customHeight="1" thickBot="1">
      <c r="E55" s="70"/>
      <c r="F55" s="70"/>
      <c r="G55" s="70"/>
      <c r="H55" s="4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63"/>
    </row>
    <row r="56" spans="1:28" ht="27.75" thickTop="1" thickBot="1">
      <c r="A56" s="45"/>
      <c r="B56" s="45"/>
      <c r="C56" s="45"/>
      <c r="D56" s="45"/>
      <c r="E56" s="45"/>
      <c r="F56" s="45"/>
      <c r="G56" s="45"/>
      <c r="H56" s="45"/>
      <c r="I56" s="1268" t="s">
        <v>563</v>
      </c>
      <c r="J56" s="1274"/>
      <c r="K56" s="1274"/>
      <c r="L56" s="1274"/>
      <c r="M56" s="1274"/>
      <c r="N56" s="1274"/>
      <c r="O56" s="1274"/>
      <c r="P56" s="1274"/>
      <c r="Q56" s="1274"/>
      <c r="R56" s="1274"/>
      <c r="S56" s="1274"/>
      <c r="T56" s="1275"/>
      <c r="U56" s="45"/>
      <c r="V56" s="45"/>
      <c r="W56" s="45"/>
      <c r="X56" s="45"/>
      <c r="Y56" s="45"/>
      <c r="Z56" s="45"/>
      <c r="AA56" s="45"/>
      <c r="AB56" s="45"/>
    </row>
    <row r="57" spans="1:28" ht="20.25" thickTop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>
      <c r="A59" s="46"/>
      <c r="B59" s="46" t="s">
        <v>564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7.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>
      <c r="A61" s="46"/>
      <c r="B61" s="46"/>
      <c r="C61" s="1272" t="s">
        <v>565</v>
      </c>
      <c r="D61" s="1272"/>
      <c r="E61" s="1272"/>
      <c r="F61" s="1272"/>
      <c r="G61" s="73" t="s">
        <v>391</v>
      </c>
      <c r="H61" s="1273"/>
      <c r="I61" s="1273"/>
      <c r="J61" s="1273"/>
      <c r="K61" s="1273"/>
      <c r="L61" s="1273"/>
      <c r="M61" s="1273"/>
      <c r="N61" s="1273"/>
      <c r="O61" s="1273"/>
      <c r="P61" s="1273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7.5" customHeight="1">
      <c r="A62" s="46"/>
      <c r="B62" s="46"/>
      <c r="C62" s="78"/>
      <c r="D62" s="78"/>
      <c r="E62" s="78"/>
      <c r="F62" s="78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>
      <c r="A63" s="46"/>
      <c r="B63" s="46"/>
      <c r="C63" s="1272" t="s">
        <v>566</v>
      </c>
      <c r="D63" s="1272"/>
      <c r="E63" s="1272"/>
      <c r="F63" s="1272"/>
      <c r="G63" s="73" t="s">
        <v>391</v>
      </c>
      <c r="H63" s="1273"/>
      <c r="I63" s="1273"/>
      <c r="J63" s="1273"/>
      <c r="K63" s="1273"/>
      <c r="L63" s="1273"/>
      <c r="M63" s="1273"/>
      <c r="N63" s="1273"/>
      <c r="O63" s="1273"/>
      <c r="P63" s="1273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7.5" customHeight="1">
      <c r="A64" s="46"/>
      <c r="B64" s="46"/>
      <c r="C64" s="78"/>
      <c r="D64" s="78"/>
      <c r="E64" s="78"/>
      <c r="F64" s="78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>
      <c r="A65" s="46"/>
      <c r="B65" s="46"/>
      <c r="C65" s="1272" t="s">
        <v>567</v>
      </c>
      <c r="D65" s="1272"/>
      <c r="E65" s="1272"/>
      <c r="F65" s="1272"/>
      <c r="G65" s="73" t="s">
        <v>391</v>
      </c>
      <c r="H65" s="1276"/>
      <c r="I65" s="1276"/>
      <c r="J65" s="1276"/>
      <c r="K65" s="1276"/>
      <c r="L65" s="1276"/>
      <c r="M65" s="1276"/>
      <c r="N65" s="1276"/>
      <c r="O65" s="1276"/>
      <c r="P65" s="1276"/>
      <c r="Q65" s="1276"/>
      <c r="R65" s="1276"/>
      <c r="S65" s="1276"/>
      <c r="T65" s="1276"/>
      <c r="U65" s="1276"/>
      <c r="V65" s="1276"/>
      <c r="W65" s="1276"/>
      <c r="X65" s="1276"/>
      <c r="Y65" s="1276"/>
      <c r="Z65" s="46"/>
      <c r="AA65" s="46"/>
      <c r="AB65" s="46"/>
    </row>
    <row r="66" spans="1:28" ht="7.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9.5">
      <c r="A67" s="45"/>
      <c r="B67" s="45"/>
      <c r="C67" s="1272" t="s">
        <v>568</v>
      </c>
      <c r="D67" s="1272"/>
      <c r="E67" s="1272"/>
      <c r="F67" s="1272"/>
      <c r="G67" s="73" t="s">
        <v>391</v>
      </c>
      <c r="H67" s="1273"/>
      <c r="I67" s="1273"/>
      <c r="J67" s="1273"/>
      <c r="K67" s="1273"/>
      <c r="L67" s="1273"/>
      <c r="M67" s="1273"/>
      <c r="N67" s="1273"/>
      <c r="O67" s="1273"/>
      <c r="P67" s="1273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7.5" customHeight="1"/>
    <row r="69" spans="1:28">
      <c r="C69" s="1272" t="s">
        <v>569</v>
      </c>
      <c r="D69" s="1272"/>
      <c r="E69" s="1272"/>
      <c r="F69" s="1272"/>
      <c r="G69" s="1272"/>
      <c r="H69" s="1272"/>
      <c r="I69" s="1272"/>
      <c r="J69" s="73" t="s">
        <v>391</v>
      </c>
      <c r="K69" s="1273"/>
      <c r="L69" s="1273"/>
      <c r="M69" s="1273"/>
      <c r="N69" s="1273"/>
      <c r="O69" s="1273"/>
      <c r="P69" s="1273"/>
      <c r="Q69" s="1273"/>
      <c r="R69" s="1273"/>
      <c r="S69" s="1273"/>
    </row>
    <row r="72" spans="1:28">
      <c r="B72" s="46" t="s">
        <v>570</v>
      </c>
    </row>
    <row r="73" spans="1:28" ht="7.5" customHeight="1"/>
    <row r="74" spans="1:28">
      <c r="C74" s="1272" t="s">
        <v>565</v>
      </c>
      <c r="D74" s="1272"/>
      <c r="E74" s="1272"/>
      <c r="F74" s="1272"/>
      <c r="G74" s="73" t="s">
        <v>391</v>
      </c>
      <c r="H74" s="1273"/>
      <c r="I74" s="1273"/>
      <c r="J74" s="1273"/>
      <c r="K74" s="1273"/>
      <c r="L74" s="1273"/>
      <c r="M74" s="1273"/>
      <c r="N74" s="1273"/>
      <c r="O74" s="1273"/>
      <c r="P74" s="1273"/>
      <c r="Q74" s="57" t="s">
        <v>571</v>
      </c>
      <c r="R74" s="1182"/>
      <c r="S74" s="1182"/>
      <c r="T74" s="57" t="s">
        <v>572</v>
      </c>
    </row>
    <row r="75" spans="1:28" ht="7.5" customHeight="1"/>
    <row r="76" spans="1:28">
      <c r="C76" s="1272" t="s">
        <v>566</v>
      </c>
      <c r="D76" s="1272"/>
      <c r="E76" s="1272"/>
      <c r="F76" s="1272"/>
      <c r="G76" s="73" t="s">
        <v>391</v>
      </c>
      <c r="H76" s="1273"/>
      <c r="I76" s="1273"/>
      <c r="J76" s="1273"/>
      <c r="K76" s="1273"/>
      <c r="L76" s="1273"/>
      <c r="M76" s="1273"/>
      <c r="N76" s="1273"/>
      <c r="O76" s="1273"/>
      <c r="P76" s="1273"/>
    </row>
    <row r="77" spans="1:28" ht="7.5" customHeight="1"/>
    <row r="78" spans="1:28">
      <c r="C78" s="1272" t="s">
        <v>567</v>
      </c>
      <c r="D78" s="1272"/>
      <c r="E78" s="1272"/>
      <c r="F78" s="1272"/>
      <c r="G78" s="73" t="s">
        <v>391</v>
      </c>
      <c r="H78" s="1276"/>
      <c r="I78" s="1276"/>
      <c r="J78" s="1276"/>
      <c r="K78" s="1276"/>
      <c r="L78" s="1276"/>
      <c r="M78" s="1276"/>
      <c r="N78" s="1276"/>
      <c r="O78" s="1276"/>
      <c r="P78" s="1276"/>
      <c r="Q78" s="1276"/>
      <c r="R78" s="1276"/>
      <c r="S78" s="1276"/>
      <c r="T78" s="1276"/>
      <c r="U78" s="1276"/>
      <c r="V78" s="1276"/>
      <c r="W78" s="1276"/>
      <c r="X78" s="1276"/>
      <c r="Y78" s="1276"/>
    </row>
    <row r="79" spans="1:28" ht="7.5" customHeight="1"/>
    <row r="80" spans="1:28">
      <c r="C80" s="1272" t="s">
        <v>568</v>
      </c>
      <c r="D80" s="1272"/>
      <c r="E80" s="1272"/>
      <c r="F80" s="1272"/>
      <c r="G80" s="73" t="s">
        <v>391</v>
      </c>
      <c r="H80" s="1273"/>
      <c r="I80" s="1273"/>
      <c r="J80" s="1273"/>
      <c r="K80" s="1273"/>
      <c r="L80" s="1273"/>
      <c r="M80" s="1273"/>
      <c r="N80" s="1273"/>
      <c r="O80" s="1273"/>
      <c r="P80" s="1273"/>
    </row>
    <row r="82" spans="2:25">
      <c r="B82" s="46" t="s">
        <v>573</v>
      </c>
    </row>
    <row r="83" spans="2:25" ht="7.5" customHeight="1">
      <c r="B83" s="46"/>
    </row>
    <row r="84" spans="2:25">
      <c r="C84" s="1272" t="s">
        <v>574</v>
      </c>
      <c r="D84" s="1272"/>
      <c r="E84" s="1272"/>
      <c r="F84" s="1272"/>
      <c r="G84" s="73" t="s">
        <v>391</v>
      </c>
      <c r="H84" s="1273"/>
      <c r="I84" s="1273"/>
      <c r="J84" s="1273"/>
      <c r="K84" s="1273"/>
      <c r="L84" s="1273"/>
      <c r="M84" s="1273"/>
      <c r="N84" s="1273"/>
      <c r="O84" s="1273"/>
      <c r="P84" s="1273"/>
    </row>
    <row r="85" spans="2:25" ht="7.5" customHeight="1"/>
    <row r="86" spans="2:25">
      <c r="C86" s="1272" t="s">
        <v>575</v>
      </c>
      <c r="D86" s="1272"/>
      <c r="E86" s="1272"/>
      <c r="F86" s="1272"/>
      <c r="G86" s="73" t="s">
        <v>391</v>
      </c>
      <c r="H86" s="1276"/>
      <c r="I86" s="1276"/>
      <c r="J86" s="1276"/>
      <c r="K86" s="1276"/>
      <c r="L86" s="1276"/>
      <c r="M86" s="1276"/>
      <c r="N86" s="1276"/>
      <c r="O86" s="1276"/>
      <c r="P86" s="1276"/>
      <c r="Q86" s="1276"/>
      <c r="R86" s="1276"/>
      <c r="S86" s="1276"/>
      <c r="T86" s="1276"/>
      <c r="U86" s="1276"/>
      <c r="V86" s="1276"/>
      <c r="W86" s="1276"/>
      <c r="X86" s="1276"/>
      <c r="Y86" s="1276"/>
    </row>
    <row r="87" spans="2:25" ht="7.5" customHeight="1"/>
    <row r="88" spans="2:25">
      <c r="C88" s="1272" t="s">
        <v>576</v>
      </c>
      <c r="D88" s="1272"/>
      <c r="E88" s="1272"/>
      <c r="F88" s="1272"/>
      <c r="G88" s="73" t="s">
        <v>391</v>
      </c>
      <c r="H88" s="1273"/>
      <c r="I88" s="1273"/>
      <c r="J88" s="1273"/>
      <c r="K88" s="1273"/>
      <c r="L88" s="1273"/>
      <c r="M88" s="1273"/>
      <c r="N88" s="1273"/>
      <c r="O88" s="1273"/>
      <c r="P88" s="1273"/>
    </row>
    <row r="89" spans="2:25" ht="7.5" customHeight="1"/>
    <row r="90" spans="2:25">
      <c r="C90" s="1272" t="s">
        <v>577</v>
      </c>
      <c r="D90" s="1272"/>
      <c r="E90" s="1272"/>
      <c r="F90" s="1272"/>
      <c r="G90" s="73" t="s">
        <v>391</v>
      </c>
      <c r="H90" s="1273"/>
      <c r="I90" s="1273"/>
      <c r="J90" s="1273"/>
      <c r="K90" s="1273"/>
      <c r="L90" s="1273"/>
      <c r="M90" s="1273"/>
      <c r="N90" s="1273"/>
      <c r="O90" s="1273"/>
      <c r="P90" s="1273"/>
    </row>
    <row r="91" spans="2:25" ht="7.5" customHeight="1"/>
    <row r="92" spans="2:25" ht="7.5" customHeight="1"/>
    <row r="93" spans="2:25">
      <c r="C93" s="57" t="s">
        <v>578</v>
      </c>
      <c r="J93" s="1273"/>
      <c r="K93" s="1273"/>
      <c r="L93" s="1273"/>
      <c r="M93" s="1273"/>
      <c r="N93" s="1273"/>
      <c r="O93" s="1273"/>
      <c r="P93" s="57" t="s">
        <v>579</v>
      </c>
    </row>
    <row r="94" spans="2:25">
      <c r="C94" s="57" t="s">
        <v>580</v>
      </c>
    </row>
    <row r="96" spans="2:25">
      <c r="H96" s="1182"/>
      <c r="I96" s="1182"/>
      <c r="J96" s="1182"/>
      <c r="K96" s="1182"/>
      <c r="L96" s="57" t="s">
        <v>581</v>
      </c>
      <c r="M96" s="1182"/>
      <c r="N96" s="1182"/>
      <c r="O96" s="57" t="s">
        <v>582</v>
      </c>
      <c r="P96" s="1182"/>
      <c r="Q96" s="1182"/>
      <c r="R96" s="57" t="s">
        <v>408</v>
      </c>
    </row>
    <row r="99" spans="2:25">
      <c r="Q99" s="58" t="s">
        <v>583</v>
      </c>
      <c r="R99" s="1277"/>
      <c r="S99" s="1277"/>
      <c r="T99" s="1277"/>
      <c r="U99" s="1277"/>
      <c r="V99" s="1277"/>
      <c r="W99" s="1277"/>
      <c r="X99" s="1277"/>
      <c r="Y99" s="57" t="s">
        <v>584</v>
      </c>
    </row>
    <row r="102" spans="2:25">
      <c r="B102" s="57" t="s">
        <v>585</v>
      </c>
    </row>
  </sheetData>
  <mergeCells count="85">
    <mergeCell ref="J93:O93"/>
    <mergeCell ref="H96:K96"/>
    <mergeCell ref="M96:N96"/>
    <mergeCell ref="P96:Q96"/>
    <mergeCell ref="R99:X99"/>
    <mergeCell ref="C86:F86"/>
    <mergeCell ref="H86:Y86"/>
    <mergeCell ref="C88:F88"/>
    <mergeCell ref="H88:P88"/>
    <mergeCell ref="C90:F90"/>
    <mergeCell ref="H90:P90"/>
    <mergeCell ref="C78:F78"/>
    <mergeCell ref="H78:Y78"/>
    <mergeCell ref="C80:F80"/>
    <mergeCell ref="H80:P80"/>
    <mergeCell ref="C84:F84"/>
    <mergeCell ref="H84:P84"/>
    <mergeCell ref="C76:F76"/>
    <mergeCell ref="H76:P76"/>
    <mergeCell ref="C63:F63"/>
    <mergeCell ref="H63:P63"/>
    <mergeCell ref="C65:F65"/>
    <mergeCell ref="H65:Y65"/>
    <mergeCell ref="C67:F67"/>
    <mergeCell ref="H67:P67"/>
    <mergeCell ref="C69:I69"/>
    <mergeCell ref="K69:S69"/>
    <mergeCell ref="C74:F74"/>
    <mergeCell ref="H74:P74"/>
    <mergeCell ref="R74:S74"/>
    <mergeCell ref="E48:G48"/>
    <mergeCell ref="I48:R48"/>
    <mergeCell ref="C61:F61"/>
    <mergeCell ref="H61:P61"/>
    <mergeCell ref="E49:G49"/>
    <mergeCell ref="I49:AB49"/>
    <mergeCell ref="E50:G50"/>
    <mergeCell ref="I50:R50"/>
    <mergeCell ref="E52:G52"/>
    <mergeCell ref="I52:AB52"/>
    <mergeCell ref="E53:G53"/>
    <mergeCell ref="I53:O53"/>
    <mergeCell ref="E54:G54"/>
    <mergeCell ref="I54:R54"/>
    <mergeCell ref="I56:T56"/>
    <mergeCell ref="U48:AA48"/>
    <mergeCell ref="Q27:T27"/>
    <mergeCell ref="L46:S46"/>
    <mergeCell ref="C19:G19"/>
    <mergeCell ref="P19:S19"/>
    <mergeCell ref="C14:G14"/>
    <mergeCell ref="M14:N14"/>
    <mergeCell ref="P14:V14"/>
    <mergeCell ref="K16:Q16"/>
    <mergeCell ref="T16:Z16"/>
    <mergeCell ref="K17:Q17"/>
    <mergeCell ref="T17:Z17"/>
    <mergeCell ref="Q26:T26"/>
    <mergeCell ref="Z14:AA14"/>
    <mergeCell ref="M15:N15"/>
    <mergeCell ref="R15:S15"/>
    <mergeCell ref="C11:G11"/>
    <mergeCell ref="K11:L11"/>
    <mergeCell ref="X11:Y11"/>
    <mergeCell ref="C12:G12"/>
    <mergeCell ref="C13:G13"/>
    <mergeCell ref="L13:M13"/>
    <mergeCell ref="P13:V13"/>
    <mergeCell ref="C8:G8"/>
    <mergeCell ref="I8:AB8"/>
    <mergeCell ref="C9:G9"/>
    <mergeCell ref="I9:AB9"/>
    <mergeCell ref="C10:G10"/>
    <mergeCell ref="I10:K10"/>
    <mergeCell ref="L10:M10"/>
    <mergeCell ref="N10:P10"/>
    <mergeCell ref="V10:X10"/>
    <mergeCell ref="Z10:AB10"/>
    <mergeCell ref="N7:R7"/>
    <mergeCell ref="U7:Y7"/>
    <mergeCell ref="F1:W1"/>
    <mergeCell ref="A3:H3"/>
    <mergeCell ref="Q3:S3"/>
    <mergeCell ref="C6:G6"/>
    <mergeCell ref="I6:O6"/>
  </mergeCells>
  <phoneticPr fontId="2" type="noConversion"/>
  <hyperlinks>
    <hyperlink ref="AG1" r:id="rId1" display="세무사는 임금명세서를 작성, 확인할 수 없습니다. (by 박사영 노무사)" xr:uid="{06960583-B6C1-48F1-97FA-A819532662CE}"/>
  </hyperlinks>
  <pageMargins left="0.31496062992125984" right="0.31496062992125984" top="0.59055118110236227" bottom="0.39370078740157483" header="0.31496062992125984" footer="0"/>
  <pageSetup paperSize="9" orientation="portrait" verticalDpi="0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AE9E1-EE4C-4E4C-9346-ED41AFB23A13}">
  <sheetPr codeName="Sheet26">
    <tabColor theme="9" tint="-0.499984740745262"/>
  </sheetPr>
  <dimension ref="A1:AH51"/>
  <sheetViews>
    <sheetView showGridLines="0" workbookViewId="0">
      <selection activeCell="I49" sqref="I49:AB49"/>
    </sheetView>
  </sheetViews>
  <sheetFormatPr defaultColWidth="3.125" defaultRowHeight="17.25"/>
  <cols>
    <col min="1" max="7" width="3.125" style="57"/>
    <col min="8" max="8" width="1.75" style="57" customWidth="1"/>
    <col min="9" max="16384" width="3.125" style="57"/>
  </cols>
  <sheetData>
    <row r="1" spans="1:34" s="45" customFormat="1" ht="29.25" customHeight="1" thickTop="1" thickBot="1">
      <c r="F1" s="1268" t="s">
        <v>586</v>
      </c>
      <c r="G1" s="1269"/>
      <c r="H1" s="1269"/>
      <c r="I1" s="1269"/>
      <c r="J1" s="1269"/>
      <c r="K1" s="1269"/>
      <c r="L1" s="1269"/>
      <c r="M1" s="1269"/>
      <c r="N1" s="1269"/>
      <c r="O1" s="1269"/>
      <c r="P1" s="1269"/>
      <c r="Q1" s="1269"/>
      <c r="R1" s="1269"/>
      <c r="S1" s="1269"/>
      <c r="T1" s="1269"/>
      <c r="U1" s="1269"/>
      <c r="V1" s="1269"/>
      <c r="W1" s="1270"/>
    </row>
    <row r="2" spans="1:34" s="45" customFormat="1" ht="14.25" customHeight="1" thickTop="1">
      <c r="AH2" s="15" t="s">
        <v>1080</v>
      </c>
    </row>
    <row r="3" spans="1:34" s="46" customFormat="1">
      <c r="A3" s="1173" t="s">
        <v>385</v>
      </c>
      <c r="B3" s="1173"/>
      <c r="C3" s="1173"/>
      <c r="D3" s="1173"/>
      <c r="E3" s="1173"/>
      <c r="F3" s="1173"/>
      <c r="G3" s="1173"/>
      <c r="H3" s="1173"/>
      <c r="I3" s="46" t="s">
        <v>386</v>
      </c>
      <c r="Q3" s="1173" t="s">
        <v>387</v>
      </c>
      <c r="R3" s="1173"/>
      <c r="S3" s="1173"/>
      <c r="T3" s="46" t="s">
        <v>388</v>
      </c>
    </row>
    <row r="4" spans="1:34" s="46" customFormat="1">
      <c r="A4" s="46" t="s">
        <v>389</v>
      </c>
    </row>
    <row r="5" spans="1:34" s="46" customFormat="1" ht="7.5" customHeight="1"/>
    <row r="6" spans="1:34" ht="15" customHeight="1">
      <c r="B6" s="47" t="s">
        <v>313</v>
      </c>
      <c r="C6" s="1278" t="s">
        <v>587</v>
      </c>
      <c r="D6" s="1278"/>
      <c r="E6" s="1278"/>
      <c r="F6" s="1278"/>
      <c r="G6" s="1278"/>
      <c r="H6" s="70" t="s">
        <v>391</v>
      </c>
      <c r="I6" s="1279"/>
      <c r="J6" s="1279"/>
      <c r="K6" s="1279"/>
      <c r="L6" s="1279"/>
      <c r="M6" s="1279"/>
      <c r="N6" s="57" t="s">
        <v>392</v>
      </c>
      <c r="O6" s="79"/>
      <c r="P6" s="1279"/>
      <c r="Q6" s="1279"/>
      <c r="R6" s="1279"/>
      <c r="S6" s="1279"/>
      <c r="T6" s="1279"/>
      <c r="U6" s="57" t="s">
        <v>394</v>
      </c>
    </row>
    <row r="7" spans="1:34" s="46" customFormat="1" ht="15" customHeight="1">
      <c r="B7" s="47"/>
      <c r="C7" s="1174"/>
      <c r="D7" s="1174"/>
      <c r="E7" s="1174"/>
      <c r="F7" s="1174"/>
      <c r="G7" s="1174"/>
      <c r="H7" s="70"/>
      <c r="I7" s="80" t="s">
        <v>588</v>
      </c>
      <c r="J7" s="55"/>
      <c r="K7" s="55"/>
      <c r="L7" s="55"/>
      <c r="M7" s="55"/>
      <c r="N7" s="55"/>
      <c r="O7" s="55"/>
    </row>
    <row r="8" spans="1:34" s="46" customFormat="1" ht="15" customHeight="1">
      <c r="B8" s="47" t="s">
        <v>314</v>
      </c>
      <c r="C8" s="1278" t="s">
        <v>395</v>
      </c>
      <c r="D8" s="1278"/>
      <c r="E8" s="1278"/>
      <c r="F8" s="1278"/>
      <c r="G8" s="1278"/>
      <c r="H8" s="70" t="s">
        <v>391</v>
      </c>
      <c r="I8" s="1175" t="s">
        <v>396</v>
      </c>
      <c r="J8" s="1175"/>
      <c r="K8" s="1175"/>
      <c r="L8" s="1175"/>
      <c r="M8" s="1175"/>
      <c r="N8" s="1175"/>
      <c r="O8" s="1175"/>
      <c r="P8" s="1175"/>
      <c r="Q8" s="1175"/>
      <c r="R8" s="1175"/>
      <c r="S8" s="1175"/>
      <c r="T8" s="1175"/>
      <c r="U8" s="1175"/>
      <c r="V8" s="1175"/>
      <c r="W8" s="1175"/>
      <c r="X8" s="1175"/>
      <c r="Y8" s="1175"/>
      <c r="Z8" s="1175"/>
      <c r="AA8" s="1175"/>
      <c r="AB8" s="1175"/>
    </row>
    <row r="9" spans="1:34" s="46" customFormat="1" ht="15" customHeight="1">
      <c r="B9" s="47" t="s">
        <v>315</v>
      </c>
      <c r="C9" s="1278" t="s">
        <v>589</v>
      </c>
      <c r="D9" s="1280"/>
      <c r="E9" s="1280"/>
      <c r="F9" s="1280"/>
      <c r="G9" s="1280"/>
      <c r="H9" s="70" t="s">
        <v>391</v>
      </c>
      <c r="I9" s="1175"/>
      <c r="J9" s="1175"/>
      <c r="K9" s="1175"/>
      <c r="L9" s="1175"/>
      <c r="M9" s="1175"/>
      <c r="N9" s="1175"/>
      <c r="O9" s="1175"/>
      <c r="P9" s="1175"/>
      <c r="Q9" s="1175"/>
      <c r="R9" s="1175"/>
      <c r="S9" s="1175"/>
      <c r="T9" s="1175"/>
      <c r="U9" s="1175"/>
      <c r="V9" s="1175"/>
      <c r="W9" s="1175"/>
      <c r="X9" s="1175"/>
      <c r="Y9" s="1175"/>
      <c r="Z9" s="1175"/>
      <c r="AA9" s="1175"/>
      <c r="AB9" s="1175"/>
    </row>
    <row r="10" spans="1:34" s="46" customFormat="1" ht="15" customHeight="1">
      <c r="B10" s="47" t="s">
        <v>398</v>
      </c>
      <c r="C10" s="1280" t="s">
        <v>399</v>
      </c>
      <c r="D10" s="1280"/>
      <c r="E10" s="1280"/>
      <c r="F10" s="1280"/>
      <c r="G10" s="1280"/>
      <c r="H10" s="70" t="s">
        <v>391</v>
      </c>
      <c r="I10" s="1176">
        <v>0.375</v>
      </c>
      <c r="J10" s="1176"/>
      <c r="K10" s="1176"/>
      <c r="L10" s="1177" t="s">
        <v>392</v>
      </c>
      <c r="M10" s="1177"/>
      <c r="N10" s="1176">
        <v>0.75</v>
      </c>
      <c r="O10" s="1176"/>
      <c r="P10" s="1176"/>
      <c r="Q10" s="46" t="s">
        <v>400</v>
      </c>
      <c r="V10" s="1176">
        <v>0.5</v>
      </c>
      <c r="W10" s="1176"/>
      <c r="X10" s="1176"/>
      <c r="Y10" s="56" t="s">
        <v>401</v>
      </c>
      <c r="Z10" s="1176">
        <v>0.54166666666666663</v>
      </c>
      <c r="AA10" s="1176"/>
      <c r="AB10" s="1176"/>
      <c r="AC10" s="46" t="s">
        <v>402</v>
      </c>
    </row>
    <row r="11" spans="1:34" s="45" customFormat="1" ht="15" customHeight="1">
      <c r="B11" s="47" t="s">
        <v>403</v>
      </c>
      <c r="C11" s="1280" t="s">
        <v>404</v>
      </c>
      <c r="D11" s="1280"/>
      <c r="E11" s="1280"/>
      <c r="F11" s="1280"/>
      <c r="G11" s="1280"/>
      <c r="H11" s="70" t="s">
        <v>391</v>
      </c>
      <c r="I11" s="75" t="s">
        <v>405</v>
      </c>
      <c r="J11" s="57"/>
      <c r="K11" s="1178">
        <v>5</v>
      </c>
      <c r="L11" s="1178"/>
      <c r="M11" s="75" t="s">
        <v>590</v>
      </c>
      <c r="N11" s="57"/>
      <c r="O11" s="57"/>
      <c r="P11" s="57"/>
      <c r="Q11" s="57"/>
      <c r="R11" s="57"/>
      <c r="S11" s="75" t="s">
        <v>407</v>
      </c>
      <c r="U11" s="57"/>
      <c r="V11" s="57"/>
      <c r="W11" s="81" t="s">
        <v>408</v>
      </c>
      <c r="X11" s="75" t="s">
        <v>591</v>
      </c>
      <c r="AA11" s="57"/>
      <c r="AB11" s="57"/>
      <c r="AC11" s="57"/>
    </row>
    <row r="12" spans="1:34" s="45" customFormat="1" ht="15" customHeight="1">
      <c r="B12" s="47"/>
      <c r="C12" s="82" t="s">
        <v>592</v>
      </c>
      <c r="D12" s="82"/>
      <c r="E12" s="82"/>
      <c r="F12" s="82"/>
      <c r="G12" s="82"/>
      <c r="H12" s="70"/>
      <c r="I12" s="75"/>
      <c r="J12" s="57"/>
      <c r="K12" s="83"/>
      <c r="L12" s="83"/>
      <c r="M12" s="75"/>
      <c r="N12" s="57"/>
      <c r="O12" s="57"/>
      <c r="P12" s="57"/>
      <c r="Q12" s="57"/>
      <c r="R12" s="57"/>
      <c r="S12" s="75"/>
      <c r="U12" s="57"/>
      <c r="V12" s="57"/>
      <c r="W12" s="84"/>
      <c r="X12" s="75"/>
      <c r="AA12" s="57"/>
      <c r="AB12" s="57"/>
      <c r="AC12" s="57"/>
    </row>
    <row r="13" spans="1:34" s="45" customFormat="1" ht="15" customHeight="1">
      <c r="B13" s="47" t="s">
        <v>410</v>
      </c>
      <c r="C13" s="1174" t="s">
        <v>411</v>
      </c>
      <c r="D13" s="1174"/>
      <c r="E13" s="1174"/>
      <c r="F13" s="1174"/>
      <c r="G13" s="1174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34" ht="15" customHeight="1">
      <c r="C14" s="1179" t="s">
        <v>412</v>
      </c>
      <c r="D14" s="1179"/>
      <c r="E14" s="1179"/>
      <c r="F14" s="1179"/>
      <c r="G14" s="1179"/>
      <c r="H14" s="70"/>
      <c r="J14" s="70" t="s">
        <v>391</v>
      </c>
      <c r="K14" s="58" t="s">
        <v>413</v>
      </c>
      <c r="L14" s="1180" t="s">
        <v>593</v>
      </c>
      <c r="M14" s="1180"/>
      <c r="N14" s="59" t="s">
        <v>402</v>
      </c>
      <c r="P14" s="85"/>
      <c r="Q14" s="85"/>
      <c r="R14" s="85"/>
      <c r="S14" s="85"/>
      <c r="T14" s="85"/>
      <c r="U14" s="85"/>
      <c r="V14" s="85"/>
      <c r="W14" s="57" t="s">
        <v>594</v>
      </c>
    </row>
    <row r="15" spans="1:34" ht="15" customHeight="1">
      <c r="C15" s="1179" t="s">
        <v>416</v>
      </c>
      <c r="D15" s="1179"/>
      <c r="E15" s="1179"/>
      <c r="F15" s="1179"/>
      <c r="G15" s="1179"/>
      <c r="H15" s="70"/>
      <c r="J15" s="70" t="s">
        <v>391</v>
      </c>
      <c r="K15" s="57" t="s">
        <v>417</v>
      </c>
      <c r="M15" s="1182"/>
      <c r="N15" s="1182"/>
      <c r="O15" s="57" t="s">
        <v>418</v>
      </c>
      <c r="P15" s="1181"/>
      <c r="Q15" s="1181"/>
      <c r="R15" s="1181"/>
      <c r="S15" s="1181"/>
      <c r="T15" s="1181"/>
      <c r="U15" s="1181"/>
      <c r="V15" s="1181"/>
      <c r="W15" s="57" t="s">
        <v>419</v>
      </c>
      <c r="X15" s="57" t="s">
        <v>420</v>
      </c>
      <c r="Z15" s="1183" t="s">
        <v>421</v>
      </c>
      <c r="AA15" s="1183"/>
      <c r="AB15" s="57" t="s">
        <v>402</v>
      </c>
    </row>
    <row r="16" spans="1:34" ht="15" customHeight="1">
      <c r="C16" s="56" t="s">
        <v>595</v>
      </c>
      <c r="Q16" s="70" t="s">
        <v>391</v>
      </c>
      <c r="R16" s="1277"/>
      <c r="S16" s="1277"/>
      <c r="T16" s="1277"/>
      <c r="U16" s="1277"/>
      <c r="V16" s="1277"/>
      <c r="W16" s="1277"/>
      <c r="X16" s="1277"/>
      <c r="Y16" s="57" t="s">
        <v>596</v>
      </c>
    </row>
    <row r="17" spans="2:28" ht="15" customHeight="1">
      <c r="C17" s="56"/>
      <c r="D17" s="57" t="s">
        <v>597</v>
      </c>
      <c r="E17" s="1282" t="s">
        <v>598</v>
      </c>
      <c r="F17" s="1282"/>
      <c r="G17" s="1282"/>
      <c r="H17" s="1282"/>
      <c r="I17" s="1282"/>
      <c r="J17" s="1282"/>
      <c r="K17" s="70" t="s">
        <v>391</v>
      </c>
      <c r="L17" s="1277"/>
      <c r="M17" s="1277"/>
      <c r="N17" s="1277"/>
      <c r="O17" s="1277"/>
      <c r="P17" s="1277"/>
      <c r="Q17" s="1277"/>
      <c r="R17" s="59" t="s">
        <v>599</v>
      </c>
      <c r="S17" s="70"/>
      <c r="T17" s="1281"/>
      <c r="U17" s="1281"/>
      <c r="V17" s="1281"/>
      <c r="W17" s="1281"/>
      <c r="X17" s="1281"/>
      <c r="Y17" s="57" t="s">
        <v>600</v>
      </c>
    </row>
    <row r="18" spans="2:28" ht="15" customHeight="1">
      <c r="C18" s="56"/>
      <c r="D18" s="57" t="s">
        <v>597</v>
      </c>
      <c r="E18" s="1282" t="s">
        <v>601</v>
      </c>
      <c r="F18" s="1282"/>
      <c r="G18" s="1282"/>
      <c r="H18" s="1282"/>
      <c r="I18" s="1282"/>
      <c r="J18" s="1282"/>
      <c r="K18" s="70" t="s">
        <v>391</v>
      </c>
      <c r="L18" s="1277"/>
      <c r="M18" s="1277"/>
      <c r="N18" s="1277"/>
      <c r="O18" s="1277"/>
      <c r="P18" s="1277"/>
      <c r="Q18" s="1277"/>
      <c r="R18" s="59" t="s">
        <v>599</v>
      </c>
      <c r="S18" s="70"/>
      <c r="T18" s="1281"/>
      <c r="U18" s="1281"/>
      <c r="V18" s="1281"/>
      <c r="W18" s="1281"/>
      <c r="X18" s="1281"/>
      <c r="Y18" s="57" t="s">
        <v>600</v>
      </c>
    </row>
    <row r="19" spans="2:28" ht="15" customHeight="1">
      <c r="C19" s="56"/>
      <c r="D19" s="57" t="s">
        <v>597</v>
      </c>
      <c r="E19" s="1282" t="s">
        <v>602</v>
      </c>
      <c r="F19" s="1282"/>
      <c r="G19" s="1282"/>
      <c r="H19" s="1282"/>
      <c r="I19" s="1282"/>
      <c r="J19" s="1282"/>
      <c r="K19" s="70" t="s">
        <v>391</v>
      </c>
      <c r="L19" s="1277"/>
      <c r="M19" s="1277"/>
      <c r="N19" s="1277"/>
      <c r="O19" s="1277"/>
      <c r="P19" s="1277"/>
      <c r="Q19" s="1277"/>
      <c r="R19" s="59" t="s">
        <v>599</v>
      </c>
      <c r="S19" s="70"/>
      <c r="T19" s="1281"/>
      <c r="U19" s="1281"/>
      <c r="V19" s="1281"/>
      <c r="W19" s="1281"/>
      <c r="X19" s="1281"/>
      <c r="Y19" s="57" t="s">
        <v>600</v>
      </c>
    </row>
    <row r="20" spans="2:28" ht="7.5" customHeight="1"/>
    <row r="21" spans="2:28" ht="15" customHeight="1">
      <c r="C21" s="1179" t="s">
        <v>423</v>
      </c>
      <c r="D21" s="1179"/>
      <c r="E21" s="1179"/>
      <c r="F21" s="1179"/>
      <c r="G21" s="1179"/>
      <c r="H21" s="70" t="s">
        <v>391</v>
      </c>
      <c r="I21" s="57" t="s">
        <v>424</v>
      </c>
      <c r="P21" s="1184" t="s">
        <v>425</v>
      </c>
      <c r="Q21" s="1184"/>
      <c r="R21" s="1184"/>
      <c r="S21" s="1184"/>
      <c r="T21" s="57" t="s">
        <v>426</v>
      </c>
    </row>
    <row r="22" spans="2:28" ht="15" customHeight="1">
      <c r="C22" s="71" t="s">
        <v>427</v>
      </c>
      <c r="H22" s="70" t="s">
        <v>391</v>
      </c>
      <c r="I22" s="57" t="s">
        <v>428</v>
      </c>
      <c r="Q22" s="57" t="s">
        <v>429</v>
      </c>
      <c r="AA22" s="72" t="s">
        <v>421</v>
      </c>
      <c r="AB22" s="70" t="s">
        <v>402</v>
      </c>
    </row>
    <row r="23" spans="2:28" ht="7.5" customHeight="1"/>
    <row r="24" spans="2:28">
      <c r="B24" s="47" t="s">
        <v>430</v>
      </c>
      <c r="C24" s="57" t="s">
        <v>431</v>
      </c>
    </row>
    <row r="25" spans="2:28">
      <c r="C25" s="56" t="s">
        <v>432</v>
      </c>
    </row>
    <row r="26" spans="2:28" ht="7.5" customHeight="1"/>
    <row r="27" spans="2:28">
      <c r="B27" s="57" t="s">
        <v>433</v>
      </c>
    </row>
    <row r="28" spans="2:28" ht="2.25" customHeight="1"/>
    <row r="29" spans="2:28">
      <c r="C29" s="62" t="s">
        <v>421</v>
      </c>
      <c r="D29" s="57" t="s">
        <v>434</v>
      </c>
      <c r="I29" s="62" t="s">
        <v>421</v>
      </c>
      <c r="J29" s="57" t="s">
        <v>435</v>
      </c>
      <c r="O29" s="62" t="s">
        <v>421</v>
      </c>
      <c r="P29" s="57" t="s">
        <v>436</v>
      </c>
      <c r="U29" s="62" t="s">
        <v>421</v>
      </c>
      <c r="V29" s="57" t="s">
        <v>437</v>
      </c>
    </row>
    <row r="30" spans="2:28" ht="2.25" customHeight="1"/>
    <row r="31" spans="2:28" ht="7.5" customHeight="1"/>
    <row r="32" spans="2:28">
      <c r="B32" s="57" t="s">
        <v>438</v>
      </c>
    </row>
    <row r="33" spans="2:28">
      <c r="C33" s="56" t="s">
        <v>603</v>
      </c>
    </row>
    <row r="34" spans="2:28">
      <c r="C34" s="56" t="s">
        <v>604</v>
      </c>
    </row>
    <row r="35" spans="2:28" ht="7.5" customHeight="1"/>
    <row r="36" spans="2:28">
      <c r="B36" s="57" t="s">
        <v>441</v>
      </c>
    </row>
    <row r="37" spans="2:28">
      <c r="C37" s="56" t="s">
        <v>442</v>
      </c>
    </row>
    <row r="38" spans="2:28">
      <c r="C38" s="57" t="s">
        <v>443</v>
      </c>
    </row>
    <row r="39" spans="2:28" ht="7.5" customHeight="1"/>
    <row r="40" spans="2:28">
      <c r="B40" s="57" t="s">
        <v>444</v>
      </c>
    </row>
    <row r="41" spans="2:28">
      <c r="C41" s="56" t="s">
        <v>445</v>
      </c>
    </row>
    <row r="42" spans="2:28" ht="3.75" customHeight="1">
      <c r="C42" s="56"/>
    </row>
    <row r="43" spans="2:28">
      <c r="L43" s="1185">
        <f ca="1">TODAY()</f>
        <v>44595</v>
      </c>
      <c r="M43" s="1185"/>
      <c r="N43" s="1185"/>
      <c r="O43" s="1185"/>
      <c r="P43" s="1185"/>
      <c r="Q43" s="1185"/>
      <c r="R43" s="1185"/>
      <c r="S43" s="1185"/>
    </row>
    <row r="44" spans="2:28" ht="3.75" customHeight="1"/>
    <row r="45" spans="2:28" ht="21" customHeight="1">
      <c r="B45" s="57" t="s">
        <v>446</v>
      </c>
      <c r="E45" s="1182" t="s">
        <v>447</v>
      </c>
      <c r="F45" s="1182"/>
      <c r="G45" s="1182"/>
      <c r="H45" s="47" t="s">
        <v>391</v>
      </c>
      <c r="I45" s="1186" t="str">
        <f>A3</f>
        <v>선우회계법인</v>
      </c>
      <c r="J45" s="1186"/>
      <c r="K45" s="1186"/>
      <c r="L45" s="1186"/>
      <c r="M45" s="1186"/>
      <c r="N45" s="1186"/>
      <c r="O45" s="1186"/>
      <c r="P45" s="1186"/>
      <c r="Q45" s="1186"/>
      <c r="R45" s="1186"/>
      <c r="S45" s="57" t="s">
        <v>448</v>
      </c>
      <c r="U45" s="1184" t="s">
        <v>449</v>
      </c>
      <c r="V45" s="1184"/>
      <c r="W45" s="1184"/>
      <c r="X45" s="1184"/>
      <c r="Y45" s="1184"/>
      <c r="Z45" s="1184"/>
      <c r="AA45" s="1184"/>
      <c r="AB45" s="57" t="s">
        <v>402</v>
      </c>
    </row>
    <row r="46" spans="2:28" ht="21" customHeight="1">
      <c r="E46" s="1182" t="s">
        <v>450</v>
      </c>
      <c r="F46" s="1182"/>
      <c r="G46" s="1182"/>
      <c r="H46" s="47" t="s">
        <v>391</v>
      </c>
      <c r="I46" s="1186" t="str">
        <f>I8</f>
        <v>충남 천안시 서북구 오성로 103 , 6층 (두정동,청풍프라자)</v>
      </c>
      <c r="J46" s="1186"/>
      <c r="K46" s="1186"/>
      <c r="L46" s="1186"/>
      <c r="M46" s="1186"/>
      <c r="N46" s="1186"/>
      <c r="O46" s="1186"/>
      <c r="P46" s="1186"/>
      <c r="Q46" s="1186"/>
      <c r="R46" s="1186"/>
      <c r="S46" s="1186"/>
      <c r="T46" s="1186"/>
      <c r="U46" s="1186"/>
      <c r="V46" s="1186"/>
      <c r="W46" s="1186"/>
      <c r="X46" s="1186"/>
      <c r="Y46" s="1186"/>
      <c r="Z46" s="1186"/>
      <c r="AA46" s="1186"/>
      <c r="AB46" s="1186"/>
    </row>
    <row r="47" spans="2:28" ht="21" customHeight="1">
      <c r="E47" s="1182" t="s">
        <v>451</v>
      </c>
      <c r="F47" s="1182"/>
      <c r="G47" s="1182"/>
      <c r="H47" s="47" t="s">
        <v>391</v>
      </c>
      <c r="I47" s="1184" t="s">
        <v>452</v>
      </c>
      <c r="J47" s="1184"/>
      <c r="K47" s="1184"/>
      <c r="L47" s="1184"/>
      <c r="M47" s="1184"/>
      <c r="N47" s="1184"/>
      <c r="O47" s="1184"/>
      <c r="P47" s="1184"/>
      <c r="Q47" s="1184"/>
      <c r="R47" s="1184"/>
      <c r="S47" s="63" t="s">
        <v>453</v>
      </c>
    </row>
    <row r="48" spans="2:28" ht="14.25" customHeight="1"/>
    <row r="49" spans="2:28" ht="21" customHeight="1">
      <c r="B49" s="57" t="s">
        <v>454</v>
      </c>
      <c r="E49" s="1182" t="s">
        <v>450</v>
      </c>
      <c r="F49" s="1182"/>
      <c r="G49" s="1182"/>
      <c r="H49" s="47" t="s">
        <v>391</v>
      </c>
      <c r="I49" s="1188" t="s">
        <v>396</v>
      </c>
      <c r="J49" s="1188"/>
      <c r="K49" s="1188"/>
      <c r="L49" s="1188"/>
      <c r="M49" s="1188"/>
      <c r="N49" s="1188"/>
      <c r="O49" s="1188"/>
      <c r="P49" s="1188"/>
      <c r="Q49" s="1188"/>
      <c r="R49" s="1188"/>
      <c r="S49" s="1188"/>
      <c r="T49" s="1188"/>
      <c r="U49" s="1188"/>
      <c r="V49" s="1188"/>
      <c r="W49" s="1188"/>
      <c r="X49" s="1188"/>
      <c r="Y49" s="1188"/>
      <c r="Z49" s="1188"/>
      <c r="AA49" s="1188"/>
      <c r="AB49" s="1188"/>
    </row>
    <row r="50" spans="2:28" ht="21" customHeight="1">
      <c r="E50" s="1182" t="s">
        <v>455</v>
      </c>
      <c r="F50" s="1182"/>
      <c r="G50" s="1182"/>
      <c r="H50" s="47" t="s">
        <v>391</v>
      </c>
      <c r="I50" s="1188" t="s">
        <v>456</v>
      </c>
      <c r="J50" s="1188"/>
      <c r="K50" s="1188"/>
      <c r="L50" s="1188"/>
      <c r="M50" s="1188"/>
      <c r="N50" s="1188"/>
      <c r="O50" s="1188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</row>
    <row r="51" spans="2:28" ht="21" customHeight="1">
      <c r="E51" s="1182" t="s">
        <v>457</v>
      </c>
      <c r="F51" s="1182"/>
      <c r="G51" s="1182"/>
      <c r="H51" s="47" t="s">
        <v>391</v>
      </c>
      <c r="I51" s="1187" t="str">
        <f>Q3</f>
        <v>주황규</v>
      </c>
      <c r="J51" s="1187"/>
      <c r="K51" s="1187"/>
      <c r="L51" s="1187"/>
      <c r="M51" s="1187"/>
      <c r="N51" s="1187"/>
      <c r="O51" s="1187"/>
      <c r="P51" s="1187"/>
      <c r="Q51" s="1187"/>
      <c r="R51" s="1187"/>
      <c r="S51" s="63" t="s">
        <v>453</v>
      </c>
    </row>
  </sheetData>
  <mergeCells count="52">
    <mergeCell ref="E51:G51"/>
    <mergeCell ref="I51:R51"/>
    <mergeCell ref="E46:G46"/>
    <mergeCell ref="I46:AB46"/>
    <mergeCell ref="E47:G47"/>
    <mergeCell ref="I47:R47"/>
    <mergeCell ref="E49:G49"/>
    <mergeCell ref="I49:AB49"/>
    <mergeCell ref="E50:G50"/>
    <mergeCell ref="I50:O50"/>
    <mergeCell ref="U45:AA45"/>
    <mergeCell ref="E18:J18"/>
    <mergeCell ref="L18:Q18"/>
    <mergeCell ref="T18:X18"/>
    <mergeCell ref="E19:J19"/>
    <mergeCell ref="L19:Q19"/>
    <mergeCell ref="T19:X19"/>
    <mergeCell ref="C21:G21"/>
    <mergeCell ref="P21:S21"/>
    <mergeCell ref="L43:S43"/>
    <mergeCell ref="E45:G45"/>
    <mergeCell ref="I45:R45"/>
    <mergeCell ref="T17:X17"/>
    <mergeCell ref="C15:G15"/>
    <mergeCell ref="M15:N15"/>
    <mergeCell ref="P15:V15"/>
    <mergeCell ref="Z15:AA15"/>
    <mergeCell ref="R16:X16"/>
    <mergeCell ref="E17:J17"/>
    <mergeCell ref="L17:Q17"/>
    <mergeCell ref="C7:G7"/>
    <mergeCell ref="C8:G8"/>
    <mergeCell ref="I8:AB8"/>
    <mergeCell ref="C9:G9"/>
    <mergeCell ref="I9:AB9"/>
    <mergeCell ref="Z10:AB10"/>
    <mergeCell ref="C11:G11"/>
    <mergeCell ref="K11:L11"/>
    <mergeCell ref="C13:G13"/>
    <mergeCell ref="C14:G14"/>
    <mergeCell ref="L14:M14"/>
    <mergeCell ref="C10:G10"/>
    <mergeCell ref="I10:K10"/>
    <mergeCell ref="L10:M10"/>
    <mergeCell ref="N10:P10"/>
    <mergeCell ref="V10:X10"/>
    <mergeCell ref="F1:W1"/>
    <mergeCell ref="A3:H3"/>
    <mergeCell ref="Q3:S3"/>
    <mergeCell ref="C6:G6"/>
    <mergeCell ref="I6:M6"/>
    <mergeCell ref="P6:T6"/>
  </mergeCells>
  <phoneticPr fontId="2" type="noConversion"/>
  <hyperlinks>
    <hyperlink ref="AH2" r:id="rId1" display="세무사는 임금명세서를 작성, 확인할 수 없습니다. (by 박사영 노무사)" xr:uid="{E8968DFB-494F-4860-A155-971BE2B183EC}"/>
  </hyperlinks>
  <pageMargins left="0.31496062992125984" right="0.31496062992125984" top="0.55118110236220474" bottom="0.55118110236220474" header="0.31496062992125984" footer="0"/>
  <pageSetup paperSize="9" orientation="portrait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93A02-4E50-4F1E-870B-11E6D7C38D06}">
  <sheetPr codeName="Sheet27">
    <tabColor theme="9" tint="-0.499984740745262"/>
  </sheetPr>
  <dimension ref="A1:AV50"/>
  <sheetViews>
    <sheetView showGridLines="0" workbookViewId="0">
      <selection activeCell="A3" sqref="A3:K3"/>
    </sheetView>
  </sheetViews>
  <sheetFormatPr defaultColWidth="2.125" defaultRowHeight="16.5"/>
  <cols>
    <col min="1" max="16384" width="2.125" style="75"/>
  </cols>
  <sheetData>
    <row r="1" spans="1:48" s="45" customFormat="1" ht="29.25" customHeight="1" thickTop="1" thickBot="1">
      <c r="M1" s="1268" t="s">
        <v>605</v>
      </c>
      <c r="N1" s="1269"/>
      <c r="O1" s="1269"/>
      <c r="P1" s="1269"/>
      <c r="Q1" s="1269"/>
      <c r="R1" s="1269"/>
      <c r="S1" s="1269"/>
      <c r="T1" s="1269"/>
      <c r="U1" s="1269"/>
      <c r="V1" s="1269"/>
      <c r="W1" s="1269"/>
      <c r="X1" s="1269"/>
      <c r="Y1" s="1269"/>
      <c r="Z1" s="1269"/>
      <c r="AA1" s="1269"/>
      <c r="AB1" s="1269"/>
      <c r="AC1" s="1269"/>
      <c r="AD1" s="1270"/>
      <c r="AV1" s="15" t="s">
        <v>1080</v>
      </c>
    </row>
    <row r="2" spans="1:48" s="57" customFormat="1" ht="11.25" customHeight="1" thickTop="1"/>
    <row r="3" spans="1:48" s="46" customFormat="1" ht="17.25">
      <c r="A3" s="1284" t="s">
        <v>385</v>
      </c>
      <c r="B3" s="1284"/>
      <c r="C3" s="1284"/>
      <c r="D3" s="1284"/>
      <c r="E3" s="1284"/>
      <c r="F3" s="1284"/>
      <c r="G3" s="1284"/>
      <c r="H3" s="1284"/>
      <c r="I3" s="1284"/>
      <c r="J3" s="1284"/>
      <c r="K3" s="1284"/>
      <c r="L3" s="46" t="s">
        <v>386</v>
      </c>
      <c r="X3" s="1173" t="s">
        <v>387</v>
      </c>
      <c r="Y3" s="1173"/>
      <c r="Z3" s="1173"/>
      <c r="AA3" s="46" t="s">
        <v>388</v>
      </c>
    </row>
    <row r="4" spans="1:48" s="46" customFormat="1" ht="17.25">
      <c r="A4" s="46" t="s">
        <v>389</v>
      </c>
    </row>
    <row r="5" spans="1:48" s="57" customFormat="1" ht="7.5" customHeight="1"/>
    <row r="6" spans="1:48">
      <c r="B6" s="86" t="s">
        <v>313</v>
      </c>
      <c r="C6" s="1285" t="s">
        <v>587</v>
      </c>
      <c r="D6" s="1285"/>
      <c r="E6" s="1285"/>
      <c r="F6" s="1285"/>
      <c r="G6" s="1285"/>
      <c r="H6" s="1285"/>
      <c r="I6" s="1285"/>
      <c r="J6" s="87" t="s">
        <v>391</v>
      </c>
      <c r="K6" s="1283">
        <v>44287</v>
      </c>
      <c r="L6" s="1283"/>
      <c r="M6" s="1283"/>
      <c r="N6" s="1283"/>
      <c r="O6" s="1283"/>
      <c r="P6" s="1283"/>
      <c r="Q6" s="1283"/>
      <c r="R6" s="1283"/>
      <c r="S6" s="75" t="s">
        <v>606</v>
      </c>
    </row>
    <row r="7" spans="1:48" s="88" customFormat="1">
      <c r="C7" s="88" t="s">
        <v>607</v>
      </c>
      <c r="R7" s="1283"/>
      <c r="S7" s="1283"/>
      <c r="T7" s="1283"/>
      <c r="U7" s="1283"/>
      <c r="V7" s="1283"/>
      <c r="W7" s="1283"/>
      <c r="X7" s="1283"/>
      <c r="Y7" s="88" t="s">
        <v>392</v>
      </c>
      <c r="AA7" s="1283"/>
      <c r="AB7" s="1283"/>
      <c r="AC7" s="1283"/>
      <c r="AD7" s="1283"/>
      <c r="AE7" s="1283"/>
      <c r="AF7" s="1283"/>
      <c r="AG7" s="1283"/>
      <c r="AH7" s="88" t="s">
        <v>608</v>
      </c>
    </row>
    <row r="8" spans="1:48">
      <c r="B8" s="86" t="s">
        <v>314</v>
      </c>
      <c r="C8" s="1286" t="s">
        <v>609</v>
      </c>
      <c r="D8" s="1286"/>
      <c r="E8" s="1286"/>
      <c r="F8" s="1286"/>
      <c r="G8" s="1286"/>
      <c r="H8" s="1286"/>
      <c r="I8" s="1286"/>
      <c r="J8" s="87" t="s">
        <v>391</v>
      </c>
      <c r="K8" s="1287"/>
      <c r="L8" s="1287"/>
      <c r="M8" s="1287"/>
      <c r="N8" s="1287"/>
      <c r="O8" s="1287"/>
      <c r="P8" s="1287"/>
      <c r="Q8" s="1287"/>
      <c r="R8" s="1287"/>
      <c r="S8" s="1287"/>
      <c r="T8" s="1287"/>
      <c r="U8" s="1287"/>
      <c r="V8" s="1287"/>
      <c r="W8" s="1287"/>
      <c r="X8" s="1287"/>
      <c r="Y8" s="1287"/>
      <c r="Z8" s="1287"/>
      <c r="AA8" s="1287"/>
      <c r="AB8" s="1287"/>
      <c r="AC8" s="1287"/>
      <c r="AD8" s="1287"/>
      <c r="AE8" s="1287"/>
      <c r="AF8" s="1287"/>
      <c r="AG8" s="1287"/>
      <c r="AH8" s="1287"/>
      <c r="AI8" s="1287"/>
      <c r="AJ8" s="1287"/>
      <c r="AK8" s="1287"/>
      <c r="AL8" s="1287"/>
      <c r="AM8" s="1287"/>
      <c r="AN8" s="1287"/>
    </row>
    <row r="9" spans="1:48">
      <c r="B9" s="86" t="s">
        <v>315</v>
      </c>
      <c r="C9" s="1286" t="s">
        <v>397</v>
      </c>
      <c r="D9" s="1286"/>
      <c r="E9" s="1286"/>
      <c r="F9" s="1286"/>
      <c r="G9" s="1286"/>
      <c r="H9" s="1286"/>
      <c r="I9" s="1286"/>
      <c r="J9" s="87" t="s">
        <v>391</v>
      </c>
      <c r="K9" s="1287"/>
      <c r="L9" s="1287"/>
      <c r="M9" s="1287"/>
      <c r="N9" s="1287"/>
      <c r="O9" s="1287"/>
      <c r="P9" s="1287"/>
      <c r="Q9" s="1287"/>
      <c r="R9" s="1287"/>
      <c r="S9" s="1287"/>
      <c r="T9" s="1287"/>
      <c r="U9" s="1287"/>
      <c r="V9" s="1287"/>
      <c r="W9" s="1287"/>
      <c r="X9" s="1287"/>
      <c r="Y9" s="1287"/>
      <c r="Z9" s="1287"/>
      <c r="AA9" s="1287"/>
      <c r="AB9" s="1287"/>
      <c r="AC9" s="1287"/>
      <c r="AD9" s="1287"/>
      <c r="AE9" s="1287"/>
      <c r="AF9" s="1287"/>
      <c r="AG9" s="1287"/>
      <c r="AH9" s="1287"/>
      <c r="AI9" s="1287"/>
      <c r="AJ9" s="1287"/>
      <c r="AK9" s="1287"/>
      <c r="AL9" s="1287"/>
      <c r="AM9" s="1287"/>
      <c r="AN9" s="1287"/>
    </row>
    <row r="10" spans="1:48" ht="7.5" customHeight="1">
      <c r="B10" s="86"/>
      <c r="C10" s="89"/>
      <c r="D10" s="89"/>
      <c r="E10" s="89"/>
      <c r="F10" s="89"/>
      <c r="G10" s="89"/>
      <c r="H10" s="89"/>
      <c r="I10" s="89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</row>
    <row r="11" spans="1:48">
      <c r="B11" s="86" t="s">
        <v>398</v>
      </c>
      <c r="C11" s="75" t="s">
        <v>610</v>
      </c>
    </row>
    <row r="12" spans="1:48" ht="6" customHeight="1"/>
    <row r="13" spans="1:48">
      <c r="B13" s="1288" t="s">
        <v>20</v>
      </c>
      <c r="C13" s="1289"/>
      <c r="D13" s="1289"/>
      <c r="E13" s="1290"/>
      <c r="F13" s="90" t="s">
        <v>413</v>
      </c>
      <c r="G13" s="884" t="s">
        <v>582</v>
      </c>
      <c r="H13" s="884"/>
      <c r="I13" s="91" t="s">
        <v>611</v>
      </c>
      <c r="J13" s="91"/>
      <c r="K13" s="92"/>
      <c r="L13" s="90" t="s">
        <v>413</v>
      </c>
      <c r="M13" s="884" t="s">
        <v>612</v>
      </c>
      <c r="N13" s="884"/>
      <c r="O13" s="91" t="s">
        <v>611</v>
      </c>
      <c r="P13" s="91"/>
      <c r="Q13" s="92"/>
      <c r="R13" s="90" t="s">
        <v>413</v>
      </c>
      <c r="S13" s="884" t="s">
        <v>613</v>
      </c>
      <c r="T13" s="884"/>
      <c r="U13" s="91" t="s">
        <v>611</v>
      </c>
      <c r="V13" s="91"/>
      <c r="W13" s="92"/>
      <c r="X13" s="90" t="s">
        <v>413</v>
      </c>
      <c r="Y13" s="884" t="s">
        <v>614</v>
      </c>
      <c r="Z13" s="884"/>
      <c r="AA13" s="91" t="s">
        <v>611</v>
      </c>
      <c r="AB13" s="91"/>
      <c r="AC13" s="92"/>
      <c r="AD13" s="90" t="s">
        <v>413</v>
      </c>
      <c r="AE13" s="884" t="s">
        <v>615</v>
      </c>
      <c r="AF13" s="884"/>
      <c r="AG13" s="91" t="s">
        <v>611</v>
      </c>
      <c r="AH13" s="91"/>
      <c r="AI13" s="92"/>
      <c r="AJ13" s="90" t="s">
        <v>413</v>
      </c>
      <c r="AK13" s="91"/>
      <c r="AL13" s="91"/>
      <c r="AM13" s="91" t="s">
        <v>611</v>
      </c>
      <c r="AN13" s="91"/>
      <c r="AO13" s="92"/>
    </row>
    <row r="14" spans="1:48">
      <c r="B14" s="1288" t="s">
        <v>616</v>
      </c>
      <c r="C14" s="1289"/>
      <c r="D14" s="1289"/>
      <c r="E14" s="1290"/>
      <c r="F14" s="90"/>
      <c r="G14" s="884">
        <v>6</v>
      </c>
      <c r="H14" s="884"/>
      <c r="I14" s="884"/>
      <c r="J14" s="91" t="s">
        <v>64</v>
      </c>
      <c r="K14" s="92"/>
      <c r="L14" s="90"/>
      <c r="M14" s="884">
        <v>3</v>
      </c>
      <c r="N14" s="884"/>
      <c r="O14" s="884"/>
      <c r="P14" s="91" t="s">
        <v>64</v>
      </c>
      <c r="Q14" s="92"/>
      <c r="R14" s="90"/>
      <c r="S14" s="884">
        <v>6</v>
      </c>
      <c r="T14" s="884"/>
      <c r="U14" s="884"/>
      <c r="V14" s="91" t="s">
        <v>64</v>
      </c>
      <c r="W14" s="92"/>
      <c r="X14" s="90"/>
      <c r="Y14" s="884">
        <v>3</v>
      </c>
      <c r="Z14" s="884"/>
      <c r="AA14" s="884"/>
      <c r="AB14" s="91" t="s">
        <v>64</v>
      </c>
      <c r="AC14" s="92"/>
      <c r="AD14" s="90"/>
      <c r="AE14" s="884">
        <v>6</v>
      </c>
      <c r="AF14" s="884"/>
      <c r="AG14" s="884"/>
      <c r="AH14" s="91" t="s">
        <v>64</v>
      </c>
      <c r="AI14" s="92"/>
      <c r="AJ14" s="90"/>
      <c r="AK14" s="884"/>
      <c r="AL14" s="884"/>
      <c r="AM14" s="884"/>
      <c r="AN14" s="91" t="s">
        <v>64</v>
      </c>
      <c r="AO14" s="92"/>
    </row>
    <row r="15" spans="1:48">
      <c r="B15" s="1288" t="s">
        <v>617</v>
      </c>
      <c r="C15" s="1289"/>
      <c r="D15" s="1289"/>
      <c r="E15" s="1290"/>
      <c r="F15" s="1291">
        <v>9</v>
      </c>
      <c r="G15" s="1292"/>
      <c r="H15" s="93" t="s">
        <v>618</v>
      </c>
      <c r="I15" s="1292">
        <v>0</v>
      </c>
      <c r="J15" s="1292"/>
      <c r="K15" s="94" t="s">
        <v>310</v>
      </c>
      <c r="L15" s="1291">
        <v>9</v>
      </c>
      <c r="M15" s="1292"/>
      <c r="N15" s="93" t="s">
        <v>618</v>
      </c>
      <c r="O15" s="1292">
        <v>0</v>
      </c>
      <c r="P15" s="1292"/>
      <c r="Q15" s="94" t="s">
        <v>310</v>
      </c>
      <c r="R15" s="1291">
        <v>9</v>
      </c>
      <c r="S15" s="1292"/>
      <c r="T15" s="93" t="s">
        <v>618</v>
      </c>
      <c r="U15" s="1292">
        <v>0</v>
      </c>
      <c r="V15" s="1292"/>
      <c r="W15" s="94" t="s">
        <v>310</v>
      </c>
      <c r="X15" s="1291">
        <v>9</v>
      </c>
      <c r="Y15" s="1292"/>
      <c r="Z15" s="93" t="s">
        <v>618</v>
      </c>
      <c r="AA15" s="1292">
        <v>0</v>
      </c>
      <c r="AB15" s="1292"/>
      <c r="AC15" s="94" t="s">
        <v>310</v>
      </c>
      <c r="AD15" s="1291">
        <v>9</v>
      </c>
      <c r="AE15" s="1292"/>
      <c r="AF15" s="93" t="s">
        <v>618</v>
      </c>
      <c r="AG15" s="1292">
        <v>0</v>
      </c>
      <c r="AH15" s="1292"/>
      <c r="AI15" s="94" t="s">
        <v>310</v>
      </c>
      <c r="AJ15" s="1291"/>
      <c r="AK15" s="1292"/>
      <c r="AL15" s="93" t="s">
        <v>618</v>
      </c>
      <c r="AM15" s="1292"/>
      <c r="AN15" s="1292"/>
      <c r="AO15" s="94" t="s">
        <v>310</v>
      </c>
    </row>
    <row r="16" spans="1:48">
      <c r="B16" s="1288" t="s">
        <v>619</v>
      </c>
      <c r="C16" s="1289"/>
      <c r="D16" s="1289"/>
      <c r="E16" s="1290"/>
      <c r="F16" s="1291">
        <v>16</v>
      </c>
      <c r="G16" s="1292"/>
      <c r="H16" s="93" t="s">
        <v>618</v>
      </c>
      <c r="I16" s="1292">
        <v>0</v>
      </c>
      <c r="J16" s="1292"/>
      <c r="K16" s="94" t="s">
        <v>310</v>
      </c>
      <c r="L16" s="1291">
        <v>12</v>
      </c>
      <c r="M16" s="1292"/>
      <c r="N16" s="93" t="s">
        <v>618</v>
      </c>
      <c r="O16" s="1292">
        <v>0</v>
      </c>
      <c r="P16" s="1292"/>
      <c r="Q16" s="94" t="s">
        <v>310</v>
      </c>
      <c r="R16" s="1291">
        <v>16</v>
      </c>
      <c r="S16" s="1292"/>
      <c r="T16" s="93" t="s">
        <v>618</v>
      </c>
      <c r="U16" s="1292">
        <v>0</v>
      </c>
      <c r="V16" s="1292"/>
      <c r="W16" s="94" t="s">
        <v>310</v>
      </c>
      <c r="X16" s="1291">
        <v>12</v>
      </c>
      <c r="Y16" s="1292"/>
      <c r="Z16" s="93" t="s">
        <v>618</v>
      </c>
      <c r="AA16" s="1292">
        <v>0</v>
      </c>
      <c r="AB16" s="1292"/>
      <c r="AC16" s="94" t="s">
        <v>310</v>
      </c>
      <c r="AD16" s="1291">
        <v>16</v>
      </c>
      <c r="AE16" s="1292"/>
      <c r="AF16" s="93" t="s">
        <v>618</v>
      </c>
      <c r="AG16" s="1292">
        <v>0</v>
      </c>
      <c r="AH16" s="1292"/>
      <c r="AI16" s="94" t="s">
        <v>310</v>
      </c>
      <c r="AJ16" s="1291"/>
      <c r="AK16" s="1292"/>
      <c r="AL16" s="93" t="s">
        <v>618</v>
      </c>
      <c r="AM16" s="1292"/>
      <c r="AN16" s="1292"/>
      <c r="AO16" s="94" t="s">
        <v>310</v>
      </c>
    </row>
    <row r="17" spans="2:41">
      <c r="B17" s="1293" t="s">
        <v>620</v>
      </c>
      <c r="C17" s="1294"/>
      <c r="D17" s="1294"/>
      <c r="E17" s="1295"/>
      <c r="F17" s="1299">
        <v>12</v>
      </c>
      <c r="G17" s="1300"/>
      <c r="H17" s="95" t="s">
        <v>618</v>
      </c>
      <c r="I17" s="1301">
        <v>0</v>
      </c>
      <c r="J17" s="1301"/>
      <c r="K17" s="96" t="s">
        <v>310</v>
      </c>
      <c r="L17" s="1299"/>
      <c r="M17" s="1300"/>
      <c r="N17" s="95" t="s">
        <v>618</v>
      </c>
      <c r="O17" s="1301"/>
      <c r="P17" s="1301"/>
      <c r="Q17" s="96" t="s">
        <v>310</v>
      </c>
      <c r="R17" s="1299">
        <v>12</v>
      </c>
      <c r="S17" s="1300"/>
      <c r="T17" s="95" t="s">
        <v>618</v>
      </c>
      <c r="U17" s="1301">
        <v>0</v>
      </c>
      <c r="V17" s="1301"/>
      <c r="W17" s="96" t="s">
        <v>310</v>
      </c>
      <c r="X17" s="1299"/>
      <c r="Y17" s="1300"/>
      <c r="Z17" s="95" t="s">
        <v>618</v>
      </c>
      <c r="AA17" s="1301"/>
      <c r="AB17" s="1301"/>
      <c r="AC17" s="96" t="s">
        <v>310</v>
      </c>
      <c r="AD17" s="1299">
        <v>12</v>
      </c>
      <c r="AE17" s="1300"/>
      <c r="AF17" s="95" t="s">
        <v>618</v>
      </c>
      <c r="AG17" s="1301">
        <v>0</v>
      </c>
      <c r="AH17" s="1301"/>
      <c r="AI17" s="96" t="s">
        <v>310</v>
      </c>
      <c r="AJ17" s="1299"/>
      <c r="AK17" s="1300"/>
      <c r="AL17" s="95" t="s">
        <v>618</v>
      </c>
      <c r="AM17" s="1301"/>
      <c r="AN17" s="1301"/>
      <c r="AO17" s="96" t="s">
        <v>310</v>
      </c>
    </row>
    <row r="18" spans="2:41">
      <c r="B18" s="1296"/>
      <c r="C18" s="1297"/>
      <c r="D18" s="1297"/>
      <c r="E18" s="1298"/>
      <c r="F18" s="97" t="s">
        <v>401</v>
      </c>
      <c r="G18" s="98">
        <v>13</v>
      </c>
      <c r="H18" s="99" t="s">
        <v>618</v>
      </c>
      <c r="I18" s="1302">
        <v>0</v>
      </c>
      <c r="J18" s="1302"/>
      <c r="K18" s="100" t="s">
        <v>310</v>
      </c>
      <c r="L18" s="97" t="s">
        <v>401</v>
      </c>
      <c r="M18" s="98"/>
      <c r="N18" s="99" t="s">
        <v>618</v>
      </c>
      <c r="O18" s="1302"/>
      <c r="P18" s="1302"/>
      <c r="Q18" s="100" t="s">
        <v>310</v>
      </c>
      <c r="R18" s="97" t="s">
        <v>401</v>
      </c>
      <c r="S18" s="98">
        <v>13</v>
      </c>
      <c r="T18" s="99" t="s">
        <v>618</v>
      </c>
      <c r="U18" s="1302">
        <v>0</v>
      </c>
      <c r="V18" s="1302"/>
      <c r="W18" s="100" t="s">
        <v>310</v>
      </c>
      <c r="X18" s="97" t="s">
        <v>401</v>
      </c>
      <c r="Y18" s="98"/>
      <c r="Z18" s="99" t="s">
        <v>618</v>
      </c>
      <c r="AA18" s="1302"/>
      <c r="AB18" s="1302"/>
      <c r="AC18" s="100" t="s">
        <v>310</v>
      </c>
      <c r="AD18" s="97" t="s">
        <v>401</v>
      </c>
      <c r="AE18" s="98">
        <v>13</v>
      </c>
      <c r="AF18" s="99" t="s">
        <v>618</v>
      </c>
      <c r="AG18" s="1302">
        <v>0</v>
      </c>
      <c r="AH18" s="1302"/>
      <c r="AI18" s="100" t="s">
        <v>310</v>
      </c>
      <c r="AJ18" s="97" t="s">
        <v>401</v>
      </c>
      <c r="AK18" s="98"/>
      <c r="AL18" s="99" t="s">
        <v>618</v>
      </c>
      <c r="AM18" s="1302"/>
      <c r="AN18" s="1302"/>
      <c r="AO18" s="100" t="s">
        <v>310</v>
      </c>
    </row>
    <row r="19" spans="2:41" ht="3.75" customHeight="1"/>
    <row r="20" spans="2:41">
      <c r="B20" s="75" t="s">
        <v>621</v>
      </c>
      <c r="G20" s="75" t="s">
        <v>405</v>
      </c>
      <c r="J20" s="1303" t="s">
        <v>408</v>
      </c>
      <c r="K20" s="1303"/>
      <c r="L20" s="1303"/>
      <c r="M20" s="75" t="s">
        <v>409</v>
      </c>
    </row>
    <row r="21" spans="2:41" ht="7.5" customHeight="1"/>
    <row r="22" spans="2:41">
      <c r="B22" s="86" t="s">
        <v>403</v>
      </c>
      <c r="C22" s="75" t="s">
        <v>622</v>
      </c>
    </row>
    <row r="23" spans="2:41">
      <c r="C23" s="101" t="s">
        <v>623</v>
      </c>
      <c r="K23" s="1287"/>
      <c r="L23" s="1287"/>
      <c r="M23" s="1287"/>
      <c r="N23" s="1287"/>
      <c r="O23" s="1287"/>
      <c r="P23" s="1287"/>
      <c r="Q23" s="1287"/>
      <c r="R23" s="1287"/>
      <c r="S23" s="1287"/>
      <c r="T23" s="1287"/>
      <c r="U23" s="1287"/>
      <c r="V23" s="75" t="s">
        <v>624</v>
      </c>
    </row>
    <row r="24" spans="2:41">
      <c r="C24" s="101" t="s">
        <v>625</v>
      </c>
      <c r="J24" s="1285"/>
      <c r="K24" s="1285"/>
      <c r="L24" s="75" t="s">
        <v>402</v>
      </c>
      <c r="M24" s="1287"/>
      <c r="N24" s="1287"/>
      <c r="O24" s="1287"/>
      <c r="P24" s="1287"/>
      <c r="Q24" s="1287"/>
      <c r="R24" s="1287"/>
      <c r="S24" s="1287"/>
      <c r="T24" s="1287"/>
      <c r="U24" s="1287"/>
      <c r="V24" s="1287"/>
      <c r="W24" s="1287"/>
      <c r="X24" s="75" t="s">
        <v>626</v>
      </c>
      <c r="AB24" s="1304" t="s">
        <v>627</v>
      </c>
      <c r="AC24" s="1304"/>
      <c r="AD24" s="75" t="s">
        <v>402</v>
      </c>
    </row>
    <row r="25" spans="2:41">
      <c r="C25" s="102" t="s">
        <v>628</v>
      </c>
      <c r="P25" s="1287"/>
      <c r="Q25" s="1287"/>
      <c r="R25" s="1287"/>
      <c r="S25" s="1287"/>
      <c r="T25" s="1287"/>
      <c r="U25" s="1287"/>
      <c r="V25" s="1287"/>
      <c r="W25" s="1287"/>
      <c r="X25" s="1287"/>
      <c r="Y25" s="1287"/>
      <c r="Z25" s="1287"/>
      <c r="AA25" s="75" t="s">
        <v>629</v>
      </c>
      <c r="AJ25" s="1304" t="s">
        <v>627</v>
      </c>
      <c r="AK25" s="1304"/>
      <c r="AL25" s="75" t="s">
        <v>402</v>
      </c>
    </row>
    <row r="26" spans="2:41">
      <c r="C26" s="101" t="s">
        <v>630</v>
      </c>
      <c r="P26" s="1306"/>
      <c r="Q26" s="1306"/>
      <c r="R26" s="1306"/>
      <c r="S26" s="1306"/>
      <c r="T26" s="1306"/>
      <c r="U26" s="75" t="s">
        <v>631</v>
      </c>
    </row>
    <row r="27" spans="2:41">
      <c r="D27" s="103" t="s">
        <v>632</v>
      </c>
    </row>
    <row r="28" spans="2:41">
      <c r="E28" s="75" t="s">
        <v>633</v>
      </c>
    </row>
    <row r="29" spans="2:41">
      <c r="C29" s="101" t="s">
        <v>634</v>
      </c>
      <c r="R29" s="1303" t="s">
        <v>635</v>
      </c>
      <c r="S29" s="1303"/>
      <c r="T29" s="1303"/>
      <c r="U29" s="1303"/>
      <c r="V29" s="1303"/>
      <c r="W29" s="75" t="s">
        <v>426</v>
      </c>
    </row>
    <row r="30" spans="2:41">
      <c r="C30" s="101" t="s">
        <v>636</v>
      </c>
      <c r="Q30" s="1304" t="s">
        <v>627</v>
      </c>
      <c r="R30" s="1304"/>
      <c r="S30" s="75" t="s">
        <v>637</v>
      </c>
      <c r="AF30" s="1304" t="s">
        <v>627</v>
      </c>
      <c r="AG30" s="1304"/>
      <c r="AH30" s="75" t="s">
        <v>402</v>
      </c>
    </row>
    <row r="31" spans="2:41" ht="7.5" customHeight="1"/>
    <row r="32" spans="2:41">
      <c r="B32" s="75" t="s">
        <v>638</v>
      </c>
    </row>
    <row r="33" spans="1:41">
      <c r="B33" s="75" t="s">
        <v>639</v>
      </c>
    </row>
    <row r="34" spans="1:41">
      <c r="C34" s="75" t="s">
        <v>640</v>
      </c>
      <c r="D34" s="75" t="s">
        <v>27</v>
      </c>
      <c r="I34" s="75" t="s">
        <v>640</v>
      </c>
      <c r="J34" s="75" t="s">
        <v>641</v>
      </c>
      <c r="O34" s="75" t="s">
        <v>640</v>
      </c>
      <c r="P34" s="75" t="s">
        <v>26</v>
      </c>
      <c r="U34" s="75" t="s">
        <v>640</v>
      </c>
      <c r="V34" s="75" t="s">
        <v>28</v>
      </c>
    </row>
    <row r="35" spans="1:41" ht="3.75" customHeight="1"/>
    <row r="36" spans="1:41">
      <c r="B36" s="75" t="s">
        <v>642</v>
      </c>
    </row>
    <row r="37" spans="1:41">
      <c r="B37" s="101" t="s">
        <v>643</v>
      </c>
    </row>
    <row r="38" spans="1:41">
      <c r="B38" s="75" t="s">
        <v>644</v>
      </c>
    </row>
    <row r="39" spans="1:41">
      <c r="B39" s="75" t="s">
        <v>645</v>
      </c>
    </row>
    <row r="40" spans="1:41">
      <c r="B40" s="101" t="s">
        <v>646</v>
      </c>
    </row>
    <row r="41" spans="1:41">
      <c r="B41" s="75" t="s">
        <v>647</v>
      </c>
    </row>
    <row r="42" spans="1:41">
      <c r="B42" s="101" t="s">
        <v>648</v>
      </c>
    </row>
    <row r="43" spans="1:41" ht="17.25">
      <c r="O43" s="1185">
        <f ca="1">TODAY()</f>
        <v>44595</v>
      </c>
      <c r="P43" s="1185"/>
      <c r="Q43" s="1185"/>
      <c r="R43" s="1185"/>
      <c r="S43" s="1185"/>
      <c r="T43" s="1185"/>
      <c r="U43" s="1185"/>
      <c r="V43" s="1185"/>
      <c r="W43" s="1185"/>
      <c r="X43" s="1185"/>
      <c r="Y43" s="1185"/>
    </row>
    <row r="44" spans="1:41" ht="16.5" customHeight="1">
      <c r="A44" s="57"/>
      <c r="B44" s="57" t="s">
        <v>446</v>
      </c>
      <c r="C44" s="57"/>
      <c r="D44" s="57"/>
      <c r="F44" s="1282" t="s">
        <v>447</v>
      </c>
      <c r="G44" s="1282"/>
      <c r="H44" s="1282"/>
      <c r="I44" s="1282"/>
      <c r="J44" s="1282"/>
      <c r="K44" s="47" t="s">
        <v>391</v>
      </c>
      <c r="L44" s="1305"/>
      <c r="M44" s="1305"/>
      <c r="N44" s="1305"/>
      <c r="O44" s="1305"/>
      <c r="P44" s="1305"/>
      <c r="Q44" s="1305"/>
      <c r="R44" s="1305"/>
      <c r="S44" s="1305"/>
      <c r="T44" s="1305"/>
      <c r="U44" s="1305"/>
      <c r="V44" s="1305"/>
      <c r="W44" s="1305"/>
      <c r="X44" s="1305"/>
      <c r="Y44" s="75" t="s">
        <v>649</v>
      </c>
      <c r="AB44" s="1287"/>
      <c r="AC44" s="1287"/>
      <c r="AD44" s="1287"/>
      <c r="AE44" s="1287"/>
      <c r="AF44" s="1287"/>
      <c r="AG44" s="1287"/>
      <c r="AH44" s="1287"/>
      <c r="AI44" s="1287"/>
      <c r="AJ44" s="1287"/>
      <c r="AK44" s="1287"/>
      <c r="AL44" s="1287"/>
      <c r="AM44" s="1287"/>
      <c r="AN44" s="1287"/>
      <c r="AO44" s="75" t="s">
        <v>402</v>
      </c>
    </row>
    <row r="45" spans="1:41" ht="16.5" customHeight="1">
      <c r="F45" s="1282" t="s">
        <v>650</v>
      </c>
      <c r="G45" s="1282"/>
      <c r="H45" s="1282"/>
      <c r="I45" s="1282"/>
      <c r="J45" s="1282"/>
      <c r="K45" s="47" t="s">
        <v>391</v>
      </c>
      <c r="L45" s="1305"/>
      <c r="M45" s="1305"/>
      <c r="N45" s="1305"/>
      <c r="O45" s="1305"/>
      <c r="P45" s="1305"/>
      <c r="Q45" s="1305"/>
      <c r="R45" s="1305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  <c r="AC45" s="1305"/>
      <c r="AD45" s="1305"/>
      <c r="AE45" s="1305"/>
      <c r="AF45" s="1305"/>
      <c r="AG45" s="1305"/>
      <c r="AH45" s="1305"/>
      <c r="AI45" s="1305"/>
      <c r="AJ45" s="1305"/>
      <c r="AK45" s="1305"/>
      <c r="AL45" s="1305"/>
      <c r="AM45" s="1305"/>
      <c r="AN45" s="1305"/>
    </row>
    <row r="46" spans="1:41" ht="16.5" customHeight="1">
      <c r="F46" s="1282" t="s">
        <v>576</v>
      </c>
      <c r="G46" s="1282"/>
      <c r="H46" s="1282"/>
      <c r="I46" s="1282"/>
      <c r="J46" s="1282"/>
      <c r="K46" s="47" t="s">
        <v>391</v>
      </c>
      <c r="L46" s="1305"/>
      <c r="M46" s="1305"/>
      <c r="N46" s="1305"/>
      <c r="O46" s="1305"/>
      <c r="P46" s="1305"/>
      <c r="Q46" s="1305"/>
      <c r="R46" s="1305"/>
      <c r="S46" s="1305"/>
      <c r="T46" s="1305"/>
      <c r="U46" s="1305"/>
      <c r="V46" s="1305"/>
      <c r="W46" s="1305"/>
      <c r="X46" s="1305"/>
      <c r="Y46" s="75" t="s">
        <v>453</v>
      </c>
    </row>
    <row r="47" spans="1:41" ht="7.5" customHeight="1"/>
    <row r="48" spans="1:41" ht="16.5" customHeight="1">
      <c r="A48" s="57"/>
      <c r="B48" s="57" t="s">
        <v>454</v>
      </c>
      <c r="C48" s="57"/>
      <c r="D48" s="57"/>
      <c r="F48" s="1282" t="s">
        <v>650</v>
      </c>
      <c r="G48" s="1282"/>
      <c r="H48" s="1282"/>
      <c r="I48" s="1282"/>
      <c r="J48" s="1282"/>
      <c r="K48" s="47" t="s">
        <v>391</v>
      </c>
      <c r="L48" s="1305"/>
      <c r="M48" s="1305"/>
      <c r="N48" s="1305"/>
      <c r="O48" s="1305"/>
      <c r="P48" s="1305"/>
      <c r="Q48" s="1305"/>
      <c r="R48" s="1305"/>
      <c r="S48" s="1305"/>
      <c r="T48" s="1305"/>
      <c r="U48" s="1305"/>
      <c r="V48" s="1305"/>
      <c r="W48" s="1305"/>
      <c r="X48" s="1305"/>
      <c r="Y48" s="1305"/>
      <c r="Z48" s="1305"/>
      <c r="AA48" s="1305"/>
      <c r="AB48" s="1305"/>
      <c r="AC48" s="1305"/>
      <c r="AD48" s="1305"/>
      <c r="AE48" s="1305"/>
      <c r="AF48" s="1305"/>
      <c r="AG48" s="1305"/>
      <c r="AH48" s="1305"/>
      <c r="AI48" s="1305"/>
      <c r="AJ48" s="1305"/>
      <c r="AK48" s="1305"/>
      <c r="AL48" s="1305"/>
      <c r="AM48" s="1305"/>
      <c r="AN48" s="1305"/>
    </row>
    <row r="49" spans="6:24" ht="16.5" customHeight="1">
      <c r="F49" s="1282" t="s">
        <v>651</v>
      </c>
      <c r="G49" s="1282"/>
      <c r="H49" s="1282"/>
      <c r="I49" s="1282"/>
      <c r="J49" s="1282"/>
      <c r="K49" s="47" t="s">
        <v>391</v>
      </c>
      <c r="L49" s="1287"/>
      <c r="M49" s="1287"/>
      <c r="N49" s="1287"/>
      <c r="O49" s="1287"/>
      <c r="P49" s="1287"/>
      <c r="Q49" s="1287"/>
      <c r="R49" s="1287"/>
      <c r="S49" s="1287"/>
      <c r="T49" s="1287"/>
      <c r="U49" s="1287"/>
      <c r="V49" s="1287"/>
      <c r="W49" s="1287"/>
      <c r="X49" s="1287"/>
    </row>
    <row r="50" spans="6:24" ht="16.5" customHeight="1">
      <c r="F50" s="1282" t="s">
        <v>2</v>
      </c>
      <c r="G50" s="1282"/>
      <c r="H50" s="1282"/>
      <c r="I50" s="1282"/>
      <c r="J50" s="1282"/>
      <c r="K50" s="47" t="s">
        <v>391</v>
      </c>
      <c r="L50" s="1305"/>
      <c r="M50" s="1305"/>
      <c r="N50" s="1305"/>
      <c r="O50" s="1305"/>
      <c r="P50" s="1305"/>
      <c r="Q50" s="1305"/>
      <c r="R50" s="1305"/>
      <c r="S50" s="1305"/>
      <c r="T50" s="1305"/>
      <c r="U50" s="1305"/>
      <c r="V50" s="1305"/>
      <c r="W50" s="1305"/>
      <c r="X50" s="1305"/>
    </row>
  </sheetData>
  <mergeCells count="94">
    <mergeCell ref="F48:J48"/>
    <mergeCell ref="L48:AN48"/>
    <mergeCell ref="F49:J49"/>
    <mergeCell ref="L49:X49"/>
    <mergeCell ref="F50:J50"/>
    <mergeCell ref="L50:X50"/>
    <mergeCell ref="F46:J46"/>
    <mergeCell ref="L46:X46"/>
    <mergeCell ref="AJ25:AK25"/>
    <mergeCell ref="P26:T26"/>
    <mergeCell ref="R29:V29"/>
    <mergeCell ref="Q30:R30"/>
    <mergeCell ref="AF30:AG30"/>
    <mergeCell ref="O43:Y43"/>
    <mergeCell ref="P25:Z25"/>
    <mergeCell ref="F44:J44"/>
    <mergeCell ref="L44:X44"/>
    <mergeCell ref="AB44:AN44"/>
    <mergeCell ref="F45:J45"/>
    <mergeCell ref="L45:AN45"/>
    <mergeCell ref="J20:L20"/>
    <mergeCell ref="K23:U23"/>
    <mergeCell ref="J24:K24"/>
    <mergeCell ref="M24:W24"/>
    <mergeCell ref="AB24:AC24"/>
    <mergeCell ref="AD17:AE17"/>
    <mergeCell ref="AG17:AH17"/>
    <mergeCell ref="AJ17:AK17"/>
    <mergeCell ref="AM17:AN17"/>
    <mergeCell ref="I18:J18"/>
    <mergeCell ref="O18:P18"/>
    <mergeCell ref="U18:V18"/>
    <mergeCell ref="AA18:AB18"/>
    <mergeCell ref="AG18:AH18"/>
    <mergeCell ref="AM18:AN18"/>
    <mergeCell ref="R17:S17"/>
    <mergeCell ref="U17:V17"/>
    <mergeCell ref="X17:Y17"/>
    <mergeCell ref="AA17:AB17"/>
    <mergeCell ref="AA16:AB16"/>
    <mergeCell ref="B17:E18"/>
    <mergeCell ref="F17:G17"/>
    <mergeCell ref="I17:J17"/>
    <mergeCell ref="L17:M17"/>
    <mergeCell ref="O17:P17"/>
    <mergeCell ref="AD15:AE15"/>
    <mergeCell ref="AG15:AH15"/>
    <mergeCell ref="AJ15:AK15"/>
    <mergeCell ref="AM15:AN15"/>
    <mergeCell ref="B16:E16"/>
    <mergeCell ref="F16:G16"/>
    <mergeCell ref="I16:J16"/>
    <mergeCell ref="L16:M16"/>
    <mergeCell ref="O16:P16"/>
    <mergeCell ref="R16:S16"/>
    <mergeCell ref="AM16:AN16"/>
    <mergeCell ref="AD16:AE16"/>
    <mergeCell ref="AG16:AH16"/>
    <mergeCell ref="AJ16:AK16"/>
    <mergeCell ref="U16:V16"/>
    <mergeCell ref="X16:Y16"/>
    <mergeCell ref="AK14:AM14"/>
    <mergeCell ref="B15:E15"/>
    <mergeCell ref="F15:G15"/>
    <mergeCell ref="I15:J15"/>
    <mergeCell ref="L15:M15"/>
    <mergeCell ref="O15:P15"/>
    <mergeCell ref="R15:S15"/>
    <mergeCell ref="U15:V15"/>
    <mergeCell ref="X15:Y15"/>
    <mergeCell ref="AA15:AB15"/>
    <mergeCell ref="B14:E14"/>
    <mergeCell ref="G14:I14"/>
    <mergeCell ref="M14:O14"/>
    <mergeCell ref="S14:U14"/>
    <mergeCell ref="Y14:AA14"/>
    <mergeCell ref="AE14:AG14"/>
    <mergeCell ref="C8:I8"/>
    <mergeCell ref="K8:AN8"/>
    <mergeCell ref="C9:I9"/>
    <mergeCell ref="K9:AN9"/>
    <mergeCell ref="B13:E13"/>
    <mergeCell ref="G13:H13"/>
    <mergeCell ref="M13:N13"/>
    <mergeCell ref="S13:T13"/>
    <mergeCell ref="Y13:Z13"/>
    <mergeCell ref="AE13:AF13"/>
    <mergeCell ref="R7:X7"/>
    <mergeCell ref="AA7:AG7"/>
    <mergeCell ref="M1:AD1"/>
    <mergeCell ref="A3:K3"/>
    <mergeCell ref="X3:Z3"/>
    <mergeCell ref="C6:I6"/>
    <mergeCell ref="K6:R6"/>
  </mergeCells>
  <phoneticPr fontId="2" type="noConversion"/>
  <hyperlinks>
    <hyperlink ref="AV1" r:id="rId1" display="세무사는 임금명세서를 작성, 확인할 수 없습니다. (by 박사영 노무사)" xr:uid="{F1523DBB-62A8-4915-84C2-83C83BB0EEB2}"/>
  </hyperlinks>
  <pageMargins left="0.31496062992125984" right="0.31496062992125984" top="0.55118110236220474" bottom="0.55118110236220474" header="0.31496062992125984" footer="0"/>
  <pageSetup paperSize="9" orientation="portrait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927F-1F39-4F41-840F-FA822E12108D}">
  <sheetPr codeName="Sheet28">
    <tabColor rgb="FF00B0F0"/>
  </sheetPr>
  <dimension ref="B12:V202"/>
  <sheetViews>
    <sheetView showGridLines="0" workbookViewId="0">
      <selection activeCell="C13" sqref="C13"/>
    </sheetView>
  </sheetViews>
  <sheetFormatPr defaultRowHeight="16.5"/>
  <cols>
    <col min="2" max="2" width="2.875" customWidth="1"/>
    <col min="3" max="3" width="14.75" customWidth="1"/>
    <col min="7" max="7" width="12.75" customWidth="1"/>
    <col min="10" max="10" width="10.25" bestFit="1" customWidth="1"/>
    <col min="11" max="13" width="10.375" customWidth="1"/>
    <col min="14" max="14" width="15.25" customWidth="1"/>
    <col min="15" max="16" width="10.375" customWidth="1"/>
    <col min="18" max="18" width="10" bestFit="1" customWidth="1"/>
    <col min="22" max="22" width="10" bestFit="1" customWidth="1"/>
  </cols>
  <sheetData>
    <row r="12" spans="3:13">
      <c r="C12" s="263" t="s">
        <v>1115</v>
      </c>
    </row>
    <row r="16" spans="3:13">
      <c r="C16" s="15" t="s">
        <v>1077</v>
      </c>
      <c r="H16" s="15" t="s">
        <v>1078</v>
      </c>
      <c r="M16" s="15" t="s">
        <v>1080</v>
      </c>
    </row>
    <row r="18" spans="2:16">
      <c r="B18" s="218" t="s">
        <v>1024</v>
      </c>
      <c r="C18" s="246" t="s">
        <v>1025</v>
      </c>
    </row>
    <row r="19" spans="2:16">
      <c r="C19" t="str">
        <f>"   · 1일 "&amp;C27&amp;"시간"</f>
        <v xml:space="preserve">   · 1일 8시간</v>
      </c>
      <c r="M19" s="209" t="s">
        <v>776</v>
      </c>
      <c r="N19" s="163">
        <v>0.375</v>
      </c>
    </row>
    <row r="20" spans="2:16">
      <c r="C20" t="str">
        <f>"   · 1주 "&amp;K27&amp;"시간"</f>
        <v xml:space="preserve">   · 1주 40시간</v>
      </c>
      <c r="M20" s="717" t="s">
        <v>620</v>
      </c>
      <c r="N20" s="163">
        <v>0.5</v>
      </c>
    </row>
    <row r="21" spans="2:16">
      <c r="E21" s="1">
        <f>40/5</f>
        <v>8</v>
      </c>
      <c r="I21">
        <f>365/12/7</f>
        <v>4.3452380952380958</v>
      </c>
      <c r="M21" s="717"/>
      <c r="N21" s="163">
        <v>0.54166666666666663</v>
      </c>
    </row>
    <row r="22" spans="2:16">
      <c r="C22" t="str">
        <f>"    {("&amp;C27&amp;"시간 × "&amp;COUNT(C27:I27)&amp;"일 ) + "&amp;K27/5&amp;"시간(주휴시간)}× 4.345주"</f>
        <v xml:space="preserve">    {(8시간 × 5일 ) + 8시간(주휴시간)}× 4.345주</v>
      </c>
      <c r="I22" t="s">
        <v>1021</v>
      </c>
      <c r="M22" s="209" t="s">
        <v>778</v>
      </c>
      <c r="N22" s="163">
        <v>0.75</v>
      </c>
    </row>
    <row r="23" spans="2:16">
      <c r="C23" s="41" t="s">
        <v>1022</v>
      </c>
      <c r="D23">
        <f>((C27*COUNT(C27:I27))+K27/5)*4.345</f>
        <v>208.56</v>
      </c>
    </row>
    <row r="24" spans="2:16">
      <c r="C24" s="41" t="s">
        <v>1022</v>
      </c>
      <c r="D24" s="20">
        <f>ROUND(D23,0)</f>
        <v>209</v>
      </c>
      <c r="E24" t="s">
        <v>1023</v>
      </c>
      <c r="M24" s="210" t="s">
        <v>779</v>
      </c>
      <c r="N24" s="165">
        <f>N22-N19</f>
        <v>0.375</v>
      </c>
      <c r="O24" t="s">
        <v>64</v>
      </c>
    </row>
    <row r="25" spans="2:16">
      <c r="C25" s="41"/>
      <c r="D25" s="20"/>
      <c r="H25" t="s">
        <v>1036</v>
      </c>
      <c r="I25" t="s">
        <v>1037</v>
      </c>
      <c r="M25" s="210" t="s">
        <v>620</v>
      </c>
      <c r="N25" s="165">
        <f>N21-N20</f>
        <v>4.166666666666663E-2</v>
      </c>
      <c r="O25" t="s">
        <v>64</v>
      </c>
    </row>
    <row r="26" spans="2:16">
      <c r="C26" s="209" t="s">
        <v>1028</v>
      </c>
      <c r="D26" s="209" t="s">
        <v>1029</v>
      </c>
      <c r="E26" s="209" t="s">
        <v>1030</v>
      </c>
      <c r="F26" s="209" t="s">
        <v>1031</v>
      </c>
      <c r="G26" s="209" t="s">
        <v>1032</v>
      </c>
      <c r="H26" s="209" t="s">
        <v>1033</v>
      </c>
      <c r="I26" s="209" t="s">
        <v>1034</v>
      </c>
      <c r="K26" s="209" t="s">
        <v>1035</v>
      </c>
      <c r="M26" s="167" t="s">
        <v>616</v>
      </c>
      <c r="N26" s="166">
        <f>N24-N25</f>
        <v>0.33333333333333337</v>
      </c>
      <c r="O26" t="s">
        <v>64</v>
      </c>
      <c r="P26" s="219">
        <f>HOUR(N26)+(MINUTE(N26)/60)</f>
        <v>8</v>
      </c>
    </row>
    <row r="27" spans="2:16">
      <c r="C27" s="220">
        <f>P26</f>
        <v>8</v>
      </c>
      <c r="D27" s="220">
        <f>C27</f>
        <v>8</v>
      </c>
      <c r="E27" s="220">
        <f>D27</f>
        <v>8</v>
      </c>
      <c r="F27" s="220">
        <f>E27</f>
        <v>8</v>
      </c>
      <c r="G27" s="220">
        <f>F27</f>
        <v>8</v>
      </c>
      <c r="H27" s="220"/>
      <c r="I27" s="220"/>
      <c r="K27" s="220">
        <f>SUM(C27:I27)</f>
        <v>40</v>
      </c>
    </row>
    <row r="28" spans="2:16">
      <c r="C28" s="41"/>
      <c r="D28" s="20"/>
    </row>
    <row r="29" spans="2:16">
      <c r="C29" s="41"/>
      <c r="D29" s="20"/>
    </row>
    <row r="30" spans="2:16">
      <c r="C30" s="41"/>
      <c r="D30" s="20"/>
    </row>
    <row r="32" spans="2:16">
      <c r="B32" s="218" t="s">
        <v>1026</v>
      </c>
      <c r="C32" s="36" t="s">
        <v>1027</v>
      </c>
      <c r="I32" s="209" t="s">
        <v>776</v>
      </c>
      <c r="J32" s="163">
        <v>0.375</v>
      </c>
    </row>
    <row r="33" spans="2:12">
      <c r="C33" t="str">
        <f>"ex) "&amp;HOUR(J32)&amp;"시 "&amp;MINUTE(J32)&amp;"분 출근 ~ "&amp;HOUR(J35)&amp;"시 "&amp;MINUTE(J35)&amp;" 퇴근 휴게시간 "&amp;HOUR(J33)&amp;"시"&amp;MINUTE(J33)&amp;"분 ~"&amp;HOUR(J34)&amp;"시"&amp;MINUTE(J34)&amp;"분"</f>
        <v>ex) 9시 0분 출근 ~ 16시 0 퇴근 휴게시간 12시0분 ~13시0분</v>
      </c>
      <c r="I33" s="717" t="s">
        <v>620</v>
      </c>
      <c r="J33" s="163">
        <v>0.5</v>
      </c>
    </row>
    <row r="34" spans="2:12">
      <c r="C34" t="str">
        <f>"     1주 "&amp;COUNT(C42:I42)&amp;"일 근무"</f>
        <v xml:space="preserve">     1주 3일 근무</v>
      </c>
      <c r="I34" s="717"/>
      <c r="J34" s="163">
        <v>0.54166666666666663</v>
      </c>
    </row>
    <row r="35" spans="2:12">
      <c r="I35" s="209" t="s">
        <v>778</v>
      </c>
      <c r="J35" s="163">
        <v>0.66666666666666663</v>
      </c>
    </row>
    <row r="36" spans="2:12">
      <c r="C36" t="str">
        <f>"    {("&amp;C42&amp;"시간 × "&amp;COUNT(C42:I42)&amp;"일 ) + "&amp;K42/5&amp;"(주휴시간)}× 4.345주"</f>
        <v xml:space="preserve">    {(6시간 × 3일 ) + 3.6(주휴시간)}× 4.345주</v>
      </c>
    </row>
    <row r="37" spans="2:12">
      <c r="E37" s="36" t="str">
        <f>K42&amp;"/5"</f>
        <v>18/5</v>
      </c>
      <c r="I37" s="210" t="s">
        <v>779</v>
      </c>
      <c r="J37" s="165">
        <f>J35-J32</f>
        <v>0.29166666666666663</v>
      </c>
      <c r="K37" t="s">
        <v>64</v>
      </c>
    </row>
    <row r="38" spans="2:12">
      <c r="C38" s="248">
        <f>((C42*COUNT(C42:I42))+K42/5)*I21</f>
        <v>93.857142857142875</v>
      </c>
      <c r="I38" s="210" t="s">
        <v>620</v>
      </c>
      <c r="J38" s="165">
        <f>J34-J33</f>
        <v>4.166666666666663E-2</v>
      </c>
      <c r="K38" t="s">
        <v>64</v>
      </c>
    </row>
    <row r="39" spans="2:12">
      <c r="I39" s="167" t="s">
        <v>616</v>
      </c>
      <c r="J39" s="166">
        <f>J37-J38</f>
        <v>0.25</v>
      </c>
      <c r="K39" t="s">
        <v>64</v>
      </c>
      <c r="L39" s="219">
        <f>HOUR(J39)+(MINUTE(J39)/60)</f>
        <v>6</v>
      </c>
    </row>
    <row r="40" spans="2:12">
      <c r="C40" s="221">
        <v>1</v>
      </c>
      <c r="D40" s="221">
        <f>C40+1</f>
        <v>2</v>
      </c>
      <c r="E40" s="221">
        <f t="shared" ref="E40:I40" si="0">D40+1</f>
        <v>3</v>
      </c>
      <c r="F40" s="221">
        <f t="shared" si="0"/>
        <v>4</v>
      </c>
      <c r="G40" s="221">
        <f t="shared" si="0"/>
        <v>5</v>
      </c>
      <c r="H40" s="221">
        <f t="shared" si="0"/>
        <v>6</v>
      </c>
      <c r="I40" s="221">
        <f t="shared" si="0"/>
        <v>7</v>
      </c>
    </row>
    <row r="41" spans="2:12">
      <c r="C41" s="209" t="s">
        <v>1028</v>
      </c>
      <c r="D41" s="209" t="s">
        <v>1029</v>
      </c>
      <c r="E41" s="209" t="s">
        <v>1030</v>
      </c>
      <c r="F41" s="209" t="s">
        <v>1031</v>
      </c>
      <c r="G41" s="209" t="s">
        <v>1032</v>
      </c>
      <c r="H41" s="209" t="s">
        <v>1033</v>
      </c>
      <c r="I41" s="209" t="s">
        <v>1034</v>
      </c>
      <c r="K41" s="209" t="s">
        <v>1035</v>
      </c>
    </row>
    <row r="42" spans="2:12">
      <c r="C42" s="249">
        <f>L39</f>
        <v>6</v>
      </c>
      <c r="D42" s="249">
        <f>L39</f>
        <v>6</v>
      </c>
      <c r="E42" s="249">
        <f>L39</f>
        <v>6</v>
      </c>
      <c r="F42" s="247"/>
      <c r="G42" s="247"/>
      <c r="H42" s="247"/>
      <c r="I42" s="247"/>
      <c r="K42" s="220">
        <f>SUM(C42:I42)</f>
        <v>18</v>
      </c>
    </row>
    <row r="45" spans="2:12">
      <c r="B45" s="218" t="s">
        <v>315</v>
      </c>
      <c r="C45" s="36" t="s">
        <v>1084</v>
      </c>
      <c r="I45" s="240" t="s">
        <v>776</v>
      </c>
      <c r="J45" s="163">
        <v>0.375</v>
      </c>
    </row>
    <row r="46" spans="2:12">
      <c r="C46" t="str">
        <f>"ex) "&amp;HOUR(J45)&amp;"시 "&amp;MINUTE(J45)&amp;"분 출근 ~ "&amp;HOUR(J48)&amp;"시 "&amp;MINUTE(J48)&amp;" 퇴근 휴게시간 "&amp;HOUR(J46)&amp;"시"&amp;MINUTE(J46)&amp;"분 ~"&amp;HOUR(J47)&amp;"시"&amp;MINUTE(J47)&amp;"분"</f>
        <v>ex) 9시 0분 출근 ~ 16시 0 퇴근 휴게시간 12시0분 ~13시0분</v>
      </c>
      <c r="I46" s="717" t="s">
        <v>620</v>
      </c>
      <c r="J46" s="163">
        <v>0.5</v>
      </c>
      <c r="L46">
        <f>365/12/7</f>
        <v>4.3452380952380958</v>
      </c>
    </row>
    <row r="47" spans="2:12">
      <c r="C47" t="str">
        <f>"     1주 "&amp;COUNT(C55:I55)&amp;"일 근무"</f>
        <v xml:space="preserve">     1주 6일 근무</v>
      </c>
      <c r="I47" s="717"/>
      <c r="J47" s="163">
        <v>0.54166666666666663</v>
      </c>
      <c r="L47" t="s">
        <v>1021</v>
      </c>
    </row>
    <row r="48" spans="2:12">
      <c r="I48" s="240" t="s">
        <v>778</v>
      </c>
      <c r="J48" s="163">
        <v>0.66666666666666663</v>
      </c>
    </row>
    <row r="49" spans="2:15">
      <c r="C49" t="str">
        <f>"    {("&amp;HOUR(J52)&amp;"시"&amp;MINUTE(J52)&amp;"분 × "&amp;COUNT(C55:I55)&amp;"일 ) + "&amp;K55/5&amp;"(주휴시간)}× 4.345주"</f>
        <v xml:space="preserve">    {(6시0분 × 6일 ) + 8.8(주휴시간)}× 4.345주</v>
      </c>
    </row>
    <row r="50" spans="2:15">
      <c r="E50" s="36" t="str">
        <f>K55&amp;"/5"</f>
        <v>44/5</v>
      </c>
      <c r="I50" s="239" t="s">
        <v>779</v>
      </c>
      <c r="J50" s="165">
        <f>J48-J45</f>
        <v>0.29166666666666663</v>
      </c>
      <c r="K50" t="s">
        <v>64</v>
      </c>
    </row>
    <row r="51" spans="2:15">
      <c r="B51" t="s">
        <v>1086</v>
      </c>
      <c r="C51" s="252">
        <f>((C55*COUNT(C55:I55))+K55/5)*L46</f>
        <v>246.80952380952382</v>
      </c>
      <c r="E51" s="254">
        <f>K55/5</f>
        <v>8.8000000000000007</v>
      </c>
      <c r="F51" t="s">
        <v>1085</v>
      </c>
      <c r="I51" s="239" t="s">
        <v>620</v>
      </c>
      <c r="J51" s="165">
        <f>J47-J46</f>
        <v>4.166666666666663E-2</v>
      </c>
      <c r="K51" t="s">
        <v>64</v>
      </c>
      <c r="M51" s="22" t="s">
        <v>1087</v>
      </c>
      <c r="N51" s="250" t="s">
        <v>1082</v>
      </c>
      <c r="O51" s="251">
        <v>1200000</v>
      </c>
    </row>
    <row r="52" spans="2:15">
      <c r="I52" s="167" t="s">
        <v>616</v>
      </c>
      <c r="J52" s="166">
        <f>J50-J51</f>
        <v>0.25</v>
      </c>
      <c r="K52" t="s">
        <v>64</v>
      </c>
      <c r="L52" s="219">
        <f>HOUR(J52)+(MINUTE(J52)/60)</f>
        <v>6</v>
      </c>
      <c r="M52" s="253" t="s">
        <v>1088</v>
      </c>
      <c r="N52" s="250" t="s">
        <v>1083</v>
      </c>
      <c r="O52" s="251">
        <f>TRUNC(O51/C51,0)</f>
        <v>4862</v>
      </c>
    </row>
    <row r="53" spans="2:15">
      <c r="C53" s="221">
        <v>1</v>
      </c>
      <c r="D53" s="221">
        <f>C53+1</f>
        <v>2</v>
      </c>
      <c r="E53" s="221">
        <f t="shared" ref="E53" si="1">D53+1</f>
        <v>3</v>
      </c>
      <c r="F53" s="221">
        <f t="shared" ref="F53" si="2">E53+1</f>
        <v>4</v>
      </c>
      <c r="G53" s="221">
        <f t="shared" ref="G53" si="3">F53+1</f>
        <v>5</v>
      </c>
      <c r="H53" s="221">
        <f t="shared" ref="H53" si="4">G53+1</f>
        <v>6</v>
      </c>
      <c r="I53" s="221">
        <f t="shared" ref="I53" si="5">H53+1</f>
        <v>7</v>
      </c>
    </row>
    <row r="54" spans="2:15" ht="20.25">
      <c r="C54" s="240" t="s">
        <v>582</v>
      </c>
      <c r="D54" s="240" t="s">
        <v>612</v>
      </c>
      <c r="E54" s="240" t="s">
        <v>613</v>
      </c>
      <c r="F54" s="240" t="s">
        <v>614</v>
      </c>
      <c r="G54" s="240" t="s">
        <v>615</v>
      </c>
      <c r="H54" s="240" t="s">
        <v>661</v>
      </c>
      <c r="I54" s="240" t="s">
        <v>408</v>
      </c>
      <c r="K54" s="240" t="s">
        <v>665</v>
      </c>
      <c r="N54" s="242" t="s">
        <v>136</v>
      </c>
    </row>
    <row r="55" spans="2:15">
      <c r="C55" s="247">
        <v>8</v>
      </c>
      <c r="D55" s="247">
        <v>8</v>
      </c>
      <c r="E55" s="247">
        <v>8</v>
      </c>
      <c r="F55" s="247">
        <v>8</v>
      </c>
      <c r="G55" s="247">
        <v>8</v>
      </c>
      <c r="H55" s="247">
        <v>4</v>
      </c>
      <c r="I55" s="247"/>
      <c r="K55" s="220">
        <f>SUM(C55:I55)</f>
        <v>44</v>
      </c>
    </row>
    <row r="59" spans="2:15">
      <c r="B59" s="218" t="s">
        <v>1062</v>
      </c>
      <c r="C59" t="s">
        <v>1038</v>
      </c>
    </row>
    <row r="60" spans="2:15">
      <c r="C60" t="s">
        <v>1039</v>
      </c>
    </row>
    <row r="63" spans="2:15">
      <c r="C63" t="s">
        <v>1042</v>
      </c>
    </row>
    <row r="64" spans="2:15">
      <c r="C64" t="s">
        <v>1040</v>
      </c>
    </row>
    <row r="65" spans="2:22">
      <c r="C65" t="s">
        <v>1041</v>
      </c>
    </row>
    <row r="67" spans="2:22">
      <c r="B67" t="s">
        <v>1060</v>
      </c>
    </row>
    <row r="68" spans="2:22">
      <c r="C68" t="s">
        <v>1043</v>
      </c>
      <c r="J68" s="221">
        <v>1</v>
      </c>
      <c r="K68" s="221">
        <f>J68+1</f>
        <v>2</v>
      </c>
      <c r="L68" s="221">
        <f t="shared" ref="L68:P68" si="6">K68+1</f>
        <v>3</v>
      </c>
      <c r="M68" s="221">
        <f t="shared" si="6"/>
        <v>4</v>
      </c>
      <c r="N68" s="221">
        <f t="shared" si="6"/>
        <v>5</v>
      </c>
      <c r="O68" s="221">
        <f t="shared" si="6"/>
        <v>6</v>
      </c>
      <c r="P68" s="221">
        <f t="shared" si="6"/>
        <v>7</v>
      </c>
    </row>
    <row r="69" spans="2:22">
      <c r="B69" t="s">
        <v>1044</v>
      </c>
      <c r="C69" t="s">
        <v>1045</v>
      </c>
      <c r="G69" s="225">
        <f>MAX(R74,V70)</f>
        <v>20</v>
      </c>
      <c r="J69" s="209" t="s">
        <v>1028</v>
      </c>
      <c r="K69" s="209" t="s">
        <v>1029</v>
      </c>
      <c r="L69" s="209" t="s">
        <v>1030</v>
      </c>
      <c r="M69" s="209" t="s">
        <v>1031</v>
      </c>
      <c r="N69" s="209" t="s">
        <v>1032</v>
      </c>
      <c r="O69" s="209" t="s">
        <v>1033</v>
      </c>
      <c r="P69" s="209" t="s">
        <v>1034</v>
      </c>
      <c r="R69" s="209" t="s">
        <v>1035</v>
      </c>
      <c r="T69" s="224" t="s">
        <v>1058</v>
      </c>
      <c r="V69" s="1" t="s">
        <v>1056</v>
      </c>
    </row>
    <row r="70" spans="2:22">
      <c r="B70" t="s">
        <v>1046</v>
      </c>
      <c r="C70" t="s">
        <v>1048</v>
      </c>
      <c r="G70" s="225">
        <f>R70-G69</f>
        <v>40</v>
      </c>
      <c r="I70" t="s">
        <v>1054</v>
      </c>
      <c r="J70" s="220">
        <v>10</v>
      </c>
      <c r="K70" s="220">
        <f>J70</f>
        <v>10</v>
      </c>
      <c r="L70" s="220">
        <f>K70</f>
        <v>10</v>
      </c>
      <c r="M70" s="220">
        <f>L70</f>
        <v>10</v>
      </c>
      <c r="N70" s="220">
        <f>M70</f>
        <v>10</v>
      </c>
      <c r="O70" s="220">
        <f>N70</f>
        <v>10</v>
      </c>
      <c r="P70" s="220"/>
      <c r="R70" s="229">
        <f>SUM(J70:P70)</f>
        <v>60</v>
      </c>
      <c r="T70" s="222">
        <v>40</v>
      </c>
      <c r="V70" s="223">
        <f>R70-T70</f>
        <v>20</v>
      </c>
    </row>
    <row r="71" spans="2:22">
      <c r="B71" t="s">
        <v>1047</v>
      </c>
      <c r="C71" t="s">
        <v>1049</v>
      </c>
      <c r="G71" s="225">
        <f>ROUND((G70+(G70/5))*4.345,0)</f>
        <v>209</v>
      </c>
    </row>
    <row r="72" spans="2:22">
      <c r="B72" t="s">
        <v>1050</v>
      </c>
      <c r="C72" t="s">
        <v>1051</v>
      </c>
      <c r="G72" s="226">
        <f>G69*4.345*1.5</f>
        <v>130.35</v>
      </c>
      <c r="I72" t="s">
        <v>1057</v>
      </c>
      <c r="J72" s="222">
        <v>8</v>
      </c>
      <c r="K72" s="222">
        <v>8</v>
      </c>
      <c r="L72" s="222">
        <v>8</v>
      </c>
      <c r="M72" s="222">
        <v>8</v>
      </c>
      <c r="N72" s="222">
        <v>8</v>
      </c>
      <c r="O72" s="222">
        <v>8</v>
      </c>
      <c r="P72" s="66"/>
      <c r="R72" s="229">
        <f>SUM(J72:P72)</f>
        <v>48</v>
      </c>
    </row>
    <row r="73" spans="2:22">
      <c r="B73" t="s">
        <v>1052</v>
      </c>
      <c r="C73" t="s">
        <v>1053</v>
      </c>
      <c r="G73" s="227">
        <f>SUM(G71:G72)</f>
        <v>339.35</v>
      </c>
      <c r="R73" s="1" t="s">
        <v>1055</v>
      </c>
    </row>
    <row r="74" spans="2:22">
      <c r="G74" t="s">
        <v>1059</v>
      </c>
      <c r="J74" s="228">
        <f>IF(J70&gt;8,J70-J72,0)</f>
        <v>2</v>
      </c>
      <c r="K74" s="228">
        <f t="shared" ref="K74:P74" si="7">IF(K70&gt;8,K70-K72,0)</f>
        <v>2</v>
      </c>
      <c r="L74" s="228">
        <f t="shared" si="7"/>
        <v>2</v>
      </c>
      <c r="M74" s="228">
        <f t="shared" si="7"/>
        <v>2</v>
      </c>
      <c r="N74" s="228">
        <f t="shared" si="7"/>
        <v>2</v>
      </c>
      <c r="O74" s="228">
        <f t="shared" si="7"/>
        <v>2</v>
      </c>
      <c r="P74" s="228">
        <f t="shared" si="7"/>
        <v>0</v>
      </c>
      <c r="R74" s="223">
        <f>SUM(J74:P74)</f>
        <v>12</v>
      </c>
    </row>
    <row r="77" spans="2:22">
      <c r="B77" t="s">
        <v>1061</v>
      </c>
    </row>
    <row r="78" spans="2:22">
      <c r="C78" t="s">
        <v>1043</v>
      </c>
      <c r="J78" s="221">
        <v>1</v>
      </c>
      <c r="K78" s="221">
        <f>J78+1</f>
        <v>2</v>
      </c>
      <c r="L78" s="221">
        <f t="shared" ref="L78:P78" si="8">K78+1</f>
        <v>3</v>
      </c>
      <c r="M78" s="221">
        <f t="shared" si="8"/>
        <v>4</v>
      </c>
      <c r="N78" s="221">
        <f t="shared" si="8"/>
        <v>5</v>
      </c>
      <c r="O78" s="221">
        <f t="shared" si="8"/>
        <v>6</v>
      </c>
      <c r="P78" s="221">
        <f t="shared" si="8"/>
        <v>7</v>
      </c>
    </row>
    <row r="79" spans="2:22">
      <c r="B79" t="s">
        <v>1044</v>
      </c>
      <c r="C79" t="s">
        <v>1045</v>
      </c>
      <c r="G79" s="225">
        <f>MAX(R84,V80)</f>
        <v>9</v>
      </c>
      <c r="J79" s="209" t="s">
        <v>1028</v>
      </c>
      <c r="K79" s="209" t="s">
        <v>1029</v>
      </c>
      <c r="L79" s="209" t="s">
        <v>1030</v>
      </c>
      <c r="M79" s="209" t="s">
        <v>1031</v>
      </c>
      <c r="N79" s="209" t="s">
        <v>1032</v>
      </c>
      <c r="O79" s="209" t="s">
        <v>1033</v>
      </c>
      <c r="P79" s="209" t="s">
        <v>1034</v>
      </c>
      <c r="R79" s="209" t="s">
        <v>1035</v>
      </c>
      <c r="T79" s="224" t="s">
        <v>1058</v>
      </c>
      <c r="V79" s="1" t="s">
        <v>1056</v>
      </c>
    </row>
    <row r="80" spans="2:22">
      <c r="B80" t="s">
        <v>1046</v>
      </c>
      <c r="C80" t="s">
        <v>1048</v>
      </c>
      <c r="G80" s="225">
        <f>R80-G79</f>
        <v>36</v>
      </c>
      <c r="I80" t="s">
        <v>1054</v>
      </c>
      <c r="J80" s="220">
        <v>11</v>
      </c>
      <c r="K80" s="220">
        <f>J80</f>
        <v>11</v>
      </c>
      <c r="L80" s="220">
        <f>K80</f>
        <v>11</v>
      </c>
      <c r="M80" s="220">
        <v>8</v>
      </c>
      <c r="N80" s="220">
        <v>4</v>
      </c>
      <c r="O80" s="220"/>
      <c r="P80" s="220"/>
      <c r="R80" s="229">
        <f>SUM(J80:P80)</f>
        <v>45</v>
      </c>
      <c r="T80" s="222">
        <v>40</v>
      </c>
      <c r="V80" s="223">
        <f>R80-T80</f>
        <v>5</v>
      </c>
    </row>
    <row r="81" spans="2:22">
      <c r="B81" t="s">
        <v>1047</v>
      </c>
      <c r="C81" t="s">
        <v>1049</v>
      </c>
      <c r="G81" s="225">
        <f>(G80+(G80/5))*4.345</f>
        <v>187.70400000000001</v>
      </c>
    </row>
    <row r="82" spans="2:22">
      <c r="B82" t="s">
        <v>1050</v>
      </c>
      <c r="C82" t="s">
        <v>1051</v>
      </c>
      <c r="G82" s="226">
        <f>G79*4.345*1.5</f>
        <v>58.657499999999999</v>
      </c>
      <c r="I82" t="s">
        <v>1057</v>
      </c>
      <c r="J82" s="222">
        <v>8</v>
      </c>
      <c r="K82" s="222">
        <v>8</v>
      </c>
      <c r="L82" s="222">
        <v>8</v>
      </c>
      <c r="M82" s="222">
        <v>8</v>
      </c>
      <c r="N82" s="222">
        <v>8</v>
      </c>
      <c r="O82" s="222"/>
      <c r="P82" s="66"/>
      <c r="R82" s="229">
        <f>SUM(J82:P82)</f>
        <v>40</v>
      </c>
    </row>
    <row r="83" spans="2:22">
      <c r="B83" t="s">
        <v>1052</v>
      </c>
      <c r="C83" t="s">
        <v>1053</v>
      </c>
      <c r="G83" s="227">
        <f>SUM(G81:G82)</f>
        <v>246.36150000000001</v>
      </c>
      <c r="R83" s="1" t="s">
        <v>1055</v>
      </c>
    </row>
    <row r="84" spans="2:22">
      <c r="G84" t="s">
        <v>1059</v>
      </c>
      <c r="J84" s="228">
        <f>IF(J80&gt;8,J80-J82,0)</f>
        <v>3</v>
      </c>
      <c r="K84" s="228">
        <f t="shared" ref="K84:P84" si="9">IF(K80&gt;8,K80-K82,0)</f>
        <v>3</v>
      </c>
      <c r="L84" s="228">
        <f t="shared" si="9"/>
        <v>3</v>
      </c>
      <c r="M84" s="228">
        <f t="shared" si="9"/>
        <v>0</v>
      </c>
      <c r="N84" s="228">
        <f t="shared" si="9"/>
        <v>0</v>
      </c>
      <c r="O84" s="228">
        <f t="shared" si="9"/>
        <v>0</v>
      </c>
      <c r="P84" s="228">
        <f t="shared" si="9"/>
        <v>0</v>
      </c>
      <c r="R84" s="223">
        <f>SUM(J84:P84)</f>
        <v>9</v>
      </c>
    </row>
    <row r="88" spans="2:22">
      <c r="B88" s="218" t="s">
        <v>1063</v>
      </c>
      <c r="C88" t="s">
        <v>1064</v>
      </c>
      <c r="G88" s="230">
        <v>0.5</v>
      </c>
      <c r="I88" t="s">
        <v>1065</v>
      </c>
    </row>
    <row r="89" spans="2:22">
      <c r="O89" s="1" t="s">
        <v>1066</v>
      </c>
      <c r="P89" s="1" t="s">
        <v>1066</v>
      </c>
    </row>
    <row r="90" spans="2:22">
      <c r="C90" t="s">
        <v>1043</v>
      </c>
      <c r="J90" s="221">
        <v>1</v>
      </c>
      <c r="K90" s="221">
        <f>J90+1</f>
        <v>2</v>
      </c>
      <c r="L90" s="221">
        <f t="shared" ref="L90:P90" si="10">K90+1</f>
        <v>3</v>
      </c>
      <c r="M90" s="221">
        <f t="shared" si="10"/>
        <v>4</v>
      </c>
      <c r="N90" s="221">
        <f t="shared" si="10"/>
        <v>5</v>
      </c>
      <c r="O90" s="221">
        <f t="shared" si="10"/>
        <v>6</v>
      </c>
      <c r="P90" s="221">
        <f t="shared" si="10"/>
        <v>7</v>
      </c>
    </row>
    <row r="91" spans="2:22">
      <c r="B91" t="s">
        <v>1044</v>
      </c>
      <c r="C91" t="s">
        <v>1045</v>
      </c>
      <c r="G91" s="225">
        <f>MAX(R96,V92)</f>
        <v>15</v>
      </c>
      <c r="J91" s="209" t="s">
        <v>1028</v>
      </c>
      <c r="K91" s="209" t="s">
        <v>1029</v>
      </c>
      <c r="L91" s="209" t="s">
        <v>1030</v>
      </c>
      <c r="M91" s="209" t="s">
        <v>1031</v>
      </c>
      <c r="N91" s="209" t="s">
        <v>1032</v>
      </c>
      <c r="O91" s="231" t="s">
        <v>1033</v>
      </c>
      <c r="P91" s="231" t="s">
        <v>1034</v>
      </c>
      <c r="R91" s="209" t="s">
        <v>1035</v>
      </c>
      <c r="T91" s="224" t="s">
        <v>1058</v>
      </c>
      <c r="V91" s="1" t="s">
        <v>1056</v>
      </c>
    </row>
    <row r="92" spans="2:22">
      <c r="B92" t="s">
        <v>1046</v>
      </c>
      <c r="C92" t="s">
        <v>1048</v>
      </c>
      <c r="G92" s="225">
        <f>R92-G91</f>
        <v>40</v>
      </c>
      <c r="I92" t="s">
        <v>1054</v>
      </c>
      <c r="J92" s="220">
        <v>9</v>
      </c>
      <c r="K92" s="220">
        <f>J92</f>
        <v>9</v>
      </c>
      <c r="L92" s="220">
        <f>K92</f>
        <v>9</v>
      </c>
      <c r="M92" s="220">
        <f>L92</f>
        <v>9</v>
      </c>
      <c r="N92" s="220">
        <f>M92</f>
        <v>9</v>
      </c>
      <c r="O92" s="220">
        <v>10</v>
      </c>
      <c r="P92" s="220"/>
      <c r="R92" s="229">
        <f>SUM(J92:P92)</f>
        <v>55</v>
      </c>
      <c r="T92" s="222">
        <v>40</v>
      </c>
      <c r="V92" s="223">
        <f>R92-T92</f>
        <v>15</v>
      </c>
    </row>
    <row r="93" spans="2:22">
      <c r="B93" t="s">
        <v>1047</v>
      </c>
      <c r="C93" t="s">
        <v>1049</v>
      </c>
      <c r="G93" s="225">
        <f>ROUND((G92+(G92/5))*4.345,0)</f>
        <v>209</v>
      </c>
    </row>
    <row r="94" spans="2:22">
      <c r="B94" t="s">
        <v>1050</v>
      </c>
      <c r="C94" t="s">
        <v>1051</v>
      </c>
      <c r="G94" s="226">
        <f>(G91*4.345*1.5)+(O96*4.345*0.5)</f>
        <v>102.10749999999999</v>
      </c>
      <c r="I94" t="s">
        <v>1057</v>
      </c>
      <c r="J94" s="222">
        <v>8</v>
      </c>
      <c r="K94" s="222">
        <v>8</v>
      </c>
      <c r="L94" s="222">
        <v>8</v>
      </c>
      <c r="M94" s="222">
        <v>8</v>
      </c>
      <c r="N94" s="222">
        <v>8</v>
      </c>
      <c r="O94" s="222">
        <v>8</v>
      </c>
      <c r="P94" s="66"/>
      <c r="R94" s="229">
        <f>SUM(J94:P94)</f>
        <v>48</v>
      </c>
    </row>
    <row r="95" spans="2:22">
      <c r="B95" t="s">
        <v>1052</v>
      </c>
      <c r="C95" t="s">
        <v>1053</v>
      </c>
      <c r="G95" s="227">
        <f>SUM(G93:G94)</f>
        <v>311.10749999999996</v>
      </c>
      <c r="R95" s="1" t="s">
        <v>1055</v>
      </c>
    </row>
    <row r="96" spans="2:22">
      <c r="G96" t="s">
        <v>1059</v>
      </c>
      <c r="J96" s="228">
        <f>IF(J92&gt;8,J92-J94,0)</f>
        <v>1</v>
      </c>
      <c r="K96" s="228">
        <f t="shared" ref="K96:P96" si="11">IF(K92&gt;8,K92-K94,0)</f>
        <v>1</v>
      </c>
      <c r="L96" s="228">
        <f t="shared" si="11"/>
        <v>1</v>
      </c>
      <c r="M96" s="228">
        <f t="shared" si="11"/>
        <v>1</v>
      </c>
      <c r="N96" s="228">
        <f t="shared" si="11"/>
        <v>1</v>
      </c>
      <c r="O96" s="232">
        <f t="shared" si="11"/>
        <v>2</v>
      </c>
      <c r="P96" s="228">
        <f t="shared" si="11"/>
        <v>0</v>
      </c>
      <c r="R96" s="223">
        <f>SUM(J96:P96)</f>
        <v>7</v>
      </c>
    </row>
    <row r="99" spans="2:22">
      <c r="B99" s="218" t="s">
        <v>1067</v>
      </c>
      <c r="C99" t="s">
        <v>1068</v>
      </c>
      <c r="F99" t="s">
        <v>1069</v>
      </c>
      <c r="G99" s="230"/>
      <c r="I99" t="s">
        <v>1070</v>
      </c>
    </row>
    <row r="100" spans="2:22">
      <c r="O100" s="1"/>
      <c r="P100" s="1" t="s">
        <v>1066</v>
      </c>
    </row>
    <row r="101" spans="2:22">
      <c r="C101" t="s">
        <v>1043</v>
      </c>
      <c r="J101" s="221">
        <v>1</v>
      </c>
      <c r="K101" s="221">
        <f>J101+1</f>
        <v>2</v>
      </c>
      <c r="L101" s="221">
        <f t="shared" ref="L101:P101" si="12">K101+1</f>
        <v>3</v>
      </c>
      <c r="M101" s="221">
        <f t="shared" si="12"/>
        <v>4</v>
      </c>
      <c r="N101" s="221">
        <f t="shared" si="12"/>
        <v>5</v>
      </c>
      <c r="O101" s="221">
        <f t="shared" si="12"/>
        <v>6</v>
      </c>
      <c r="P101" s="221">
        <f t="shared" si="12"/>
        <v>7</v>
      </c>
    </row>
    <row r="102" spans="2:22">
      <c r="B102" t="s">
        <v>1044</v>
      </c>
      <c r="C102" t="s">
        <v>1045</v>
      </c>
      <c r="G102" s="225">
        <f>MAX(R107,V103)</f>
        <v>4</v>
      </c>
      <c r="J102" s="209" t="s">
        <v>1028</v>
      </c>
      <c r="K102" s="209" t="s">
        <v>1029</v>
      </c>
      <c r="L102" s="209" t="s">
        <v>1030</v>
      </c>
      <c r="M102" s="209" t="s">
        <v>1031</v>
      </c>
      <c r="N102" s="209" t="s">
        <v>1032</v>
      </c>
      <c r="O102" s="209" t="s">
        <v>1033</v>
      </c>
      <c r="P102" s="231" t="s">
        <v>1034</v>
      </c>
      <c r="R102" s="209" t="s">
        <v>1035</v>
      </c>
      <c r="T102" s="224" t="s">
        <v>1058</v>
      </c>
      <c r="V102" s="1" t="s">
        <v>1056</v>
      </c>
    </row>
    <row r="103" spans="2:22">
      <c r="B103" t="s">
        <v>1046</v>
      </c>
      <c r="C103" t="s">
        <v>1048</v>
      </c>
      <c r="G103" s="225">
        <f>R103-G102</f>
        <v>40</v>
      </c>
      <c r="I103" t="s">
        <v>1054</v>
      </c>
      <c r="J103" s="220">
        <v>8</v>
      </c>
      <c r="K103" s="220">
        <f>J103</f>
        <v>8</v>
      </c>
      <c r="L103" s="220">
        <f>K103</f>
        <v>8</v>
      </c>
      <c r="M103" s="220">
        <f>L103</f>
        <v>8</v>
      </c>
      <c r="N103" s="220">
        <f>M103</f>
        <v>8</v>
      </c>
      <c r="O103" s="220">
        <v>4</v>
      </c>
      <c r="P103" s="220"/>
      <c r="R103" s="229">
        <f>SUM(J103:P103)</f>
        <v>44</v>
      </c>
      <c r="T103" s="222">
        <v>40</v>
      </c>
      <c r="V103" s="223">
        <f>R103-T103</f>
        <v>4</v>
      </c>
    </row>
    <row r="104" spans="2:22">
      <c r="B104" t="s">
        <v>1047</v>
      </c>
      <c r="C104" t="s">
        <v>1049</v>
      </c>
      <c r="G104" s="225">
        <f>ROUND((G103+(G103/5))*4.345,0)</f>
        <v>209</v>
      </c>
    </row>
    <row r="105" spans="2:22">
      <c r="B105" t="s">
        <v>1050</v>
      </c>
      <c r="C105" t="s">
        <v>1051</v>
      </c>
      <c r="G105" s="226">
        <f>(G102*4.345*1.5)+(R122*4.345*0.5)</f>
        <v>95.59</v>
      </c>
      <c r="I105" t="s">
        <v>1057</v>
      </c>
      <c r="J105" s="222">
        <v>8</v>
      </c>
      <c r="K105" s="222">
        <v>8</v>
      </c>
      <c r="L105" s="222">
        <v>8</v>
      </c>
      <c r="M105" s="222">
        <v>8</v>
      </c>
      <c r="N105" s="222">
        <v>8</v>
      </c>
      <c r="O105" s="222">
        <v>8</v>
      </c>
      <c r="P105" s="66"/>
      <c r="R105" s="229">
        <f>SUM(J105:P105)</f>
        <v>48</v>
      </c>
    </row>
    <row r="106" spans="2:22">
      <c r="B106" t="s">
        <v>1052</v>
      </c>
      <c r="C106" t="s">
        <v>1053</v>
      </c>
      <c r="G106" s="227">
        <f>SUM(G104:G105)</f>
        <v>304.59000000000003</v>
      </c>
      <c r="R106" s="1" t="s">
        <v>1055</v>
      </c>
    </row>
    <row r="107" spans="2:22">
      <c r="G107" t="s">
        <v>1059</v>
      </c>
      <c r="J107" s="228">
        <f>IF(J103&gt;8,J103-J105,0)</f>
        <v>0</v>
      </c>
      <c r="K107" s="228">
        <f t="shared" ref="K107:P107" si="13">IF(K103&gt;8,K103-K105,0)</f>
        <v>0</v>
      </c>
      <c r="L107" s="228">
        <f t="shared" si="13"/>
        <v>0</v>
      </c>
      <c r="M107" s="228">
        <f t="shared" si="13"/>
        <v>0</v>
      </c>
      <c r="N107" s="228">
        <f t="shared" si="13"/>
        <v>0</v>
      </c>
      <c r="O107" s="228">
        <f t="shared" si="13"/>
        <v>0</v>
      </c>
      <c r="P107" s="228">
        <f t="shared" si="13"/>
        <v>0</v>
      </c>
      <c r="R107" s="223">
        <f>SUM(J107:P107)</f>
        <v>0</v>
      </c>
    </row>
    <row r="109" spans="2:22">
      <c r="I109" t="s">
        <v>1071</v>
      </c>
      <c r="R109" s="15" t="s">
        <v>1076</v>
      </c>
    </row>
    <row r="110" spans="2:22">
      <c r="I110" t="s">
        <v>1072</v>
      </c>
      <c r="J110" s="233">
        <v>44197.833333333336</v>
      </c>
      <c r="K110" s="233">
        <v>0.83333333333333337</v>
      </c>
      <c r="L110" s="233">
        <v>0.83333333333333337</v>
      </c>
      <c r="M110" s="233">
        <v>0.83333333333333337</v>
      </c>
      <c r="N110" s="233">
        <v>0.83333333333333337</v>
      </c>
      <c r="O110" s="233">
        <v>0.83333333333333337</v>
      </c>
      <c r="P110" s="233"/>
    </row>
    <row r="111" spans="2:22">
      <c r="I111" t="s">
        <v>1073</v>
      </c>
      <c r="J111" s="233">
        <v>44197.5</v>
      </c>
      <c r="K111" s="233">
        <v>44197.5</v>
      </c>
      <c r="L111" s="233">
        <v>44197.5</v>
      </c>
      <c r="M111" s="233">
        <v>44197.5</v>
      </c>
      <c r="N111" s="233">
        <v>44197.5</v>
      </c>
      <c r="O111" s="233"/>
      <c r="P111" s="233"/>
    </row>
    <row r="112" spans="2:22">
      <c r="I112" t="s">
        <v>1073</v>
      </c>
      <c r="J112" s="233">
        <v>44198.041666666664</v>
      </c>
      <c r="K112" s="233">
        <v>4.1666666666666664E-2</v>
      </c>
      <c r="L112" s="233">
        <v>4.1666666666666664E-2</v>
      </c>
      <c r="M112" s="233">
        <v>4.1666666666666664E-2</v>
      </c>
      <c r="N112" s="233">
        <v>4.1666666666666664E-2</v>
      </c>
      <c r="O112" s="233"/>
      <c r="P112" s="233"/>
    </row>
    <row r="113" spans="2:18">
      <c r="I113" t="s">
        <v>1074</v>
      </c>
      <c r="J113" s="233">
        <v>44198.208333333336</v>
      </c>
      <c r="K113" s="233">
        <v>44198.208333333336</v>
      </c>
      <c r="L113" s="233">
        <v>44198.208333333336</v>
      </c>
      <c r="M113" s="233">
        <v>44198.208333333336</v>
      </c>
      <c r="N113" s="233">
        <v>44198.208333333336</v>
      </c>
      <c r="O113" s="233">
        <v>44198</v>
      </c>
      <c r="P113" s="233"/>
    </row>
    <row r="115" spans="2:18">
      <c r="I115" s="1307" t="s">
        <v>1075</v>
      </c>
      <c r="J115" s="234">
        <v>44197.916666666664</v>
      </c>
      <c r="K115" s="234">
        <v>44197.916666666664</v>
      </c>
      <c r="L115" s="234">
        <v>44197.916666666664</v>
      </c>
      <c r="M115" s="234">
        <v>44197.916666666664</v>
      </c>
      <c r="N115" s="234">
        <v>44197.916666666664</v>
      </c>
      <c r="O115" s="234">
        <v>44197.916666666664</v>
      </c>
    </row>
    <row r="116" spans="2:18">
      <c r="I116" s="1307"/>
      <c r="J116" s="234">
        <v>44198.208333333336</v>
      </c>
      <c r="K116" s="234">
        <v>44198.208333333336</v>
      </c>
      <c r="L116" s="234">
        <v>44198.208333333336</v>
      </c>
      <c r="M116" s="234">
        <v>44198.208333333336</v>
      </c>
      <c r="N116" s="234">
        <v>44198.208333333336</v>
      </c>
      <c r="O116" s="234">
        <v>44198.208333333336</v>
      </c>
    </row>
    <row r="118" spans="2:18">
      <c r="J118" s="235">
        <f>MAX(J110,J115)</f>
        <v>44197.916666666664</v>
      </c>
      <c r="K118" s="235">
        <f t="shared" ref="K118:N118" si="14">MAX(K110,K115)</f>
        <v>44197.916666666664</v>
      </c>
      <c r="L118" s="235">
        <f t="shared" si="14"/>
        <v>44197.916666666664</v>
      </c>
      <c r="M118" s="235">
        <f t="shared" si="14"/>
        <v>44197.916666666664</v>
      </c>
      <c r="N118" s="235">
        <f t="shared" si="14"/>
        <v>44197.916666666664</v>
      </c>
      <c r="O118" s="235">
        <f>MAX(O110,O115)</f>
        <v>44197.916666666664</v>
      </c>
    </row>
    <row r="119" spans="2:18">
      <c r="J119" s="237">
        <f>J113-J115</f>
        <v>0.29166666667151731</v>
      </c>
      <c r="K119" s="237">
        <f t="shared" ref="K119:O119" si="15">K113-K115</f>
        <v>0.29166666667151731</v>
      </c>
      <c r="L119" s="237">
        <f t="shared" si="15"/>
        <v>0.29166666667151731</v>
      </c>
      <c r="M119" s="237">
        <f t="shared" si="15"/>
        <v>0.29166666667151731</v>
      </c>
      <c r="N119" s="237">
        <f t="shared" si="15"/>
        <v>0.29166666667151731</v>
      </c>
      <c r="O119" s="237">
        <f t="shared" si="15"/>
        <v>8.3333333335758653E-2</v>
      </c>
    </row>
    <row r="120" spans="2:18">
      <c r="J120" s="238">
        <f>HOUR(J119)+(MINUTE(J119)/60)</f>
        <v>7</v>
      </c>
      <c r="K120" s="238">
        <f t="shared" ref="K120:O120" si="16">HOUR(K119)+(MINUTE(K119)/60)</f>
        <v>7</v>
      </c>
      <c r="L120" s="238">
        <f t="shared" si="16"/>
        <v>7</v>
      </c>
      <c r="M120" s="238">
        <f t="shared" si="16"/>
        <v>7</v>
      </c>
      <c r="N120" s="238">
        <f t="shared" si="16"/>
        <v>7</v>
      </c>
      <c r="O120" s="238">
        <f t="shared" si="16"/>
        <v>2</v>
      </c>
    </row>
    <row r="122" spans="2:18">
      <c r="J122" s="236">
        <f>J120-1</f>
        <v>6</v>
      </c>
      <c r="K122" s="236">
        <f>K120-1</f>
        <v>6</v>
      </c>
      <c r="L122" s="236">
        <f>L120-1</f>
        <v>6</v>
      </c>
      <c r="M122" s="236">
        <f>M120-1</f>
        <v>6</v>
      </c>
      <c r="N122" s="236">
        <f>N120-1</f>
        <v>6</v>
      </c>
      <c r="O122" s="236">
        <f>O120</f>
        <v>2</v>
      </c>
      <c r="R122" s="223">
        <f>SUM(J122:O122)</f>
        <v>32</v>
      </c>
    </row>
    <row r="127" spans="2:18" ht="17.25">
      <c r="B127" s="35" t="s">
        <v>160</v>
      </c>
    </row>
    <row r="129" spans="2:3">
      <c r="B129" t="s">
        <v>57</v>
      </c>
    </row>
    <row r="131" spans="2:3">
      <c r="B131" t="s">
        <v>58</v>
      </c>
    </row>
    <row r="133" spans="2:3">
      <c r="B133" t="s">
        <v>161</v>
      </c>
    </row>
    <row r="134" spans="2:3">
      <c r="C134" t="s">
        <v>162</v>
      </c>
    </row>
    <row r="137" spans="2:3" ht="17.25">
      <c r="B137" s="35" t="s">
        <v>163</v>
      </c>
    </row>
    <row r="139" spans="2:3">
      <c r="B139" t="s">
        <v>164</v>
      </c>
    </row>
    <row r="140" spans="2:3">
      <c r="C140" t="s">
        <v>165</v>
      </c>
    </row>
    <row r="141" spans="2:3">
      <c r="C141" t="s">
        <v>166</v>
      </c>
    </row>
    <row r="142" spans="2:3">
      <c r="C142" t="s">
        <v>167</v>
      </c>
    </row>
    <row r="144" spans="2:3" ht="17.25">
      <c r="B144" s="35" t="s">
        <v>168</v>
      </c>
    </row>
    <row r="146" spans="2:3">
      <c r="B146" t="s">
        <v>169</v>
      </c>
    </row>
    <row r="147" spans="2:3">
      <c r="C147" t="s">
        <v>170</v>
      </c>
    </row>
    <row r="148" spans="2:3">
      <c r="C148" t="s">
        <v>171</v>
      </c>
    </row>
    <row r="149" spans="2:3">
      <c r="C149" t="s">
        <v>172</v>
      </c>
    </row>
    <row r="151" spans="2:3">
      <c r="C151" t="s">
        <v>173</v>
      </c>
    </row>
    <row r="152" spans="2:3">
      <c r="C152" t="s">
        <v>174</v>
      </c>
    </row>
    <row r="153" spans="2:3">
      <c r="C153" t="s">
        <v>175</v>
      </c>
    </row>
    <row r="154" spans="2:3">
      <c r="C154" t="s">
        <v>176</v>
      </c>
    </row>
    <row r="156" spans="2:3">
      <c r="B156" t="s">
        <v>177</v>
      </c>
    </row>
    <row r="157" spans="2:3">
      <c r="C157" t="s">
        <v>178</v>
      </c>
    </row>
    <row r="159" spans="2:3">
      <c r="B159" t="s">
        <v>179</v>
      </c>
    </row>
    <row r="161" spans="2:3">
      <c r="B161" t="s">
        <v>180</v>
      </c>
    </row>
    <row r="162" spans="2:3">
      <c r="C162" t="s">
        <v>181</v>
      </c>
    </row>
    <row r="163" spans="2:3">
      <c r="C163" t="s">
        <v>182</v>
      </c>
    </row>
    <row r="165" spans="2:3">
      <c r="B165" t="s">
        <v>183</v>
      </c>
    </row>
    <row r="166" spans="2:3">
      <c r="C166" t="s">
        <v>184</v>
      </c>
    </row>
    <row r="167" spans="2:3">
      <c r="C167" t="s">
        <v>185</v>
      </c>
    </row>
    <row r="169" spans="2:3">
      <c r="B169" t="s">
        <v>186</v>
      </c>
    </row>
    <row r="170" spans="2:3">
      <c r="C170" t="s">
        <v>187</v>
      </c>
    </row>
    <row r="172" spans="2:3" ht="17.25">
      <c r="B172" s="35" t="s">
        <v>188</v>
      </c>
    </row>
    <row r="174" spans="2:3">
      <c r="B174" t="s">
        <v>189</v>
      </c>
    </row>
    <row r="175" spans="2:3">
      <c r="B175" t="s">
        <v>190</v>
      </c>
    </row>
    <row r="176" spans="2:3">
      <c r="B176" t="s">
        <v>191</v>
      </c>
    </row>
    <row r="177" spans="2:3">
      <c r="B177" t="s">
        <v>192</v>
      </c>
    </row>
    <row r="178" spans="2:3">
      <c r="B178" t="s">
        <v>187</v>
      </c>
    </row>
    <row r="180" spans="2:3" ht="17.25">
      <c r="B180" s="35" t="s">
        <v>193</v>
      </c>
    </row>
    <row r="182" spans="2:3">
      <c r="B182" t="s">
        <v>194</v>
      </c>
    </row>
    <row r="183" spans="2:3">
      <c r="C183" t="s">
        <v>195</v>
      </c>
    </row>
    <row r="184" spans="2:3">
      <c r="C184" t="s">
        <v>196</v>
      </c>
    </row>
    <row r="185" spans="2:3">
      <c r="C185" t="s">
        <v>197</v>
      </c>
    </row>
    <row r="186" spans="2:3">
      <c r="C186" t="s">
        <v>198</v>
      </c>
    </row>
    <row r="188" spans="2:3">
      <c r="C188" t="s">
        <v>199</v>
      </c>
    </row>
    <row r="189" spans="2:3">
      <c r="C189" t="s">
        <v>200</v>
      </c>
    </row>
    <row r="190" spans="2:3">
      <c r="C190" t="s">
        <v>201</v>
      </c>
    </row>
    <row r="191" spans="2:3">
      <c r="C191" t="s">
        <v>202</v>
      </c>
    </row>
    <row r="192" spans="2:3">
      <c r="C192" t="s">
        <v>203</v>
      </c>
    </row>
    <row r="193" spans="2:3">
      <c r="C193" t="s">
        <v>204</v>
      </c>
    </row>
    <row r="195" spans="2:3">
      <c r="B195" t="s">
        <v>205</v>
      </c>
    </row>
    <row r="196" spans="2:3">
      <c r="C196" t="s">
        <v>206</v>
      </c>
    </row>
    <row r="198" spans="2:3">
      <c r="C198" t="s">
        <v>207</v>
      </c>
    </row>
    <row r="199" spans="2:3">
      <c r="C199" t="s">
        <v>208</v>
      </c>
    </row>
    <row r="201" spans="2:3">
      <c r="C201" t="s">
        <v>209</v>
      </c>
    </row>
    <row r="202" spans="2:3">
      <c r="C202" t="s">
        <v>210</v>
      </c>
    </row>
  </sheetData>
  <mergeCells count="4">
    <mergeCell ref="I33:I34"/>
    <mergeCell ref="M20:M21"/>
    <mergeCell ref="I115:I116"/>
    <mergeCell ref="I46:I47"/>
  </mergeCells>
  <phoneticPr fontId="2" type="noConversion"/>
  <hyperlinks>
    <hyperlink ref="C16" r:id="rId1" display="2020년 급여계산1 (근로시간)" xr:uid="{BED5FE64-827B-4D81-AFDE-A386269E1F56}"/>
    <hyperlink ref="R109" r:id="rId2" xr:uid="{0DCFF8EE-58C0-4236-8B4E-F1C1480CD517}"/>
    <hyperlink ref="H16" r:id="rId3" xr:uid="{A3697AAC-BA3A-44F0-A2BB-709A3369D086}"/>
    <hyperlink ref="M16" r:id="rId4" display="세무사는 임금명세서를 작성, 확인할 수 없습니다. (by 박사영 노무사)" xr:uid="{020017F3-9535-4DA4-876A-303B0BD68237}"/>
    <hyperlink ref="N54" r:id="rId5" xr:uid="{3AEED189-4FC9-4A2A-98C1-5E76265E34C5}"/>
  </hyperlinks>
  <pageMargins left="0.7" right="0.7" top="0.75" bottom="0.75" header="0.3" footer="0.3"/>
  <pageSetup paperSize="9" orientation="portrait" verticalDpi="0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E7A1B-9122-42B3-AB89-550B5502AD71}">
  <sheetPr codeName="Sheet3"/>
  <dimension ref="B2:X143"/>
  <sheetViews>
    <sheetView showGridLines="0" topLeftCell="A76" workbookViewId="0">
      <selection activeCell="M114" sqref="M114"/>
    </sheetView>
  </sheetViews>
  <sheetFormatPr defaultRowHeight="16.5"/>
  <cols>
    <col min="2" max="2" width="2.5" customWidth="1"/>
    <col min="12" max="20" width="14.25" customWidth="1"/>
  </cols>
  <sheetData>
    <row r="2" spans="3:6">
      <c r="C2" s="15" t="s">
        <v>1012</v>
      </c>
    </row>
    <row r="5" spans="3:6">
      <c r="C5" s="15" t="s">
        <v>687</v>
      </c>
    </row>
    <row r="7" spans="3:6">
      <c r="C7" s="15" t="s">
        <v>1489</v>
      </c>
    </row>
    <row r="10" spans="3:6" ht="20.25">
      <c r="C10" s="424" t="s">
        <v>1466</v>
      </c>
      <c r="F10" t="s">
        <v>1490</v>
      </c>
    </row>
    <row r="11" spans="3:6" ht="20.25">
      <c r="C11" s="424" t="s">
        <v>1467</v>
      </c>
    </row>
    <row r="12" spans="3:6" ht="20.25">
      <c r="C12" s="424" t="s">
        <v>1468</v>
      </c>
    </row>
    <row r="13" spans="3:6" ht="20.25">
      <c r="C13" s="424" t="s">
        <v>1469</v>
      </c>
    </row>
    <row r="14" spans="3:6" ht="20.25">
      <c r="C14" s="424" t="s">
        <v>1470</v>
      </c>
    </row>
    <row r="15" spans="3:6" ht="20.25">
      <c r="C15" s="424" t="s">
        <v>1471</v>
      </c>
    </row>
    <row r="16" spans="3:6" ht="20.25">
      <c r="C16" s="424" t="s">
        <v>1472</v>
      </c>
    </row>
    <row r="17" spans="3:11" ht="20.25">
      <c r="C17" s="424" t="s">
        <v>1473</v>
      </c>
    </row>
    <row r="18" spans="3:11" ht="20.25">
      <c r="C18" s="424" t="s">
        <v>1474</v>
      </c>
    </row>
    <row r="19" spans="3:11" ht="20.25">
      <c r="C19" s="44" t="s">
        <v>1475</v>
      </c>
    </row>
    <row r="20" spans="3:11" ht="20.25">
      <c r="C20" s="424" t="s">
        <v>1476</v>
      </c>
    </row>
    <row r="21" spans="3:11" ht="20.25">
      <c r="C21" s="44" t="s">
        <v>1477</v>
      </c>
    </row>
    <row r="23" spans="3:11">
      <c r="C23" t="s">
        <v>1478</v>
      </c>
    </row>
    <row r="24" spans="3:11">
      <c r="C24" t="s">
        <v>1479</v>
      </c>
    </row>
    <row r="26" spans="3:11">
      <c r="C26" t="s">
        <v>1480</v>
      </c>
    </row>
    <row r="27" spans="3:11">
      <c r="C27" t="s">
        <v>1481</v>
      </c>
      <c r="K27" t="s">
        <v>1482</v>
      </c>
    </row>
    <row r="30" spans="3:11">
      <c r="C30" t="s">
        <v>1483</v>
      </c>
    </row>
    <row r="31" spans="3:11">
      <c r="C31" t="s">
        <v>1484</v>
      </c>
    </row>
    <row r="32" spans="3:11">
      <c r="C32" t="s">
        <v>1485</v>
      </c>
    </row>
    <row r="33" spans="3:24">
      <c r="C33" t="s">
        <v>1486</v>
      </c>
    </row>
    <row r="35" spans="3:24">
      <c r="C35" t="s">
        <v>1487</v>
      </c>
    </row>
    <row r="37" spans="3:24">
      <c r="C37" t="s">
        <v>1488</v>
      </c>
    </row>
    <row r="41" spans="3:24">
      <c r="D41" s="289"/>
      <c r="I41" s="289"/>
      <c r="T41" s="419" t="s">
        <v>1506</v>
      </c>
    </row>
    <row r="42" spans="3:24">
      <c r="V42" t="s">
        <v>1508</v>
      </c>
      <c r="W42" t="s">
        <v>1509</v>
      </c>
    </row>
    <row r="43" spans="3:24">
      <c r="C43" t="s">
        <v>1491</v>
      </c>
      <c r="D43" s="36"/>
      <c r="L43" s="66" t="s">
        <v>1498</v>
      </c>
      <c r="M43" s="66" t="s">
        <v>1499</v>
      </c>
      <c r="N43" s="66" t="s">
        <v>1500</v>
      </c>
      <c r="O43" s="66" t="s">
        <v>1501</v>
      </c>
      <c r="P43" s="66" t="s">
        <v>1503</v>
      </c>
      <c r="Q43" s="66" t="s">
        <v>1504</v>
      </c>
      <c r="R43" s="66" t="s">
        <v>1505</v>
      </c>
      <c r="S43" s="66" t="s">
        <v>1504</v>
      </c>
      <c r="T43" s="66" t="s">
        <v>1505</v>
      </c>
      <c r="V43">
        <v>0</v>
      </c>
      <c r="X43" t="s">
        <v>1507</v>
      </c>
    </row>
    <row r="44" spans="3:24">
      <c r="D44" s="36"/>
      <c r="L44" s="66"/>
      <c r="M44" s="66"/>
      <c r="N44" s="66"/>
      <c r="O44" s="66"/>
      <c r="P44" s="66"/>
      <c r="Q44" s="66"/>
      <c r="R44" s="66"/>
      <c r="S44" s="66"/>
      <c r="T44" s="66"/>
      <c r="V44" s="428">
        <v>1</v>
      </c>
      <c r="W44" s="427">
        <v>15</v>
      </c>
    </row>
    <row r="45" spans="3:24">
      <c r="C45" t="s">
        <v>1492</v>
      </c>
      <c r="G45" t="s">
        <v>1493</v>
      </c>
      <c r="L45" s="425">
        <v>11</v>
      </c>
      <c r="M45" s="425">
        <v>15</v>
      </c>
      <c r="N45" s="425">
        <f>M45</f>
        <v>15</v>
      </c>
      <c r="O45" s="425">
        <v>16</v>
      </c>
      <c r="P45" s="425">
        <f>O45</f>
        <v>16</v>
      </c>
      <c r="Q45" s="425">
        <v>17</v>
      </c>
      <c r="R45" s="425">
        <f>Q45</f>
        <v>17</v>
      </c>
      <c r="S45" s="425">
        <v>18</v>
      </c>
      <c r="T45" s="425">
        <f>S45</f>
        <v>18</v>
      </c>
      <c r="V45" s="428">
        <v>2</v>
      </c>
      <c r="W45" s="427">
        <v>15</v>
      </c>
    </row>
    <row r="46" spans="3:24">
      <c r="C46" t="s">
        <v>1494</v>
      </c>
      <c r="L46" s="66"/>
      <c r="M46" s="66"/>
      <c r="N46" s="66"/>
      <c r="O46" s="66"/>
      <c r="P46" s="66"/>
      <c r="Q46" s="66"/>
      <c r="R46" s="66"/>
      <c r="S46" s="66"/>
      <c r="T46" s="66"/>
      <c r="V46" s="428">
        <v>3</v>
      </c>
      <c r="W46" s="427">
        <v>16</v>
      </c>
    </row>
    <row r="47" spans="3:24">
      <c r="C47" t="s">
        <v>1495</v>
      </c>
      <c r="L47" s="418" t="s">
        <v>1502</v>
      </c>
      <c r="M47" s="426">
        <f>SUM(L45:M45)</f>
        <v>26</v>
      </c>
      <c r="N47" s="426">
        <f t="shared" ref="N47:T47" si="0">SUM(M47,N45)</f>
        <v>41</v>
      </c>
      <c r="O47" s="426">
        <f t="shared" si="0"/>
        <v>57</v>
      </c>
      <c r="P47" s="426">
        <f t="shared" si="0"/>
        <v>73</v>
      </c>
      <c r="Q47" s="426">
        <f t="shared" si="0"/>
        <v>90</v>
      </c>
      <c r="R47" s="426">
        <f t="shared" si="0"/>
        <v>107</v>
      </c>
      <c r="S47" s="426">
        <f t="shared" si="0"/>
        <v>125</v>
      </c>
      <c r="T47" s="426">
        <f t="shared" si="0"/>
        <v>143</v>
      </c>
      <c r="V47" s="428">
        <v>4</v>
      </c>
      <c r="W47" s="427">
        <v>16</v>
      </c>
    </row>
    <row r="48" spans="3:24">
      <c r="C48" t="s">
        <v>1496</v>
      </c>
      <c r="V48" s="428">
        <v>5</v>
      </c>
      <c r="W48" s="427">
        <v>17</v>
      </c>
    </row>
    <row r="49" spans="2:23">
      <c r="C49" t="s">
        <v>1497</v>
      </c>
      <c r="V49" s="428">
        <v>6</v>
      </c>
      <c r="W49" s="427">
        <v>17</v>
      </c>
    </row>
    <row r="50" spans="2:23">
      <c r="V50" s="428">
        <v>7</v>
      </c>
      <c r="W50" s="427">
        <v>18</v>
      </c>
    </row>
    <row r="51" spans="2:23">
      <c r="V51" s="428">
        <v>8</v>
      </c>
      <c r="W51" s="427">
        <v>18</v>
      </c>
    </row>
    <row r="52" spans="2:23">
      <c r="V52" s="428">
        <v>9</v>
      </c>
      <c r="W52" s="427">
        <v>19</v>
      </c>
    </row>
    <row r="53" spans="2:23">
      <c r="V53" s="428">
        <v>10</v>
      </c>
      <c r="W53" s="427">
        <v>19</v>
      </c>
    </row>
    <row r="54" spans="2:23">
      <c r="C54" t="s">
        <v>1616</v>
      </c>
      <c r="J54" s="15" t="s">
        <v>1619</v>
      </c>
      <c r="V54" s="428">
        <v>11</v>
      </c>
      <c r="W54" s="427">
        <v>20</v>
      </c>
    </row>
    <row r="55" spans="2:23">
      <c r="J55" s="15"/>
      <c r="V55" s="428">
        <v>12</v>
      </c>
      <c r="W55" s="427">
        <v>20</v>
      </c>
    </row>
    <row r="56" spans="2:23">
      <c r="C56" s="30" t="s">
        <v>1735</v>
      </c>
      <c r="V56" s="428">
        <v>13</v>
      </c>
      <c r="W56" s="427">
        <v>21</v>
      </c>
    </row>
    <row r="57" spans="2:23">
      <c r="V57" s="428">
        <v>14</v>
      </c>
      <c r="W57" s="427">
        <v>21</v>
      </c>
    </row>
    <row r="58" spans="2:23" ht="17.25">
      <c r="B58" s="33" t="s">
        <v>72</v>
      </c>
      <c r="V58" s="428">
        <v>15</v>
      </c>
      <c r="W58" s="427">
        <v>22</v>
      </c>
    </row>
    <row r="59" spans="2:23">
      <c r="V59" s="428">
        <v>16</v>
      </c>
      <c r="W59" s="427">
        <v>22</v>
      </c>
    </row>
    <row r="60" spans="2:23">
      <c r="B60" t="s">
        <v>1615</v>
      </c>
      <c r="V60" s="428">
        <v>17</v>
      </c>
      <c r="W60" s="427">
        <v>23</v>
      </c>
    </row>
    <row r="61" spans="2:23">
      <c r="V61" s="428">
        <v>18</v>
      </c>
      <c r="W61" s="427">
        <v>23</v>
      </c>
    </row>
    <row r="62" spans="2:23">
      <c r="B62" s="31" t="s">
        <v>1732</v>
      </c>
      <c r="V62" s="428">
        <v>19</v>
      </c>
      <c r="W62" s="427">
        <v>24</v>
      </c>
    </row>
    <row r="63" spans="2:23">
      <c r="V63" s="428">
        <v>20</v>
      </c>
      <c r="W63" s="427">
        <v>24</v>
      </c>
    </row>
    <row r="64" spans="2:23">
      <c r="B64" s="27" t="s">
        <v>1614</v>
      </c>
      <c r="V64" s="428">
        <v>21</v>
      </c>
      <c r="W64" s="427">
        <v>25</v>
      </c>
    </row>
    <row r="65" spans="2:23">
      <c r="C65" t="s">
        <v>1617</v>
      </c>
      <c r="V65" s="428">
        <v>22</v>
      </c>
      <c r="W65" s="427">
        <v>25</v>
      </c>
    </row>
    <row r="66" spans="2:23">
      <c r="C66" t="s">
        <v>1618</v>
      </c>
      <c r="V66" s="428">
        <v>23</v>
      </c>
      <c r="W66" s="427">
        <v>25</v>
      </c>
    </row>
    <row r="67" spans="2:23">
      <c r="V67" s="428">
        <v>24</v>
      </c>
      <c r="W67" s="427">
        <v>25</v>
      </c>
    </row>
    <row r="68" spans="2:23">
      <c r="V68" s="428">
        <v>25</v>
      </c>
      <c r="W68" s="427">
        <v>25</v>
      </c>
    </row>
    <row r="69" spans="2:23">
      <c r="B69" t="s">
        <v>1733</v>
      </c>
      <c r="V69" s="428">
        <v>26</v>
      </c>
      <c r="W69" s="427">
        <v>25</v>
      </c>
    </row>
    <row r="70" spans="2:23">
      <c r="V70" s="428">
        <v>27</v>
      </c>
      <c r="W70" s="427">
        <v>25</v>
      </c>
    </row>
    <row r="71" spans="2:23">
      <c r="B71" t="s">
        <v>81</v>
      </c>
      <c r="V71" s="428">
        <v>28</v>
      </c>
      <c r="W71" s="427">
        <v>25</v>
      </c>
    </row>
    <row r="72" spans="2:23">
      <c r="C72" t="s">
        <v>80</v>
      </c>
      <c r="V72" s="428">
        <v>29</v>
      </c>
      <c r="W72" s="427">
        <v>25</v>
      </c>
    </row>
    <row r="73" spans="2:23">
      <c r="V73" s="428">
        <v>30</v>
      </c>
      <c r="W73" s="427">
        <v>25</v>
      </c>
    </row>
    <row r="74" spans="2:23">
      <c r="B74" t="s">
        <v>82</v>
      </c>
      <c r="V74" s="428">
        <v>31</v>
      </c>
      <c r="W74" s="427">
        <v>25</v>
      </c>
    </row>
    <row r="75" spans="2:23">
      <c r="V75" s="428">
        <v>32</v>
      </c>
      <c r="W75" s="427">
        <v>25</v>
      </c>
    </row>
    <row r="76" spans="2:23">
      <c r="C76" t="s">
        <v>77</v>
      </c>
      <c r="V76" s="428">
        <v>33</v>
      </c>
      <c r="W76" s="427">
        <v>25</v>
      </c>
    </row>
    <row r="77" spans="2:23">
      <c r="V77" s="428">
        <v>34</v>
      </c>
      <c r="W77" s="427">
        <v>25</v>
      </c>
    </row>
    <row r="78" spans="2:23">
      <c r="C78" t="s">
        <v>78</v>
      </c>
      <c r="V78" s="428">
        <v>35</v>
      </c>
      <c r="W78" s="427">
        <v>25</v>
      </c>
    </row>
    <row r="79" spans="2:23">
      <c r="V79" s="428">
        <v>36</v>
      </c>
      <c r="W79" s="427">
        <v>25</v>
      </c>
    </row>
    <row r="80" spans="2:23">
      <c r="C80" t="s">
        <v>79</v>
      </c>
      <c r="V80" s="428">
        <v>37</v>
      </c>
      <c r="W80" s="427">
        <v>25</v>
      </c>
    </row>
    <row r="81" spans="2:23">
      <c r="V81" s="428">
        <v>38</v>
      </c>
      <c r="W81" s="427">
        <v>25</v>
      </c>
    </row>
    <row r="82" spans="2:23">
      <c r="B82" t="s">
        <v>1734</v>
      </c>
      <c r="V82" s="428">
        <v>39</v>
      </c>
      <c r="W82" s="427">
        <v>25</v>
      </c>
    </row>
    <row r="83" spans="2:23">
      <c r="V83" s="428">
        <v>40</v>
      </c>
      <c r="W83" s="427">
        <v>25</v>
      </c>
    </row>
    <row r="84" spans="2:23" ht="17.25">
      <c r="B84" s="33" t="s">
        <v>137</v>
      </c>
      <c r="V84" s="428">
        <v>41</v>
      </c>
      <c r="W84" s="427">
        <v>25</v>
      </c>
    </row>
    <row r="85" spans="2:23">
      <c r="V85" s="428">
        <v>42</v>
      </c>
      <c r="W85" s="427">
        <v>25</v>
      </c>
    </row>
    <row r="86" spans="2:23">
      <c r="V86" s="428">
        <v>43</v>
      </c>
      <c r="W86" s="427">
        <v>25</v>
      </c>
    </row>
    <row r="87" spans="2:23">
      <c r="B87" s="15" t="s">
        <v>1511</v>
      </c>
      <c r="V87" s="428">
        <v>44</v>
      </c>
      <c r="W87" s="427">
        <v>25</v>
      </c>
    </row>
    <row r="88" spans="2:23">
      <c r="V88" s="428">
        <v>45</v>
      </c>
      <c r="W88" s="427">
        <v>25</v>
      </c>
    </row>
    <row r="89" spans="2:23">
      <c r="B89" t="s">
        <v>1512</v>
      </c>
      <c r="V89" s="428">
        <v>46</v>
      </c>
      <c r="W89" s="427">
        <v>25</v>
      </c>
    </row>
    <row r="90" spans="2:23">
      <c r="B90" t="s">
        <v>1513</v>
      </c>
      <c r="V90" s="428">
        <v>47</v>
      </c>
      <c r="W90" s="427">
        <v>25</v>
      </c>
    </row>
    <row r="91" spans="2:23">
      <c r="B91" t="s">
        <v>1514</v>
      </c>
      <c r="V91" s="428">
        <v>48</v>
      </c>
      <c r="W91" s="427">
        <v>25</v>
      </c>
    </row>
    <row r="92" spans="2:23">
      <c r="V92" s="428">
        <v>49</v>
      </c>
      <c r="W92" s="427">
        <v>25</v>
      </c>
    </row>
    <row r="93" spans="2:23">
      <c r="B93" s="156" t="s">
        <v>1515</v>
      </c>
      <c r="C93" s="151"/>
      <c r="D93" s="151"/>
      <c r="E93" s="151"/>
      <c r="F93" s="151"/>
      <c r="G93" s="400" t="s">
        <v>1524</v>
      </c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397"/>
      <c r="V93" s="428">
        <v>50</v>
      </c>
      <c r="W93" s="427">
        <v>25</v>
      </c>
    </row>
    <row r="94" spans="2:23">
      <c r="B94" s="398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399"/>
      <c r="V94" s="428">
        <v>51</v>
      </c>
      <c r="W94" s="427">
        <v>25</v>
      </c>
    </row>
    <row r="95" spans="2:23">
      <c r="B95" s="398" t="s">
        <v>1516</v>
      </c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399"/>
      <c r="V95" s="428">
        <v>52</v>
      </c>
      <c r="W95" s="427">
        <v>25</v>
      </c>
    </row>
    <row r="96" spans="2:23">
      <c r="B96" s="398" t="s">
        <v>1517</v>
      </c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399"/>
      <c r="V96" s="428">
        <v>53</v>
      </c>
      <c r="W96" s="427">
        <v>25</v>
      </c>
    </row>
    <row r="97" spans="2:23">
      <c r="B97" s="398" t="s">
        <v>1518</v>
      </c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399"/>
      <c r="V97" s="428">
        <v>54</v>
      </c>
      <c r="W97" s="427">
        <v>25</v>
      </c>
    </row>
    <row r="98" spans="2:23">
      <c r="B98" s="398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399"/>
      <c r="V98" s="428">
        <v>55</v>
      </c>
      <c r="W98" s="427">
        <v>25</v>
      </c>
    </row>
    <row r="99" spans="2:23">
      <c r="B99" s="398" t="s">
        <v>1519</v>
      </c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399"/>
      <c r="V99" s="428">
        <v>56</v>
      </c>
      <c r="W99" s="427">
        <v>25</v>
      </c>
    </row>
    <row r="100" spans="2:23">
      <c r="B100" s="398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399"/>
      <c r="V100" s="428">
        <v>57</v>
      </c>
      <c r="W100" s="427">
        <v>25</v>
      </c>
    </row>
    <row r="101" spans="2:23">
      <c r="B101" s="158" t="s">
        <v>1520</v>
      </c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159"/>
      <c r="V101" s="428">
        <v>58</v>
      </c>
      <c r="W101" s="427">
        <v>25</v>
      </c>
    </row>
    <row r="102" spans="2:23">
      <c r="V102" s="428">
        <v>59</v>
      </c>
      <c r="W102" s="427">
        <v>25</v>
      </c>
    </row>
    <row r="103" spans="2:23">
      <c r="B103" s="156" t="s">
        <v>1521</v>
      </c>
      <c r="C103" s="151"/>
      <c r="D103" s="151"/>
      <c r="E103" s="151"/>
      <c r="F103" s="151"/>
      <c r="G103" s="400" t="s">
        <v>1523</v>
      </c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397"/>
      <c r="V103" s="428">
        <v>60</v>
      </c>
      <c r="W103" s="427">
        <v>25</v>
      </c>
    </row>
    <row r="104" spans="2:23">
      <c r="B104" s="398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399"/>
      <c r="V104" s="428">
        <v>61</v>
      </c>
      <c r="W104" s="427">
        <v>25</v>
      </c>
    </row>
    <row r="105" spans="2:23">
      <c r="B105" s="398" t="s">
        <v>1522</v>
      </c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399"/>
      <c r="V105" s="428">
        <v>62</v>
      </c>
      <c r="W105" s="427">
        <v>25</v>
      </c>
    </row>
    <row r="106" spans="2:23">
      <c r="B106" s="398" t="s">
        <v>1525</v>
      </c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399"/>
      <c r="V106" s="428">
        <v>63</v>
      </c>
      <c r="W106" s="427">
        <v>25</v>
      </c>
    </row>
    <row r="107" spans="2:23">
      <c r="B107" s="398" t="s">
        <v>1526</v>
      </c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399"/>
      <c r="V107" s="428">
        <v>64</v>
      </c>
      <c r="W107" s="427">
        <v>25</v>
      </c>
    </row>
    <row r="108" spans="2:23">
      <c r="B108" s="398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399"/>
      <c r="V108" s="428">
        <v>65</v>
      </c>
      <c r="W108" s="427">
        <v>25</v>
      </c>
    </row>
    <row r="109" spans="2:23">
      <c r="B109" s="158" t="s">
        <v>1527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159"/>
      <c r="V109" s="428">
        <v>66</v>
      </c>
      <c r="W109" s="427">
        <v>25</v>
      </c>
    </row>
    <row r="110" spans="2:23">
      <c r="V110" s="428">
        <v>67</v>
      </c>
      <c r="W110" s="427">
        <v>25</v>
      </c>
    </row>
    <row r="111" spans="2:23">
      <c r="B111" t="s">
        <v>1528</v>
      </c>
      <c r="V111" s="428">
        <v>68</v>
      </c>
      <c r="W111" s="427">
        <v>25</v>
      </c>
    </row>
    <row r="112" spans="2:23">
      <c r="V112" s="428">
        <v>69</v>
      </c>
      <c r="W112" s="427">
        <v>25</v>
      </c>
    </row>
    <row r="113" spans="2:23">
      <c r="B113" t="s">
        <v>1529</v>
      </c>
      <c r="V113" s="428">
        <v>70</v>
      </c>
      <c r="W113" s="427">
        <v>25</v>
      </c>
    </row>
    <row r="114" spans="2:23">
      <c r="V114" s="428">
        <v>71</v>
      </c>
      <c r="W114" s="427">
        <v>25</v>
      </c>
    </row>
    <row r="115" spans="2:23">
      <c r="B115" t="s">
        <v>1530</v>
      </c>
      <c r="V115" s="428">
        <v>72</v>
      </c>
      <c r="W115" s="427">
        <v>25</v>
      </c>
    </row>
    <row r="116" spans="2:23">
      <c r="V116" s="428">
        <v>73</v>
      </c>
      <c r="W116" s="427">
        <v>25</v>
      </c>
    </row>
    <row r="117" spans="2:23">
      <c r="B117" t="s">
        <v>1531</v>
      </c>
      <c r="V117" s="428">
        <v>74</v>
      </c>
      <c r="W117" s="427">
        <v>25</v>
      </c>
    </row>
    <row r="118" spans="2:23">
      <c r="V118" s="428">
        <v>75</v>
      </c>
      <c r="W118" s="427">
        <v>25</v>
      </c>
    </row>
    <row r="119" spans="2:23">
      <c r="B119" s="156" t="s">
        <v>1515</v>
      </c>
      <c r="C119" s="151"/>
      <c r="D119" s="151"/>
      <c r="E119" s="151"/>
      <c r="F119" s="151"/>
      <c r="G119" s="151"/>
      <c r="H119" s="151"/>
      <c r="I119" s="151"/>
      <c r="J119" s="151"/>
      <c r="K119" s="397"/>
      <c r="V119" s="428">
        <v>76</v>
      </c>
      <c r="W119" s="427">
        <v>25</v>
      </c>
    </row>
    <row r="120" spans="2:23">
      <c r="B120" s="398"/>
      <c r="C120" s="150"/>
      <c r="D120" s="150"/>
      <c r="E120" s="150"/>
      <c r="F120" s="150"/>
      <c r="G120" s="150"/>
      <c r="H120" s="150"/>
      <c r="I120" s="150"/>
      <c r="J120" s="150"/>
      <c r="K120" s="399"/>
      <c r="V120" s="428">
        <v>77</v>
      </c>
      <c r="W120" s="427">
        <v>25</v>
      </c>
    </row>
    <row r="121" spans="2:23">
      <c r="B121" s="398" t="s">
        <v>1532</v>
      </c>
      <c r="C121" s="150"/>
      <c r="D121" s="150"/>
      <c r="E121" s="150"/>
      <c r="F121" s="150"/>
      <c r="G121" s="150"/>
      <c r="H121" s="150"/>
      <c r="I121" s="150"/>
      <c r="J121" s="150"/>
      <c r="K121" s="399"/>
      <c r="V121" s="428">
        <v>78</v>
      </c>
      <c r="W121" s="427">
        <v>25</v>
      </c>
    </row>
    <row r="122" spans="2:23">
      <c r="B122" s="158" t="s">
        <v>1533</v>
      </c>
      <c r="C122" s="21"/>
      <c r="D122" s="21"/>
      <c r="E122" s="21"/>
      <c r="F122" s="21"/>
      <c r="G122" s="21"/>
      <c r="H122" s="21"/>
      <c r="I122" s="21"/>
      <c r="J122" s="21"/>
      <c r="K122" s="159"/>
      <c r="V122" s="428">
        <v>79</v>
      </c>
      <c r="W122" s="427">
        <v>25</v>
      </c>
    </row>
    <row r="123" spans="2:23">
      <c r="V123" s="428">
        <v>80</v>
      </c>
      <c r="W123" s="427">
        <v>25</v>
      </c>
    </row>
    <row r="124" spans="2:23">
      <c r="B124" s="156" t="s">
        <v>1521</v>
      </c>
      <c r="C124" s="151"/>
      <c r="D124" s="151"/>
      <c r="E124" s="151"/>
      <c r="F124" s="151"/>
      <c r="G124" s="151"/>
      <c r="H124" s="151"/>
      <c r="I124" s="151"/>
      <c r="J124" s="151"/>
      <c r="K124" s="397"/>
      <c r="V124" s="428">
        <v>81</v>
      </c>
      <c r="W124" s="427">
        <v>25</v>
      </c>
    </row>
    <row r="125" spans="2:23">
      <c r="B125" s="398"/>
      <c r="C125" s="150"/>
      <c r="D125" s="150"/>
      <c r="E125" s="150"/>
      <c r="F125" s="150"/>
      <c r="G125" s="150"/>
      <c r="H125" s="150"/>
      <c r="I125" s="150"/>
      <c r="J125" s="150"/>
      <c r="K125" s="399"/>
      <c r="V125" s="428">
        <v>82</v>
      </c>
      <c r="W125" s="427">
        <v>25</v>
      </c>
    </row>
    <row r="126" spans="2:23">
      <c r="B126" s="398" t="s">
        <v>1534</v>
      </c>
      <c r="C126" s="150"/>
      <c r="D126" s="150"/>
      <c r="E126" s="150"/>
      <c r="F126" s="150"/>
      <c r="G126" s="150"/>
      <c r="H126" s="150"/>
      <c r="I126" s="150"/>
      <c r="J126" s="150"/>
      <c r="K126" s="399"/>
      <c r="V126" s="428">
        <v>83</v>
      </c>
      <c r="W126" s="427">
        <v>25</v>
      </c>
    </row>
    <row r="127" spans="2:23">
      <c r="B127" s="158" t="s">
        <v>1535</v>
      </c>
      <c r="C127" s="21"/>
      <c r="D127" s="21"/>
      <c r="E127" s="21"/>
      <c r="F127" s="21"/>
      <c r="G127" s="21"/>
      <c r="H127" s="21"/>
      <c r="I127" s="21"/>
      <c r="J127" s="21"/>
      <c r="K127" s="159"/>
      <c r="V127" s="428">
        <v>84</v>
      </c>
      <c r="W127" s="427">
        <v>25</v>
      </c>
    </row>
    <row r="128" spans="2:23">
      <c r="V128" s="428">
        <v>85</v>
      </c>
      <c r="W128" s="427">
        <v>25</v>
      </c>
    </row>
    <row r="129" spans="22:23">
      <c r="V129" s="428">
        <v>86</v>
      </c>
      <c r="W129" s="427">
        <v>25</v>
      </c>
    </row>
    <row r="130" spans="22:23">
      <c r="V130" s="428">
        <v>87</v>
      </c>
      <c r="W130" s="427">
        <v>25</v>
      </c>
    </row>
    <row r="131" spans="22:23">
      <c r="V131" s="428">
        <v>88</v>
      </c>
      <c r="W131" s="427">
        <v>25</v>
      </c>
    </row>
    <row r="132" spans="22:23">
      <c r="V132" s="428">
        <v>89</v>
      </c>
      <c r="W132" s="427">
        <v>25</v>
      </c>
    </row>
    <row r="133" spans="22:23">
      <c r="V133" s="428">
        <v>90</v>
      </c>
      <c r="W133" s="427">
        <v>25</v>
      </c>
    </row>
    <row r="134" spans="22:23">
      <c r="V134" s="428">
        <v>91</v>
      </c>
      <c r="W134" s="427">
        <v>25</v>
      </c>
    </row>
    <row r="135" spans="22:23">
      <c r="V135" s="428">
        <v>92</v>
      </c>
      <c r="W135" s="427">
        <v>25</v>
      </c>
    </row>
    <row r="136" spans="22:23">
      <c r="V136" s="428">
        <v>93</v>
      </c>
      <c r="W136" s="427">
        <v>25</v>
      </c>
    </row>
    <row r="137" spans="22:23">
      <c r="V137" s="428">
        <v>94</v>
      </c>
      <c r="W137" s="427">
        <v>25</v>
      </c>
    </row>
    <row r="138" spans="22:23">
      <c r="V138" s="428">
        <v>95</v>
      </c>
      <c r="W138" s="427">
        <v>25</v>
      </c>
    </row>
    <row r="139" spans="22:23">
      <c r="V139" s="428">
        <v>96</v>
      </c>
      <c r="W139" s="427">
        <v>25</v>
      </c>
    </row>
    <row r="140" spans="22:23">
      <c r="V140" s="428">
        <v>97</v>
      </c>
      <c r="W140" s="427">
        <v>25</v>
      </c>
    </row>
    <row r="141" spans="22:23">
      <c r="V141" s="428">
        <v>98</v>
      </c>
      <c r="W141" s="427">
        <v>25</v>
      </c>
    </row>
    <row r="142" spans="22:23">
      <c r="V142" s="428">
        <v>99</v>
      </c>
      <c r="W142" s="427">
        <v>25</v>
      </c>
    </row>
    <row r="143" spans="22:23">
      <c r="V143" s="428">
        <v>100</v>
      </c>
      <c r="W143" s="427">
        <v>25</v>
      </c>
    </row>
  </sheetData>
  <phoneticPr fontId="2" type="noConversion"/>
  <hyperlinks>
    <hyperlink ref="C5" r:id="rId1" xr:uid="{3B91D91F-F09D-49BC-8B6A-FB214F2AEC5F}"/>
    <hyperlink ref="C2" r:id="rId2" xr:uid="{D3986FCF-BF3A-4D83-BFB4-0F80B573B889}"/>
    <hyperlink ref="C7" r:id="rId3" xr:uid="{44D3AA3B-172E-43A3-9835-8889B466699C}"/>
    <hyperlink ref="B87" r:id="rId4" xr:uid="{2F21772B-45E2-44DE-9BC2-898FFD2AB17E}"/>
    <hyperlink ref="J54" r:id="rId5" display="1년 계약직 연차는 11일 !  (대법 2021다227100)" xr:uid="{A725940A-43ED-40FF-A312-AB9455150AF4}"/>
  </hyperlinks>
  <pageMargins left="0.7" right="0.7" top="0.75" bottom="0.75" header="0.3" footer="0.3"/>
  <pageSetup paperSize="9" orientation="portrait" verticalDpi="0"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E801A-77BC-49F7-B288-C36E11A5DD7A}">
  <sheetPr codeName="Sheet29"/>
  <dimension ref="B2:C26"/>
  <sheetViews>
    <sheetView showGridLines="0" workbookViewId="0">
      <selection activeCell="B4" sqref="B4"/>
    </sheetView>
  </sheetViews>
  <sheetFormatPr defaultRowHeight="16.5"/>
  <cols>
    <col min="2" max="2" width="2.375" customWidth="1"/>
    <col min="3" max="3" width="1.875" customWidth="1"/>
  </cols>
  <sheetData>
    <row r="2" spans="2:3" ht="17.25">
      <c r="B2" s="35" t="s">
        <v>211</v>
      </c>
    </row>
    <row r="4" spans="2:3">
      <c r="B4" t="s">
        <v>1160</v>
      </c>
    </row>
    <row r="6" spans="2:3">
      <c r="B6" t="s">
        <v>213</v>
      </c>
    </row>
    <row r="7" spans="2:3">
      <c r="C7" t="s">
        <v>212</v>
      </c>
    </row>
    <row r="9" spans="2:3">
      <c r="B9" t="s">
        <v>214</v>
      </c>
    </row>
    <row r="10" spans="2:3">
      <c r="C10" t="s">
        <v>215</v>
      </c>
    </row>
    <row r="12" spans="2:3">
      <c r="C12" t="s">
        <v>216</v>
      </c>
    </row>
    <row r="13" spans="2:3">
      <c r="C13" t="s">
        <v>217</v>
      </c>
    </row>
    <row r="15" spans="2:3">
      <c r="B15" t="s">
        <v>218</v>
      </c>
    </row>
    <row r="16" spans="2:3">
      <c r="C16" t="s">
        <v>219</v>
      </c>
    </row>
    <row r="17" spans="2:3">
      <c r="C17" t="s">
        <v>220</v>
      </c>
    </row>
    <row r="19" spans="2:3">
      <c r="B19" t="s">
        <v>221</v>
      </c>
    </row>
    <row r="20" spans="2:3">
      <c r="C20" t="s">
        <v>220</v>
      </c>
    </row>
    <row r="22" spans="2:3">
      <c r="B22" t="s">
        <v>222</v>
      </c>
    </row>
    <row r="23" spans="2:3">
      <c r="C23" t="s">
        <v>223</v>
      </c>
    </row>
    <row r="25" spans="2:3">
      <c r="B25" t="s">
        <v>224</v>
      </c>
    </row>
    <row r="26" spans="2:3">
      <c r="C26" t="s">
        <v>225</v>
      </c>
    </row>
  </sheetData>
  <phoneticPr fontId="2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9ECAF-A58D-48D0-958A-7F55E53633D5}">
  <sheetPr codeName="Sheet30"/>
  <dimension ref="A2:O110"/>
  <sheetViews>
    <sheetView showGridLines="0" workbookViewId="0">
      <selection activeCell="E2" sqref="E2"/>
    </sheetView>
  </sheetViews>
  <sheetFormatPr defaultRowHeight="16.5"/>
  <cols>
    <col min="2" max="2" width="2" customWidth="1"/>
    <col min="3" max="3" width="16.125" customWidth="1"/>
  </cols>
  <sheetData>
    <row r="2" spans="2:4">
      <c r="B2" s="15" t="s">
        <v>309</v>
      </c>
    </row>
    <row r="4" spans="2:4">
      <c r="B4" t="s">
        <v>234</v>
      </c>
    </row>
    <row r="6" spans="2:4">
      <c r="B6" t="s">
        <v>235</v>
      </c>
    </row>
    <row r="8" spans="2:4">
      <c r="C8" t="s">
        <v>239</v>
      </c>
      <c r="D8" s="37" t="s">
        <v>240</v>
      </c>
    </row>
    <row r="9" spans="2:4">
      <c r="C9" t="s">
        <v>237</v>
      </c>
      <c r="D9" t="s">
        <v>238</v>
      </c>
    </row>
    <row r="11" spans="2:4">
      <c r="B11" t="s">
        <v>236</v>
      </c>
    </row>
    <row r="12" spans="2:4">
      <c r="C12" t="s">
        <v>239</v>
      </c>
      <c r="D12" s="37" t="s">
        <v>242</v>
      </c>
    </row>
    <row r="13" spans="2:4">
      <c r="C13" t="s">
        <v>237</v>
      </c>
      <c r="D13" t="s">
        <v>241</v>
      </c>
    </row>
    <row r="15" spans="2:4">
      <c r="B15" t="s">
        <v>243</v>
      </c>
    </row>
    <row r="16" spans="2:4">
      <c r="C16" t="s">
        <v>239</v>
      </c>
      <c r="D16" t="s">
        <v>244</v>
      </c>
    </row>
    <row r="17" spans="2:14">
      <c r="C17" t="s">
        <v>237</v>
      </c>
      <c r="D17" t="s">
        <v>245</v>
      </c>
    </row>
    <row r="18" spans="2:14">
      <c r="D18" s="36" t="s">
        <v>246</v>
      </c>
    </row>
    <row r="19" spans="2:14">
      <c r="D19" s="36" t="s">
        <v>247</v>
      </c>
    </row>
    <row r="21" spans="2:14">
      <c r="B21" t="s">
        <v>248</v>
      </c>
      <c r="N21" t="s">
        <v>270</v>
      </c>
    </row>
    <row r="22" spans="2:14">
      <c r="C22" t="s">
        <v>239</v>
      </c>
      <c r="D22" s="38" t="s">
        <v>244</v>
      </c>
      <c r="N22" t="s">
        <v>268</v>
      </c>
    </row>
    <row r="23" spans="2:14">
      <c r="C23" t="s">
        <v>237</v>
      </c>
      <c r="D23" t="s">
        <v>249</v>
      </c>
      <c r="N23" t="s">
        <v>269</v>
      </c>
    </row>
    <row r="25" spans="2:14">
      <c r="B25" t="s">
        <v>250</v>
      </c>
    </row>
    <row r="26" spans="2:14">
      <c r="C26" t="s">
        <v>239</v>
      </c>
      <c r="D26" s="37" t="s">
        <v>244</v>
      </c>
    </row>
    <row r="27" spans="2:14">
      <c r="C27" t="s">
        <v>237</v>
      </c>
    </row>
    <row r="28" spans="2:14">
      <c r="D28" s="36" t="s">
        <v>252</v>
      </c>
    </row>
    <row r="29" spans="2:14">
      <c r="D29" s="36" t="s">
        <v>251</v>
      </c>
    </row>
    <row r="31" spans="2:14">
      <c r="B31" t="s">
        <v>253</v>
      </c>
    </row>
    <row r="32" spans="2:14">
      <c r="C32" t="s">
        <v>259</v>
      </c>
    </row>
    <row r="34" spans="2:3">
      <c r="C34" t="s">
        <v>254</v>
      </c>
    </row>
    <row r="36" spans="2:3">
      <c r="C36" t="s">
        <v>255</v>
      </c>
    </row>
    <row r="37" spans="2:3">
      <c r="C37" t="s">
        <v>256</v>
      </c>
    </row>
    <row r="38" spans="2:3">
      <c r="C38" t="s">
        <v>257</v>
      </c>
    </row>
    <row r="40" spans="2:3">
      <c r="C40" t="s">
        <v>258</v>
      </c>
    </row>
    <row r="42" spans="2:3">
      <c r="B42" t="s">
        <v>260</v>
      </c>
    </row>
    <row r="43" spans="2:3">
      <c r="C43" t="s">
        <v>261</v>
      </c>
    </row>
    <row r="44" spans="2:3">
      <c r="C44" t="s">
        <v>306</v>
      </c>
    </row>
    <row r="45" spans="2:3">
      <c r="C45" t="s">
        <v>262</v>
      </c>
    </row>
    <row r="47" spans="2:3">
      <c r="B47" t="s">
        <v>263</v>
      </c>
    </row>
    <row r="48" spans="2:3">
      <c r="C48" t="s">
        <v>264</v>
      </c>
    </row>
    <row r="49" spans="1:15">
      <c r="C49" t="s">
        <v>266</v>
      </c>
    </row>
    <row r="50" spans="1:15">
      <c r="C50" t="s">
        <v>265</v>
      </c>
    </row>
    <row r="51" spans="1:15">
      <c r="C51" t="s">
        <v>267</v>
      </c>
    </row>
    <row r="52" spans="1:1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5" spans="1:15">
      <c r="C55" t="s">
        <v>301</v>
      </c>
    </row>
    <row r="57" spans="1:15">
      <c r="C57" t="s">
        <v>302</v>
      </c>
    </row>
    <row r="58" spans="1:15">
      <c r="C58" t="s">
        <v>303</v>
      </c>
    </row>
    <row r="60" spans="1:15">
      <c r="C60" t="s">
        <v>305</v>
      </c>
    </row>
    <row r="62" spans="1:15">
      <c r="C62" t="s">
        <v>304</v>
      </c>
    </row>
    <row r="64" spans="1:15">
      <c r="C64" t="s">
        <v>307</v>
      </c>
    </row>
    <row r="65" spans="1:15">
      <c r="C65" t="s">
        <v>308</v>
      </c>
    </row>
    <row r="68" spans="1:1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</row>
    <row r="71" spans="1:15">
      <c r="C71" t="s">
        <v>274</v>
      </c>
    </row>
    <row r="72" spans="1:15">
      <c r="C72" t="s">
        <v>273</v>
      </c>
    </row>
    <row r="74" spans="1:15">
      <c r="C74" t="s">
        <v>277</v>
      </c>
    </row>
    <row r="75" spans="1:15">
      <c r="C75" t="s">
        <v>271</v>
      </c>
    </row>
    <row r="76" spans="1:15">
      <c r="C76" t="s">
        <v>272</v>
      </c>
    </row>
    <row r="79" spans="1:15">
      <c r="C79" t="s">
        <v>275</v>
      </c>
    </row>
    <row r="80" spans="1:15">
      <c r="C80" t="s">
        <v>300</v>
      </c>
    </row>
    <row r="82" spans="3:3">
      <c r="C82" t="s">
        <v>276</v>
      </c>
    </row>
    <row r="83" spans="3:3">
      <c r="C83" s="14" t="s">
        <v>296</v>
      </c>
    </row>
    <row r="84" spans="3:3">
      <c r="C84" s="14" t="s">
        <v>278</v>
      </c>
    </row>
    <row r="86" spans="3:3">
      <c r="C86" t="s">
        <v>277</v>
      </c>
    </row>
    <row r="87" spans="3:3">
      <c r="C87" t="s">
        <v>279</v>
      </c>
    </row>
    <row r="88" spans="3:3">
      <c r="C88" t="s">
        <v>280</v>
      </c>
    </row>
    <row r="89" spans="3:3">
      <c r="C89" t="s">
        <v>281</v>
      </c>
    </row>
    <row r="92" spans="3:3">
      <c r="C92" t="s">
        <v>282</v>
      </c>
    </row>
    <row r="93" spans="3:3">
      <c r="C93" t="s">
        <v>283</v>
      </c>
    </row>
    <row r="95" spans="3:3">
      <c r="C95" t="s">
        <v>284</v>
      </c>
    </row>
    <row r="96" spans="3:3">
      <c r="C96" t="s">
        <v>285</v>
      </c>
    </row>
    <row r="97" spans="3:3">
      <c r="C97" t="s">
        <v>286</v>
      </c>
    </row>
    <row r="98" spans="3:3">
      <c r="C98" t="s">
        <v>287</v>
      </c>
    </row>
    <row r="99" spans="3:3">
      <c r="C99" t="s">
        <v>288</v>
      </c>
    </row>
    <row r="100" spans="3:3">
      <c r="C100" t="s">
        <v>289</v>
      </c>
    </row>
    <row r="101" spans="3:3">
      <c r="C101" t="s">
        <v>290</v>
      </c>
    </row>
    <row r="102" spans="3:3">
      <c r="C102" t="s">
        <v>291</v>
      </c>
    </row>
    <row r="103" spans="3:3">
      <c r="C103" t="s">
        <v>292</v>
      </c>
    </row>
    <row r="104" spans="3:3">
      <c r="C104" t="s">
        <v>293</v>
      </c>
    </row>
    <row r="105" spans="3:3">
      <c r="C105" t="s">
        <v>294</v>
      </c>
    </row>
    <row r="106" spans="3:3">
      <c r="C106" t="s">
        <v>295</v>
      </c>
    </row>
    <row r="108" spans="3:3">
      <c r="C108" t="s">
        <v>297</v>
      </c>
    </row>
    <row r="109" spans="3:3">
      <c r="C109" t="s">
        <v>298</v>
      </c>
    </row>
    <row r="110" spans="3:3">
      <c r="C110" t="s">
        <v>299</v>
      </c>
    </row>
  </sheetData>
  <phoneticPr fontId="2" type="noConversion"/>
  <hyperlinks>
    <hyperlink ref="B2" r:id="rId1" xr:uid="{7B4F7245-EE55-42E9-AE81-6B90060B54D2}"/>
  </hyperlinks>
  <pageMargins left="0.7" right="0.7" top="0.75" bottom="0.75" header="0.3" footer="0.3"/>
  <pageSetup paperSize="9" orientation="portrait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737B6-4914-4BBC-A1D1-2158710DFA98}">
  <sheetPr codeName="Sheet31"/>
  <dimension ref="B2:G46"/>
  <sheetViews>
    <sheetView showGridLines="0" workbookViewId="0">
      <selection activeCell="K5" sqref="K5"/>
    </sheetView>
  </sheetViews>
  <sheetFormatPr defaultRowHeight="16.5"/>
  <cols>
    <col min="2" max="2" width="2.625" customWidth="1"/>
  </cols>
  <sheetData>
    <row r="2" spans="2:7">
      <c r="B2" s="15" t="s">
        <v>233</v>
      </c>
      <c r="G2" s="15" t="s">
        <v>1017</v>
      </c>
    </row>
    <row r="4" spans="2:7" ht="17.25">
      <c r="B4" s="33" t="s">
        <v>68</v>
      </c>
    </row>
    <row r="6" spans="2:7">
      <c r="B6" t="s">
        <v>71</v>
      </c>
    </row>
    <row r="8" spans="2:7">
      <c r="B8" t="s">
        <v>1016</v>
      </c>
    </row>
    <row r="9" spans="2:7">
      <c r="C9" s="27" t="s">
        <v>69</v>
      </c>
    </row>
    <row r="10" spans="2:7">
      <c r="C10" s="27" t="s">
        <v>70</v>
      </c>
    </row>
    <row r="12" spans="2:7">
      <c r="B12" t="s">
        <v>1020</v>
      </c>
    </row>
    <row r="15" spans="2:7">
      <c r="B15" t="s">
        <v>139</v>
      </c>
    </row>
    <row r="17" spans="2:3">
      <c r="B17" t="s">
        <v>141</v>
      </c>
    </row>
    <row r="19" spans="2:3">
      <c r="C19" t="s">
        <v>140</v>
      </c>
    </row>
    <row r="20" spans="2:3">
      <c r="C20" t="s">
        <v>142</v>
      </c>
    </row>
    <row r="21" spans="2:3">
      <c r="C21" t="s">
        <v>143</v>
      </c>
    </row>
    <row r="22" spans="2:3">
      <c r="C22" t="s">
        <v>144</v>
      </c>
    </row>
    <row r="23" spans="2:3">
      <c r="C23" t="s">
        <v>145</v>
      </c>
    </row>
    <row r="24" spans="2:3">
      <c r="C24" t="s">
        <v>146</v>
      </c>
    </row>
    <row r="25" spans="2:3">
      <c r="C25" s="29" t="s">
        <v>147</v>
      </c>
    </row>
    <row r="26" spans="2:3">
      <c r="C26" s="29" t="s">
        <v>148</v>
      </c>
    </row>
    <row r="27" spans="2:3">
      <c r="C27" t="s">
        <v>149</v>
      </c>
    </row>
    <row r="28" spans="2:3">
      <c r="C28" t="s">
        <v>150</v>
      </c>
    </row>
    <row r="30" spans="2:3">
      <c r="B30" t="s">
        <v>151</v>
      </c>
    </row>
    <row r="32" spans="2:3">
      <c r="B32" s="29" t="s">
        <v>152</v>
      </c>
    </row>
    <row r="34" spans="2:3">
      <c r="C34" t="s">
        <v>154</v>
      </c>
    </row>
    <row r="36" spans="2:3">
      <c r="C36" t="s">
        <v>153</v>
      </c>
    </row>
    <row r="39" spans="2:3">
      <c r="B39" t="s">
        <v>155</v>
      </c>
    </row>
    <row r="41" spans="2:3">
      <c r="B41" s="29" t="s">
        <v>156</v>
      </c>
    </row>
    <row r="42" spans="2:3">
      <c r="C42" t="s">
        <v>157</v>
      </c>
    </row>
    <row r="44" spans="2:3">
      <c r="B44" s="29" t="s">
        <v>158</v>
      </c>
    </row>
    <row r="46" spans="2:3">
      <c r="B46" t="s">
        <v>159</v>
      </c>
    </row>
  </sheetData>
  <phoneticPr fontId="2" type="noConversion"/>
  <hyperlinks>
    <hyperlink ref="B2" r:id="rId1" xr:uid="{44FB3AC2-9705-45C6-A25D-823021A88677}"/>
    <hyperlink ref="G2" r:id="rId2" xr:uid="{E31F5BB1-32D3-4C01-994A-6A8A2EC51C56}"/>
  </hyperlinks>
  <pageMargins left="0.7" right="0.7" top="0.75" bottom="0.75" header="0.3" footer="0.3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87496-A10F-48A0-B3D7-4424009F0AF1}">
  <sheetPr codeName="Sheet32"/>
  <dimension ref="B2:T65"/>
  <sheetViews>
    <sheetView showGridLines="0" workbookViewId="0">
      <selection activeCell="G6" sqref="G6"/>
    </sheetView>
  </sheetViews>
  <sheetFormatPr defaultRowHeight="16.5"/>
  <cols>
    <col min="2" max="2" width="2.125" customWidth="1"/>
    <col min="3" max="3" width="2.375" customWidth="1"/>
    <col min="4" max="4" width="2.25" customWidth="1"/>
  </cols>
  <sheetData>
    <row r="2" spans="2:17" ht="20.25">
      <c r="B2" s="175" t="s">
        <v>824</v>
      </c>
      <c r="Q2" s="15" t="s">
        <v>840</v>
      </c>
    </row>
    <row r="4" spans="2:17">
      <c r="C4" t="s">
        <v>827</v>
      </c>
      <c r="Q4" s="15" t="s">
        <v>841</v>
      </c>
    </row>
    <row r="5" spans="2:17">
      <c r="D5" t="s">
        <v>828</v>
      </c>
    </row>
    <row r="7" spans="2:17">
      <c r="D7" s="289" t="s">
        <v>825</v>
      </c>
      <c r="E7" s="289"/>
      <c r="F7" s="289"/>
      <c r="G7" s="289"/>
    </row>
    <row r="8" spans="2:17">
      <c r="D8" s="289" t="s">
        <v>826</v>
      </c>
      <c r="E8" s="289"/>
      <c r="F8" s="289"/>
      <c r="G8" s="289"/>
    </row>
    <row r="9" spans="2:17">
      <c r="D9" s="289" t="s">
        <v>829</v>
      </c>
      <c r="E9" s="289"/>
      <c r="F9" s="289"/>
      <c r="G9" s="289"/>
    </row>
    <row r="10" spans="2:17">
      <c r="D10" s="289" t="s">
        <v>830</v>
      </c>
      <c r="E10" s="289"/>
      <c r="F10" s="289"/>
      <c r="G10" s="289"/>
    </row>
    <row r="11" spans="2:17">
      <c r="D11" s="289" t="s">
        <v>831</v>
      </c>
      <c r="E11" s="289"/>
      <c r="F11" s="289"/>
      <c r="G11" s="289"/>
    </row>
    <row r="13" spans="2:17">
      <c r="C13" t="s">
        <v>832</v>
      </c>
    </row>
    <row r="14" spans="2:17">
      <c r="D14" t="s">
        <v>833</v>
      </c>
    </row>
    <row r="18" spans="2:20" ht="20.25">
      <c r="B18" s="175" t="s">
        <v>791</v>
      </c>
      <c r="T18" s="175" t="s">
        <v>834</v>
      </c>
    </row>
    <row r="20" spans="2:20">
      <c r="C20" s="31" t="s">
        <v>792</v>
      </c>
      <c r="T20" s="31" t="s">
        <v>835</v>
      </c>
    </row>
    <row r="21" spans="2:20">
      <c r="D21" s="75" t="s">
        <v>842</v>
      </c>
    </row>
    <row r="22" spans="2:20">
      <c r="D22" t="s">
        <v>793</v>
      </c>
      <c r="T22" t="s">
        <v>836</v>
      </c>
    </row>
    <row r="24" spans="2:20">
      <c r="E24" s="176" t="s">
        <v>794</v>
      </c>
      <c r="F24" s="176"/>
      <c r="G24" s="176"/>
      <c r="H24" s="176"/>
      <c r="I24" s="176"/>
      <c r="T24" t="s">
        <v>837</v>
      </c>
    </row>
    <row r="25" spans="2:20">
      <c r="E25" s="176" t="s">
        <v>795</v>
      </c>
      <c r="F25" s="176"/>
      <c r="G25" s="176"/>
      <c r="H25" s="176"/>
      <c r="I25" s="176"/>
    </row>
    <row r="26" spans="2:20">
      <c r="E26" s="176" t="s">
        <v>796</v>
      </c>
      <c r="F26" s="176"/>
      <c r="G26" s="176"/>
      <c r="H26" s="176"/>
      <c r="I26" s="176"/>
      <c r="T26" t="s">
        <v>838</v>
      </c>
    </row>
    <row r="27" spans="2:20">
      <c r="E27" s="176" t="s">
        <v>797</v>
      </c>
      <c r="F27" s="176"/>
      <c r="G27" s="176"/>
      <c r="H27" s="176"/>
      <c r="I27" s="176"/>
    </row>
    <row r="28" spans="2:20">
      <c r="E28" s="176" t="s">
        <v>798</v>
      </c>
      <c r="F28" s="176"/>
      <c r="G28" s="176"/>
      <c r="H28" s="176"/>
      <c r="I28" s="176"/>
      <c r="T28" t="s">
        <v>839</v>
      </c>
    </row>
    <row r="29" spans="2:20">
      <c r="E29" s="176" t="s">
        <v>799</v>
      </c>
      <c r="F29" s="176"/>
      <c r="G29" s="176"/>
      <c r="H29" s="176"/>
      <c r="I29" s="176"/>
    </row>
    <row r="30" spans="2:20">
      <c r="E30" s="176" t="s">
        <v>800</v>
      </c>
      <c r="F30" s="176"/>
      <c r="G30" s="176"/>
      <c r="H30" s="176"/>
      <c r="I30" s="176"/>
    </row>
    <row r="31" spans="2:20">
      <c r="E31" s="176" t="s">
        <v>801</v>
      </c>
      <c r="F31" s="176"/>
      <c r="G31" s="176"/>
      <c r="H31" s="176"/>
      <c r="I31" s="176"/>
    </row>
    <row r="32" spans="2:20">
      <c r="E32" s="176" t="s">
        <v>802</v>
      </c>
      <c r="F32" s="176"/>
      <c r="G32" s="176"/>
      <c r="H32" s="176"/>
      <c r="I32" s="176"/>
    </row>
    <row r="33" spans="3:9">
      <c r="E33" s="176" t="s">
        <v>803</v>
      </c>
      <c r="F33" s="176"/>
      <c r="G33" s="176"/>
      <c r="H33" s="176"/>
      <c r="I33" s="176"/>
    </row>
    <row r="34" spans="3:9">
      <c r="E34" s="176" t="s">
        <v>804</v>
      </c>
      <c r="F34" s="176"/>
      <c r="G34" s="176"/>
      <c r="H34" s="176"/>
      <c r="I34" s="176"/>
    </row>
    <row r="35" spans="3:9">
      <c r="E35" s="176" t="s">
        <v>805</v>
      </c>
      <c r="F35" s="176"/>
      <c r="G35" s="176"/>
      <c r="H35" s="176"/>
      <c r="I35" s="176"/>
    </row>
    <row r="36" spans="3:9">
      <c r="E36" s="176" t="s">
        <v>806</v>
      </c>
      <c r="F36" s="176"/>
      <c r="G36" s="176"/>
      <c r="H36" s="176"/>
      <c r="I36" s="176"/>
    </row>
    <row r="37" spans="3:9">
      <c r="E37" s="176" t="s">
        <v>807</v>
      </c>
      <c r="F37" s="176"/>
      <c r="G37" s="176"/>
      <c r="H37" s="176"/>
      <c r="I37" s="176"/>
    </row>
    <row r="39" spans="3:9">
      <c r="C39" s="31" t="s">
        <v>808</v>
      </c>
    </row>
    <row r="41" spans="3:9">
      <c r="D41" t="s">
        <v>809</v>
      </c>
    </row>
    <row r="42" spans="3:9">
      <c r="E42" t="s">
        <v>810</v>
      </c>
    </row>
    <row r="44" spans="3:9">
      <c r="E44" t="s">
        <v>811</v>
      </c>
    </row>
    <row r="46" spans="3:9">
      <c r="D46" t="s">
        <v>820</v>
      </c>
    </row>
    <row r="48" spans="3:9">
      <c r="C48" s="31" t="s">
        <v>812</v>
      </c>
    </row>
    <row r="50" spans="3:4">
      <c r="D50" t="s">
        <v>813</v>
      </c>
    </row>
    <row r="51" spans="3:4">
      <c r="D51" t="s">
        <v>814</v>
      </c>
    </row>
    <row r="52" spans="3:4">
      <c r="D52" t="s">
        <v>815</v>
      </c>
    </row>
    <row r="54" spans="3:4">
      <c r="C54" s="31" t="s">
        <v>816</v>
      </c>
    </row>
    <row r="56" spans="3:4">
      <c r="D56" t="s">
        <v>817</v>
      </c>
    </row>
    <row r="58" spans="3:4">
      <c r="D58" t="s">
        <v>818</v>
      </c>
    </row>
    <row r="60" spans="3:4">
      <c r="D60" t="s">
        <v>819</v>
      </c>
    </row>
    <row r="62" spans="3:4">
      <c r="C62" s="31" t="s">
        <v>821</v>
      </c>
    </row>
    <row r="64" spans="3:4">
      <c r="D64" t="s">
        <v>822</v>
      </c>
    </row>
    <row r="65" spans="4:4">
      <c r="D65" t="s">
        <v>823</v>
      </c>
    </row>
  </sheetData>
  <phoneticPr fontId="2" type="noConversion"/>
  <hyperlinks>
    <hyperlink ref="T20" r:id="rId1" display="https://www.lawnb.com/Info/ContentView?sid=L0001ED5D87C23EF_15" xr:uid="{58F04944-E2E3-4A6A-8686-9B4418B80B2A}"/>
    <hyperlink ref="Q2" r:id="rId2" xr:uid="{5CA293F4-32A4-40CD-85AD-1364CB84183F}"/>
    <hyperlink ref="Q4" r:id="rId3" xr:uid="{9EAA08FE-0B6C-4EF3-9122-9CB0DC392B2B}"/>
  </hyperlinks>
  <pageMargins left="0.7" right="0.7" top="0.75" bottom="0.75" header="0.3" footer="0.3"/>
  <pageSetup paperSize="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5C75-439F-4299-8173-1A7314FEB5E8}">
  <sheetPr codeName="Sheet4"/>
  <dimension ref="A2:Y326"/>
  <sheetViews>
    <sheetView showGridLines="0" topLeftCell="A46" workbookViewId="0">
      <selection activeCell="I2" sqref="I2"/>
    </sheetView>
  </sheetViews>
  <sheetFormatPr defaultRowHeight="16.5"/>
  <cols>
    <col min="1" max="1" width="11.25" customWidth="1"/>
    <col min="2" max="2" width="11.375" customWidth="1"/>
    <col min="3" max="3" width="13.625" customWidth="1"/>
    <col min="6" max="6" width="10.75" customWidth="1"/>
    <col min="8" max="8" width="14.125" customWidth="1"/>
    <col min="13" max="13" width="9.375" bestFit="1" customWidth="1"/>
  </cols>
  <sheetData>
    <row r="2" spans="2:22" ht="20.25">
      <c r="B2" s="15" t="s">
        <v>232</v>
      </c>
      <c r="E2" s="174" t="s">
        <v>1009</v>
      </c>
      <c r="I2" s="241" t="s">
        <v>1081</v>
      </c>
      <c r="J2" s="243"/>
      <c r="K2" s="243"/>
      <c r="V2" s="15" t="s">
        <v>1118</v>
      </c>
    </row>
    <row r="5" spans="2:22" ht="17.25">
      <c r="B5" s="33" t="s">
        <v>83</v>
      </c>
    </row>
    <row r="7" spans="2:22">
      <c r="B7" t="s">
        <v>92</v>
      </c>
    </row>
    <row r="9" spans="2:22">
      <c r="B9" t="s">
        <v>84</v>
      </c>
    </row>
    <row r="11" spans="2:22">
      <c r="C11" s="263" t="s">
        <v>85</v>
      </c>
      <c r="D11" s="263"/>
    </row>
    <row r="12" spans="2:22">
      <c r="C12" s="263" t="s">
        <v>86</v>
      </c>
      <c r="D12" s="263"/>
    </row>
    <row r="13" spans="2:22">
      <c r="C13" s="263" t="s">
        <v>87</v>
      </c>
      <c r="D13" s="263"/>
    </row>
    <row r="14" spans="2:22">
      <c r="C14" s="263" t="s">
        <v>1875</v>
      </c>
      <c r="D14" s="263"/>
    </row>
    <row r="15" spans="2:22">
      <c r="C15" s="263" t="s">
        <v>88</v>
      </c>
      <c r="D15" s="263"/>
    </row>
    <row r="16" spans="2:22">
      <c r="C16" s="263" t="s">
        <v>89</v>
      </c>
      <c r="D16" s="263"/>
    </row>
    <row r="17" spans="2:4">
      <c r="C17" s="263" t="s">
        <v>90</v>
      </c>
      <c r="D17" s="263"/>
    </row>
    <row r="19" spans="2:4">
      <c r="B19" t="s">
        <v>91</v>
      </c>
    </row>
    <row r="22" spans="2:4">
      <c r="B22" s="15" t="s">
        <v>55</v>
      </c>
    </row>
    <row r="24" spans="2:4">
      <c r="B24" s="14" t="s">
        <v>1840</v>
      </c>
    </row>
    <row r="25" spans="2:4">
      <c r="B25" s="14" t="s">
        <v>51</v>
      </c>
    </row>
    <row r="26" spans="2:4">
      <c r="B26" t="s">
        <v>52</v>
      </c>
    </row>
    <row r="27" spans="2:4">
      <c r="B27" t="s">
        <v>53</v>
      </c>
    </row>
    <row r="28" spans="2:4">
      <c r="B28" t="s">
        <v>54</v>
      </c>
    </row>
    <row r="30" spans="2:4">
      <c r="B30" t="s">
        <v>1841</v>
      </c>
    </row>
    <row r="32" spans="2:4">
      <c r="B32" t="s">
        <v>1842</v>
      </c>
    </row>
    <row r="34" spans="2:2">
      <c r="B34" t="s">
        <v>1843</v>
      </c>
    </row>
    <row r="36" spans="2:2">
      <c r="B36" s="18" t="s">
        <v>1844</v>
      </c>
    </row>
    <row r="37" spans="2:2">
      <c r="B37" s="18"/>
    </row>
    <row r="38" spans="2:2">
      <c r="B38" s="18" t="s">
        <v>1845</v>
      </c>
    </row>
    <row r="39" spans="2:2">
      <c r="B39" s="18"/>
    </row>
    <row r="40" spans="2:2">
      <c r="B40" s="18" t="s">
        <v>1846</v>
      </c>
    </row>
    <row r="42" spans="2:2">
      <c r="B42" s="18" t="s">
        <v>1847</v>
      </c>
    </row>
    <row r="44" spans="2:2">
      <c r="B44" s="18" t="s">
        <v>1848</v>
      </c>
    </row>
    <row r="46" spans="2:2">
      <c r="B46" s="18" t="s">
        <v>1849</v>
      </c>
    </row>
    <row r="48" spans="2:2">
      <c r="B48" s="18" t="s">
        <v>1850</v>
      </c>
    </row>
    <row r="50" spans="1:25">
      <c r="B50" t="s">
        <v>1851</v>
      </c>
    </row>
    <row r="53" spans="1:25">
      <c r="B53" s="15" t="s">
        <v>56</v>
      </c>
    </row>
    <row r="55" spans="1:25">
      <c r="B55" t="s">
        <v>60</v>
      </c>
    </row>
    <row r="56" spans="1:25">
      <c r="B56" t="s">
        <v>61</v>
      </c>
    </row>
    <row r="57" spans="1:25">
      <c r="B57" t="s">
        <v>59</v>
      </c>
    </row>
    <row r="60" spans="1:25">
      <c r="B60" s="177" t="s">
        <v>989</v>
      </c>
    </row>
    <row r="61" spans="1:25">
      <c r="B61" s="180" t="s">
        <v>843</v>
      </c>
    </row>
    <row r="62" spans="1:25">
      <c r="B62" s="180" t="s">
        <v>844</v>
      </c>
    </row>
    <row r="64" spans="1:25">
      <c r="A64" s="183" t="s">
        <v>845</v>
      </c>
      <c r="B64" s="177"/>
      <c r="C64" s="177"/>
      <c r="D64" s="177"/>
      <c r="E64" s="177"/>
      <c r="F64" s="177"/>
      <c r="G64" s="177"/>
      <c r="H64" s="177"/>
      <c r="I64" s="177"/>
      <c r="J64" s="178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</row>
    <row r="65" spans="1:25">
      <c r="A65" s="183" t="s">
        <v>846</v>
      </c>
      <c r="B65" s="177"/>
      <c r="C65" s="177"/>
      <c r="D65" s="177"/>
      <c r="E65" s="177"/>
      <c r="F65" s="177"/>
      <c r="G65" s="177"/>
      <c r="H65" s="177"/>
      <c r="I65" s="177"/>
      <c r="J65" s="178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</row>
    <row r="66" spans="1:25">
      <c r="A66" s="177"/>
      <c r="B66" s="177"/>
      <c r="C66" s="177"/>
      <c r="D66" s="177"/>
      <c r="E66" s="177"/>
      <c r="F66" s="177"/>
      <c r="G66" s="177"/>
      <c r="H66" s="177"/>
      <c r="I66" s="177"/>
      <c r="J66" s="178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</row>
    <row r="67" spans="1:25" ht="17.25">
      <c r="A67" s="184" t="s">
        <v>847</v>
      </c>
      <c r="B67" s="177"/>
      <c r="C67" s="177"/>
      <c r="D67" s="177"/>
      <c r="E67" s="177"/>
      <c r="F67" s="177"/>
      <c r="G67" s="177"/>
      <c r="H67" s="177"/>
      <c r="I67" s="177"/>
      <c r="J67" s="178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</row>
    <row r="68" spans="1:25">
      <c r="A68" s="177" t="s">
        <v>990</v>
      </c>
      <c r="B68" s="177"/>
      <c r="C68" s="177"/>
      <c r="D68" s="177"/>
      <c r="E68" s="177"/>
      <c r="F68" s="177"/>
      <c r="G68" s="177"/>
      <c r="H68" s="177"/>
      <c r="I68" s="177"/>
      <c r="J68" s="178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</row>
    <row r="69" spans="1:25">
      <c r="A69" s="177" t="s">
        <v>848</v>
      </c>
      <c r="B69" s="177"/>
      <c r="C69" s="177"/>
      <c r="D69" s="177"/>
      <c r="E69" s="177"/>
      <c r="F69" s="177"/>
      <c r="G69" s="177"/>
      <c r="H69" s="177"/>
      <c r="I69" s="177"/>
      <c r="J69" s="178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</row>
    <row r="70" spans="1:25">
      <c r="A70" s="177"/>
      <c r="B70" s="177"/>
      <c r="C70" s="177"/>
      <c r="D70" s="177"/>
      <c r="E70" s="177"/>
      <c r="F70" s="177"/>
      <c r="G70" s="177"/>
      <c r="H70" s="177"/>
      <c r="I70" s="177"/>
      <c r="J70" s="178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</row>
    <row r="71" spans="1:25" ht="17.25">
      <c r="A71" s="184" t="s">
        <v>849</v>
      </c>
      <c r="B71" s="177"/>
      <c r="C71" s="177"/>
      <c r="D71" s="177"/>
      <c r="E71" s="177"/>
      <c r="F71" s="177"/>
      <c r="G71" s="177"/>
      <c r="H71" s="177"/>
      <c r="I71" s="177"/>
      <c r="J71" s="178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</row>
    <row r="72" spans="1:25">
      <c r="A72" s="177" t="s">
        <v>850</v>
      </c>
      <c r="B72" s="177"/>
      <c r="C72" s="177"/>
      <c r="D72" s="177"/>
      <c r="E72" s="177"/>
      <c r="F72" s="177"/>
      <c r="G72" s="177"/>
      <c r="H72" s="177"/>
      <c r="I72" s="177"/>
      <c r="J72" s="178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</row>
    <row r="73" spans="1:25">
      <c r="A73" s="177" t="s">
        <v>851</v>
      </c>
      <c r="B73" s="177"/>
      <c r="C73" s="177"/>
      <c r="D73" s="177"/>
      <c r="E73" s="177"/>
      <c r="F73" s="177"/>
      <c r="G73" s="177"/>
      <c r="H73" s="177"/>
      <c r="I73" s="177"/>
      <c r="J73" s="178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</row>
    <row r="74" spans="1:25">
      <c r="A74" s="177" t="s">
        <v>852</v>
      </c>
      <c r="B74" s="177"/>
      <c r="C74" s="177"/>
      <c r="D74" s="177"/>
      <c r="E74" s="177"/>
      <c r="F74" s="177"/>
      <c r="G74" s="177"/>
      <c r="H74" s="177"/>
      <c r="I74" s="177"/>
      <c r="J74" s="178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</row>
    <row r="75" spans="1:25">
      <c r="A75" s="177"/>
      <c r="B75" s="177"/>
      <c r="C75" s="177"/>
      <c r="D75" s="177"/>
      <c r="E75" s="177"/>
      <c r="F75" s="177"/>
      <c r="G75" s="177"/>
      <c r="H75" s="177"/>
      <c r="I75" s="177"/>
      <c r="J75" s="178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</row>
    <row r="76" spans="1:25" ht="17.25">
      <c r="A76" s="184" t="s">
        <v>853</v>
      </c>
      <c r="B76" s="177"/>
      <c r="C76" s="177"/>
      <c r="D76" s="177"/>
      <c r="E76" s="177"/>
      <c r="F76" s="177"/>
      <c r="G76" s="177"/>
      <c r="H76" s="177"/>
      <c r="I76" s="177"/>
      <c r="J76" s="178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</row>
    <row r="77" spans="1:25">
      <c r="A77" s="185" t="s">
        <v>854</v>
      </c>
      <c r="B77" s="177"/>
      <c r="C77" s="177"/>
      <c r="D77" s="177"/>
      <c r="E77" s="177"/>
      <c r="F77" s="177"/>
      <c r="G77" s="177"/>
      <c r="H77" s="177"/>
      <c r="I77" s="177"/>
      <c r="J77" s="178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</row>
    <row r="78" spans="1:25">
      <c r="A78" s="185" t="s">
        <v>855</v>
      </c>
      <c r="B78" s="177"/>
      <c r="C78" s="177"/>
      <c r="D78" s="177"/>
      <c r="E78" s="177"/>
      <c r="F78" s="177"/>
      <c r="G78" s="177"/>
      <c r="H78" s="177"/>
      <c r="I78" s="177"/>
      <c r="J78" s="178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</row>
    <row r="79" spans="1:25">
      <c r="A79" s="185"/>
      <c r="B79" s="177"/>
      <c r="C79" s="177"/>
      <c r="D79" s="177"/>
      <c r="E79" s="177"/>
      <c r="F79" s="177"/>
      <c r="G79" s="177"/>
      <c r="H79" s="177"/>
      <c r="I79" s="177"/>
      <c r="J79" s="178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</row>
    <row r="80" spans="1:25">
      <c r="A80" s="185" t="s">
        <v>856</v>
      </c>
      <c r="B80" s="177"/>
      <c r="C80" s="177"/>
      <c r="D80" s="177"/>
      <c r="E80" s="177"/>
      <c r="F80" s="177"/>
      <c r="G80" s="177"/>
      <c r="H80" s="177"/>
      <c r="I80" s="177"/>
      <c r="J80" s="178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</row>
    <row r="81" spans="1:25">
      <c r="A81" s="185"/>
      <c r="B81" s="177"/>
      <c r="C81" s="177"/>
      <c r="D81" s="177"/>
      <c r="E81" s="177"/>
      <c r="F81" s="177"/>
      <c r="G81" s="177"/>
      <c r="H81" s="177"/>
      <c r="I81" s="177"/>
      <c r="J81" s="178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</row>
    <row r="82" spans="1:25">
      <c r="A82" s="185" t="s">
        <v>857</v>
      </c>
      <c r="B82" s="177"/>
      <c r="C82" s="177"/>
      <c r="D82" s="177"/>
      <c r="E82" s="177"/>
      <c r="F82" s="177"/>
      <c r="G82" s="177"/>
      <c r="H82" s="177"/>
      <c r="I82" s="177"/>
      <c r="J82" s="178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</row>
    <row r="83" spans="1:25">
      <c r="A83" s="177"/>
      <c r="B83" s="177"/>
      <c r="C83" s="177"/>
      <c r="D83" s="177"/>
      <c r="E83" s="177"/>
      <c r="F83" s="177"/>
      <c r="G83" s="177"/>
      <c r="H83" s="177"/>
      <c r="I83" s="177"/>
      <c r="J83" s="178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</row>
    <row r="84" spans="1:25" ht="17.25">
      <c r="A84" s="184" t="s">
        <v>858</v>
      </c>
      <c r="B84" s="177"/>
      <c r="C84" s="177"/>
      <c r="D84" s="177"/>
      <c r="E84" s="177"/>
      <c r="F84" s="177"/>
      <c r="G84" s="177"/>
      <c r="H84" s="177"/>
      <c r="I84" s="177"/>
      <c r="J84" s="178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</row>
    <row r="85" spans="1:25">
      <c r="A85" s="177"/>
      <c r="B85" s="177"/>
      <c r="C85" s="177"/>
      <c r="D85" s="177"/>
      <c r="E85" s="177"/>
      <c r="F85" s="177"/>
      <c r="G85" s="177"/>
      <c r="H85" s="177"/>
      <c r="I85" s="177"/>
      <c r="J85" s="178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</row>
    <row r="86" spans="1:25">
      <c r="A86" s="185" t="s">
        <v>859</v>
      </c>
      <c r="B86" s="177"/>
      <c r="C86" s="177"/>
      <c r="D86" s="177"/>
      <c r="E86" s="177"/>
      <c r="F86" s="177"/>
      <c r="G86" s="177"/>
      <c r="H86" s="177"/>
      <c r="I86" s="177"/>
      <c r="J86" s="178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</row>
    <row r="87" spans="1:25">
      <c r="A87" s="185"/>
      <c r="B87" s="177"/>
      <c r="C87" s="177"/>
      <c r="D87" s="177"/>
      <c r="E87" s="177"/>
      <c r="F87" s="177"/>
      <c r="G87" s="177"/>
      <c r="H87" s="177"/>
      <c r="I87" s="177"/>
      <c r="J87" s="178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</row>
    <row r="88" spans="1:25">
      <c r="A88" s="185" t="s">
        <v>860</v>
      </c>
      <c r="B88" s="177"/>
      <c r="C88" s="177"/>
      <c r="D88" s="177"/>
      <c r="E88" s="177"/>
      <c r="F88" s="177"/>
      <c r="G88" s="177"/>
      <c r="H88" s="177"/>
      <c r="I88" s="177"/>
      <c r="J88" s="178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</row>
    <row r="89" spans="1:25">
      <c r="A89" s="185"/>
      <c r="B89" s="177"/>
      <c r="C89" s="177"/>
      <c r="D89" s="177"/>
      <c r="E89" s="177"/>
      <c r="F89" s="177"/>
      <c r="G89" s="177"/>
      <c r="H89" s="177"/>
      <c r="I89" s="177"/>
      <c r="J89" s="178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</row>
    <row r="90" spans="1:25">
      <c r="A90" s="185" t="s">
        <v>861</v>
      </c>
      <c r="B90" s="177"/>
      <c r="C90" s="177"/>
      <c r="D90" s="177"/>
      <c r="E90" s="177"/>
      <c r="F90" s="177"/>
      <c r="G90" s="177"/>
      <c r="H90" s="177"/>
      <c r="I90" s="177"/>
      <c r="J90" s="178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</row>
    <row r="91" spans="1:25">
      <c r="A91" s="177"/>
      <c r="B91" s="177"/>
      <c r="C91" s="177"/>
      <c r="D91" s="177"/>
      <c r="E91" s="177"/>
      <c r="F91" s="177"/>
      <c r="G91" s="177"/>
      <c r="H91" s="177"/>
      <c r="I91" s="177"/>
      <c r="J91" s="178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</row>
    <row r="92" spans="1:25" ht="17.25">
      <c r="A92" s="184" t="s">
        <v>862</v>
      </c>
      <c r="B92" s="177"/>
      <c r="C92" s="177"/>
      <c r="D92" s="177"/>
      <c r="E92" s="177"/>
      <c r="F92" s="177"/>
      <c r="G92" s="177"/>
      <c r="H92" s="177"/>
      <c r="I92" s="177"/>
      <c r="J92" s="178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</row>
    <row r="93" spans="1:25">
      <c r="A93" s="177"/>
      <c r="B93" s="177"/>
      <c r="C93" s="177"/>
      <c r="D93" s="177"/>
      <c r="E93" s="177"/>
      <c r="F93" s="177"/>
      <c r="G93" s="177"/>
      <c r="H93" s="177"/>
      <c r="I93" s="177"/>
      <c r="J93" s="178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</row>
    <row r="94" spans="1:25">
      <c r="A94" s="185" t="s">
        <v>863</v>
      </c>
      <c r="B94" s="177"/>
      <c r="C94" s="177"/>
      <c r="D94" s="177"/>
      <c r="E94" s="177"/>
      <c r="F94" s="177"/>
      <c r="G94" s="177"/>
      <c r="H94" s="177"/>
      <c r="I94" s="177"/>
      <c r="J94" s="178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</row>
    <row r="95" spans="1:25">
      <c r="A95" s="185" t="s">
        <v>864</v>
      </c>
      <c r="B95" s="177"/>
      <c r="C95" s="177"/>
      <c r="D95" s="177"/>
      <c r="E95" s="177"/>
      <c r="F95" s="177"/>
      <c r="G95" s="177"/>
      <c r="H95" s="177"/>
      <c r="I95" s="177"/>
      <c r="J95" s="178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</row>
    <row r="96" spans="1:25">
      <c r="A96" s="177"/>
      <c r="B96" s="177"/>
      <c r="C96" s="177"/>
      <c r="D96" s="177"/>
      <c r="E96" s="177"/>
      <c r="F96" s="177"/>
      <c r="G96" s="177"/>
      <c r="H96" s="177"/>
      <c r="I96" s="177"/>
      <c r="J96" s="178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</row>
    <row r="97" spans="1:25">
      <c r="A97" s="177"/>
      <c r="B97" s="177"/>
      <c r="C97" s="177"/>
      <c r="D97" s="177"/>
      <c r="E97" s="177"/>
      <c r="F97" s="177"/>
      <c r="G97" s="177"/>
      <c r="H97" s="177"/>
      <c r="I97" s="177"/>
      <c r="J97" s="178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</row>
    <row r="98" spans="1:25">
      <c r="A98" s="177"/>
      <c r="B98" s="177"/>
      <c r="C98" s="177"/>
      <c r="D98" s="177"/>
      <c r="E98" s="177"/>
      <c r="F98" s="177"/>
      <c r="G98" s="177"/>
      <c r="H98" s="177"/>
      <c r="I98" s="177"/>
      <c r="J98" s="178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</row>
    <row r="99" spans="1:25" ht="26.25">
      <c r="A99" s="186" t="s">
        <v>865</v>
      </c>
      <c r="B99" s="177"/>
      <c r="C99" s="177"/>
      <c r="D99" s="177"/>
      <c r="E99" s="177"/>
      <c r="F99" s="177"/>
      <c r="G99" s="177"/>
      <c r="H99" s="177"/>
      <c r="I99" s="177"/>
      <c r="J99" s="178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</row>
    <row r="100" spans="1:25">
      <c r="A100" s="177"/>
      <c r="B100" s="177"/>
      <c r="C100" s="177"/>
      <c r="D100" s="177"/>
      <c r="E100" s="177"/>
      <c r="F100" s="177"/>
      <c r="G100" s="177"/>
      <c r="H100" s="177"/>
      <c r="I100" s="177"/>
      <c r="J100" s="178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</row>
    <row r="101" spans="1:25">
      <c r="A101" s="177" t="s">
        <v>866</v>
      </c>
      <c r="B101" s="177"/>
      <c r="C101" s="177"/>
      <c r="D101" s="177"/>
      <c r="E101" s="177"/>
      <c r="F101" s="177"/>
      <c r="G101" s="177"/>
      <c r="H101" s="177"/>
      <c r="I101" s="177"/>
      <c r="J101" s="178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</row>
    <row r="102" spans="1:25">
      <c r="A102" s="177"/>
      <c r="B102" s="177"/>
      <c r="C102" s="177"/>
      <c r="D102" s="177"/>
      <c r="E102" s="177"/>
      <c r="F102" s="177"/>
      <c r="G102" s="177"/>
      <c r="H102" s="177"/>
      <c r="I102" s="177"/>
      <c r="J102" s="178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</row>
    <row r="103" spans="1:25">
      <c r="A103" s="177" t="s">
        <v>867</v>
      </c>
      <c r="B103" s="177"/>
      <c r="C103" s="177"/>
      <c r="D103" s="177"/>
      <c r="E103" s="177"/>
      <c r="F103" s="177"/>
      <c r="G103" s="177"/>
      <c r="H103" s="177"/>
      <c r="I103" s="177"/>
      <c r="J103" s="178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</row>
    <row r="104" spans="1:25">
      <c r="A104" s="177"/>
      <c r="B104" s="177"/>
      <c r="C104" s="177"/>
      <c r="D104" s="177"/>
      <c r="E104" s="177"/>
      <c r="F104" s="177"/>
      <c r="G104" s="177"/>
      <c r="H104" s="177"/>
      <c r="I104" s="177"/>
      <c r="J104" s="178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</row>
    <row r="105" spans="1:25">
      <c r="A105" s="177" t="s">
        <v>868</v>
      </c>
      <c r="B105" s="177"/>
      <c r="C105" s="177"/>
      <c r="D105" s="177"/>
      <c r="E105" s="177"/>
      <c r="F105" s="177"/>
      <c r="G105" s="177"/>
      <c r="H105" s="177"/>
      <c r="I105" s="177"/>
      <c r="J105" s="178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</row>
    <row r="106" spans="1:25">
      <c r="A106" s="177"/>
      <c r="B106" s="177"/>
      <c r="C106" s="177"/>
      <c r="D106" s="177"/>
      <c r="E106" s="177"/>
      <c r="F106" s="177"/>
      <c r="G106" s="177"/>
      <c r="H106" s="177"/>
      <c r="I106" s="177"/>
      <c r="J106" s="178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</row>
    <row r="107" spans="1:25">
      <c r="A107" s="177" t="s">
        <v>869</v>
      </c>
      <c r="B107" s="177"/>
      <c r="C107" s="177"/>
      <c r="D107" s="177"/>
      <c r="E107" s="177"/>
      <c r="F107" s="177"/>
      <c r="G107" s="177"/>
      <c r="H107" s="177"/>
      <c r="I107" s="177"/>
      <c r="J107" s="178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</row>
    <row r="108" spans="1:25">
      <c r="A108" s="177"/>
      <c r="B108" s="177"/>
      <c r="C108" s="177"/>
      <c r="D108" s="177"/>
      <c r="E108" s="177"/>
      <c r="F108" s="177"/>
      <c r="G108" s="177"/>
      <c r="H108" s="177"/>
      <c r="I108" s="177"/>
      <c r="J108" s="178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</row>
    <row r="109" spans="1:25" ht="20.25">
      <c r="A109" s="187" t="s">
        <v>870</v>
      </c>
      <c r="B109" s="177"/>
      <c r="C109" s="177"/>
      <c r="D109" s="177"/>
      <c r="E109" s="177"/>
      <c r="F109" s="177"/>
      <c r="G109" s="177"/>
      <c r="H109" s="177"/>
      <c r="I109" s="177"/>
      <c r="J109" s="178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</row>
    <row r="110" spans="1:25">
      <c r="A110" s="177"/>
      <c r="B110" s="177"/>
      <c r="C110" s="177"/>
      <c r="D110" s="177"/>
      <c r="E110" s="177"/>
      <c r="F110" s="177"/>
      <c r="G110" s="177"/>
      <c r="H110" s="177"/>
      <c r="I110" s="177"/>
      <c r="J110" s="178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</row>
    <row r="111" spans="1:25">
      <c r="A111" s="177" t="s">
        <v>871</v>
      </c>
      <c r="B111" s="177"/>
      <c r="C111" s="177"/>
      <c r="D111" s="177"/>
      <c r="E111" s="177"/>
      <c r="F111" s="177"/>
      <c r="G111" s="177"/>
      <c r="H111" s="177"/>
      <c r="I111" s="177"/>
      <c r="J111" s="178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</row>
    <row r="112" spans="1:25">
      <c r="A112" s="177"/>
      <c r="B112" s="177"/>
      <c r="C112" s="177"/>
      <c r="D112" s="177"/>
      <c r="E112" s="177"/>
      <c r="F112" s="177"/>
      <c r="G112" s="177"/>
      <c r="H112" s="177"/>
      <c r="I112" s="177"/>
      <c r="J112" s="178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</row>
    <row r="113" spans="1:25" ht="17.25">
      <c r="A113" s="188" t="s">
        <v>872</v>
      </c>
      <c r="B113" s="177"/>
      <c r="C113" s="177"/>
      <c r="D113" s="177"/>
      <c r="E113" s="177"/>
      <c r="F113" s="177"/>
      <c r="G113" s="177"/>
      <c r="H113" s="177"/>
      <c r="I113" s="177"/>
      <c r="J113" s="178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</row>
    <row r="114" spans="1:25">
      <c r="A114" s="177"/>
      <c r="B114" s="177"/>
      <c r="C114" s="177"/>
      <c r="D114" s="177"/>
      <c r="E114" s="177"/>
      <c r="F114" s="177"/>
      <c r="G114" s="177"/>
      <c r="H114" s="177"/>
      <c r="I114" s="177"/>
      <c r="J114" s="178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</row>
    <row r="115" spans="1:25">
      <c r="A115" s="177" t="s">
        <v>873</v>
      </c>
      <c r="B115" s="177"/>
      <c r="C115" s="177"/>
      <c r="D115" s="177"/>
      <c r="E115" s="177"/>
      <c r="F115" s="177"/>
      <c r="G115" s="177"/>
      <c r="H115" s="177"/>
      <c r="I115" s="177"/>
      <c r="J115" s="178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</row>
    <row r="116" spans="1:25">
      <c r="A116" s="177"/>
      <c r="B116" s="177"/>
      <c r="C116" s="177"/>
      <c r="D116" s="177"/>
      <c r="E116" s="177"/>
      <c r="F116" s="177"/>
      <c r="G116" s="177"/>
      <c r="H116" s="177"/>
      <c r="I116" s="177"/>
      <c r="J116" s="178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</row>
    <row r="117" spans="1:25">
      <c r="A117" s="177" t="s">
        <v>874</v>
      </c>
      <c r="B117" s="177"/>
      <c r="C117" s="177"/>
      <c r="D117" s="177"/>
      <c r="E117" s="177"/>
      <c r="F117" s="177"/>
      <c r="G117" s="177"/>
      <c r="H117" s="177"/>
      <c r="I117" s="177"/>
      <c r="J117" s="178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</row>
    <row r="118" spans="1:25">
      <c r="A118" s="177"/>
      <c r="B118" s="177"/>
      <c r="C118" s="177"/>
      <c r="D118" s="177"/>
      <c r="E118" s="177"/>
      <c r="F118" s="177"/>
      <c r="G118" s="177"/>
      <c r="H118" s="177"/>
      <c r="I118" s="177"/>
      <c r="J118" s="178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</row>
    <row r="119" spans="1:25">
      <c r="A119" s="177" t="s">
        <v>875</v>
      </c>
      <c r="B119" s="177"/>
      <c r="C119" s="177"/>
      <c r="D119" s="177"/>
      <c r="E119" s="177"/>
      <c r="F119" s="177"/>
      <c r="G119" s="177"/>
      <c r="H119" s="177"/>
      <c r="I119" s="177"/>
      <c r="J119" s="178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</row>
    <row r="120" spans="1:25" ht="18.75">
      <c r="A120" s="211" t="s">
        <v>991</v>
      </c>
      <c r="B120" s="177"/>
      <c r="C120" s="177"/>
      <c r="D120" s="177"/>
      <c r="E120" s="177"/>
      <c r="F120" s="177"/>
      <c r="G120" s="177"/>
      <c r="H120" s="177"/>
      <c r="I120" s="177"/>
      <c r="J120" s="178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</row>
    <row r="121" spans="1:25">
      <c r="A121" s="177" t="s">
        <v>876</v>
      </c>
      <c r="B121" s="177"/>
      <c r="C121" s="177"/>
      <c r="D121" s="177"/>
      <c r="E121" s="177"/>
      <c r="F121" s="177"/>
      <c r="G121" s="177"/>
      <c r="H121" s="177"/>
      <c r="I121" s="177"/>
      <c r="J121" s="178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</row>
    <row r="122" spans="1:25">
      <c r="A122" s="177"/>
      <c r="B122" s="177"/>
      <c r="C122" s="177"/>
      <c r="D122" s="177"/>
      <c r="E122" s="177"/>
      <c r="F122" s="177"/>
      <c r="G122" s="177"/>
      <c r="H122" s="177"/>
      <c r="I122" s="177"/>
      <c r="J122" s="178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</row>
    <row r="123" spans="1:25" ht="17.25">
      <c r="A123" s="188" t="s">
        <v>877</v>
      </c>
      <c r="B123" s="177"/>
      <c r="C123" s="177"/>
      <c r="D123" s="177"/>
      <c r="E123" s="177"/>
      <c r="F123" s="177"/>
      <c r="G123" s="177"/>
      <c r="H123" s="177"/>
      <c r="I123" s="177"/>
      <c r="J123" s="178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</row>
    <row r="124" spans="1:25">
      <c r="A124" s="177"/>
      <c r="B124" s="177"/>
      <c r="C124" s="177"/>
      <c r="D124" s="177"/>
      <c r="E124" s="177"/>
      <c r="F124" s="177"/>
      <c r="G124" s="177"/>
      <c r="H124" s="177"/>
      <c r="I124" s="177"/>
      <c r="J124" s="178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</row>
    <row r="125" spans="1:25">
      <c r="A125" s="177" t="s">
        <v>878</v>
      </c>
      <c r="B125" s="177"/>
      <c r="C125" s="177"/>
      <c r="D125" s="177"/>
      <c r="E125" s="177"/>
      <c r="F125" s="177"/>
      <c r="G125" s="177"/>
      <c r="H125" s="177"/>
      <c r="I125" s="177"/>
      <c r="J125" s="178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</row>
    <row r="126" spans="1:25">
      <c r="A126" s="177" t="s">
        <v>879</v>
      </c>
      <c r="B126" s="177"/>
      <c r="C126" s="177"/>
      <c r="D126" s="177"/>
      <c r="E126" s="177"/>
      <c r="F126" s="177"/>
      <c r="G126" s="177"/>
      <c r="H126" s="177"/>
      <c r="I126" s="177"/>
      <c r="J126" s="178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</row>
    <row r="127" spans="1:25">
      <c r="A127" s="177" t="s">
        <v>880</v>
      </c>
      <c r="B127" s="177"/>
      <c r="C127" s="177"/>
      <c r="D127" s="177"/>
      <c r="E127" s="177"/>
      <c r="F127" s="177"/>
      <c r="G127" s="177"/>
      <c r="H127" s="177"/>
      <c r="I127" s="177"/>
      <c r="J127" s="178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</row>
    <row r="128" spans="1:25">
      <c r="A128" s="177"/>
      <c r="B128" s="177"/>
      <c r="C128" s="177"/>
      <c r="D128" s="177"/>
      <c r="E128" s="177"/>
      <c r="F128" s="177"/>
      <c r="G128" s="177"/>
      <c r="H128" s="177"/>
      <c r="I128" s="177"/>
      <c r="J128" s="178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</row>
    <row r="129" spans="1:25" ht="17.25">
      <c r="A129" s="188" t="s">
        <v>881</v>
      </c>
      <c r="B129" s="177"/>
      <c r="C129" s="177"/>
      <c r="D129" s="177"/>
      <c r="E129" s="177"/>
      <c r="F129" s="177"/>
      <c r="G129" s="177"/>
      <c r="H129" s="177"/>
      <c r="I129" s="177"/>
      <c r="J129" s="178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</row>
    <row r="130" spans="1:25">
      <c r="A130" s="177" t="s">
        <v>882</v>
      </c>
      <c r="B130" s="177"/>
      <c r="C130" s="177"/>
      <c r="D130" s="177"/>
      <c r="E130" s="177"/>
      <c r="F130" s="177"/>
      <c r="G130" s="177"/>
      <c r="H130" s="177"/>
      <c r="I130" s="177"/>
      <c r="J130" s="178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</row>
    <row r="131" spans="1:25">
      <c r="A131" s="177"/>
      <c r="B131" s="177"/>
      <c r="C131" s="177"/>
      <c r="D131" s="177"/>
      <c r="E131" s="177"/>
      <c r="F131" s="177"/>
      <c r="G131" s="177"/>
      <c r="H131" s="177"/>
      <c r="I131" s="177"/>
      <c r="J131" s="178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</row>
    <row r="132" spans="1:25" ht="20.25">
      <c r="A132" s="187" t="s">
        <v>883</v>
      </c>
      <c r="B132" s="177"/>
      <c r="C132" s="177"/>
      <c r="D132" s="177"/>
      <c r="E132" s="177"/>
      <c r="F132" s="177"/>
      <c r="G132" s="177"/>
      <c r="H132" s="177"/>
      <c r="I132" s="177"/>
      <c r="J132" s="178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</row>
    <row r="133" spans="1:25">
      <c r="A133" s="177"/>
      <c r="B133" s="177"/>
      <c r="C133" s="177"/>
      <c r="D133" s="177"/>
      <c r="E133" s="177"/>
      <c r="F133" s="177"/>
      <c r="G133" s="177"/>
      <c r="H133" s="177"/>
      <c r="I133" s="177"/>
      <c r="J133" s="178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</row>
    <row r="134" spans="1:25">
      <c r="A134" s="177" t="s">
        <v>992</v>
      </c>
      <c r="B134" s="177"/>
      <c r="C134" s="177"/>
      <c r="D134" s="177"/>
      <c r="E134" s="177"/>
      <c r="F134" s="177"/>
      <c r="G134" s="177"/>
      <c r="H134" s="177"/>
      <c r="I134" s="177"/>
      <c r="J134" s="178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</row>
    <row r="135" spans="1:25">
      <c r="A135" s="177"/>
      <c r="B135" s="177"/>
      <c r="C135" s="177"/>
      <c r="D135" s="177"/>
      <c r="E135" s="177"/>
      <c r="F135" s="177"/>
      <c r="G135" s="177"/>
      <c r="H135" s="177"/>
      <c r="I135" s="177"/>
      <c r="J135" s="178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</row>
    <row r="136" spans="1:25" ht="17.25">
      <c r="A136" s="188" t="s">
        <v>884</v>
      </c>
      <c r="B136" s="177"/>
      <c r="C136" s="177"/>
      <c r="D136" s="177"/>
      <c r="E136" s="177"/>
      <c r="F136" s="177"/>
      <c r="G136" s="177"/>
      <c r="H136" s="177"/>
      <c r="I136" s="177"/>
      <c r="J136" s="178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</row>
    <row r="137" spans="1:25">
      <c r="A137" s="177" t="s">
        <v>885</v>
      </c>
      <c r="B137" s="177"/>
      <c r="C137" s="177"/>
      <c r="D137" s="177"/>
      <c r="E137" s="177"/>
      <c r="F137" s="177"/>
      <c r="G137" s="177"/>
      <c r="H137" s="177"/>
      <c r="I137" s="177"/>
      <c r="J137" s="178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</row>
    <row r="138" spans="1:25">
      <c r="A138" s="177" t="s">
        <v>886</v>
      </c>
      <c r="B138" s="177"/>
      <c r="C138" s="177"/>
      <c r="D138" s="177"/>
      <c r="E138" s="177"/>
      <c r="F138" s="177"/>
      <c r="G138" s="177"/>
      <c r="H138" s="177"/>
      <c r="I138" s="177"/>
      <c r="J138" s="178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</row>
    <row r="139" spans="1:25">
      <c r="A139" s="177" t="s">
        <v>887</v>
      </c>
      <c r="B139" s="177"/>
      <c r="C139" s="177"/>
      <c r="D139" s="177"/>
      <c r="E139" s="177"/>
      <c r="F139" s="177"/>
      <c r="G139" s="177"/>
      <c r="H139" s="177"/>
      <c r="I139" s="177"/>
      <c r="J139" s="178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</row>
    <row r="140" spans="1:25">
      <c r="A140" s="177"/>
      <c r="B140" s="177"/>
      <c r="C140" s="177"/>
      <c r="D140" s="177"/>
      <c r="E140" s="177"/>
      <c r="F140" s="177"/>
      <c r="G140" s="177"/>
      <c r="H140" s="177"/>
      <c r="I140" s="177"/>
      <c r="J140" s="178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</row>
    <row r="141" spans="1:25">
      <c r="A141" s="181" t="s">
        <v>996</v>
      </c>
      <c r="B141" s="177"/>
      <c r="C141" s="177"/>
      <c r="D141" s="177"/>
      <c r="E141" s="177"/>
      <c r="F141" s="177"/>
      <c r="G141" s="177"/>
      <c r="H141" s="177"/>
      <c r="I141" s="177"/>
      <c r="J141" s="178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</row>
    <row r="142" spans="1:25">
      <c r="A142" s="212" t="s">
        <v>994</v>
      </c>
      <c r="B142" s="177"/>
      <c r="C142" s="177"/>
      <c r="D142" s="177"/>
      <c r="E142" s="177"/>
      <c r="F142" s="177"/>
      <c r="G142" s="177"/>
      <c r="H142" s="177"/>
      <c r="I142" s="177"/>
      <c r="J142" s="178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</row>
    <row r="143" spans="1:25">
      <c r="A143" s="177" t="s">
        <v>888</v>
      </c>
      <c r="B143" s="177"/>
      <c r="C143" s="177"/>
      <c r="D143" s="177"/>
      <c r="E143" s="177"/>
      <c r="F143" s="177"/>
      <c r="G143" s="177"/>
      <c r="H143" s="177"/>
      <c r="I143" s="177"/>
      <c r="J143" s="178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</row>
    <row r="144" spans="1:25">
      <c r="A144" s="177" t="s">
        <v>889</v>
      </c>
      <c r="B144" s="177"/>
      <c r="C144" s="177"/>
      <c r="D144" s="177"/>
      <c r="E144" s="177"/>
      <c r="F144" s="177"/>
      <c r="G144" s="177"/>
      <c r="H144" s="177"/>
      <c r="I144" s="177"/>
      <c r="J144" s="178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</row>
    <row r="145" spans="1:25">
      <c r="A145" s="214" t="s">
        <v>993</v>
      </c>
      <c r="B145" s="214"/>
      <c r="C145" s="177"/>
      <c r="D145" s="177"/>
      <c r="E145" s="177"/>
      <c r="F145" s="177"/>
      <c r="G145" s="177"/>
      <c r="H145" s="177"/>
      <c r="I145" s="177"/>
      <c r="J145" s="178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</row>
    <row r="146" spans="1:25">
      <c r="A146" s="214" t="s">
        <v>890</v>
      </c>
      <c r="B146" s="214"/>
      <c r="C146" s="177"/>
      <c r="D146" s="177"/>
      <c r="E146" s="177"/>
      <c r="F146" s="177"/>
      <c r="G146" s="177"/>
      <c r="H146" s="177"/>
      <c r="I146" s="177"/>
      <c r="J146" s="178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</row>
    <row r="147" spans="1:25">
      <c r="A147" s="214" t="s">
        <v>891</v>
      </c>
      <c r="B147" s="177"/>
      <c r="C147" s="177"/>
      <c r="D147" s="177"/>
      <c r="E147" s="177"/>
      <c r="F147" s="177"/>
      <c r="G147" s="177"/>
      <c r="H147" s="177"/>
      <c r="I147" s="177"/>
      <c r="J147" s="178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</row>
    <row r="148" spans="1:25">
      <c r="A148" s="177"/>
      <c r="B148" s="177"/>
      <c r="C148" s="177"/>
      <c r="D148" s="177"/>
      <c r="E148" s="177"/>
      <c r="F148" s="177"/>
      <c r="G148" s="177"/>
      <c r="H148" s="177"/>
      <c r="I148" s="177"/>
      <c r="J148" s="178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</row>
    <row r="149" spans="1:25">
      <c r="A149" s="212" t="s">
        <v>995</v>
      </c>
      <c r="B149" s="177"/>
      <c r="C149" s="177"/>
      <c r="D149" s="177"/>
      <c r="E149" s="177"/>
      <c r="F149" s="177"/>
      <c r="G149" s="177"/>
      <c r="H149" s="177"/>
      <c r="I149" s="177"/>
      <c r="J149" s="178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</row>
    <row r="150" spans="1:25">
      <c r="A150" s="177" t="s">
        <v>892</v>
      </c>
      <c r="B150" s="177"/>
      <c r="C150" s="177"/>
      <c r="D150" s="177"/>
      <c r="E150" s="177"/>
      <c r="F150" s="177"/>
      <c r="G150" s="177"/>
      <c r="H150" s="177"/>
      <c r="I150" s="177"/>
      <c r="J150" s="178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</row>
    <row r="151" spans="1:25">
      <c r="A151" s="177" t="s">
        <v>893</v>
      </c>
      <c r="B151" s="177"/>
      <c r="C151" s="177"/>
      <c r="D151" s="177"/>
      <c r="E151" s="177"/>
      <c r="F151" s="177"/>
      <c r="G151" s="177"/>
      <c r="H151" s="177"/>
      <c r="I151" s="177"/>
      <c r="J151" s="178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</row>
    <row r="152" spans="1:25">
      <c r="A152" s="177" t="s">
        <v>894</v>
      </c>
      <c r="B152" s="177"/>
      <c r="C152" s="177"/>
      <c r="D152" s="177"/>
      <c r="E152" s="177"/>
      <c r="F152" s="177"/>
      <c r="G152" s="177"/>
      <c r="H152" s="177"/>
      <c r="I152" s="177"/>
      <c r="J152" s="178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5">
      <c r="A153" s="177"/>
      <c r="B153" s="177"/>
      <c r="C153" s="177"/>
      <c r="D153" s="177"/>
      <c r="E153" s="177"/>
      <c r="F153" s="177"/>
      <c r="G153" s="177"/>
      <c r="H153" s="177"/>
      <c r="I153" s="177"/>
      <c r="J153" s="178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</row>
    <row r="154" spans="1:25" ht="17.25">
      <c r="A154" s="188" t="s">
        <v>895</v>
      </c>
      <c r="B154" s="177"/>
      <c r="C154" s="177"/>
      <c r="D154" s="177"/>
      <c r="E154" s="177"/>
      <c r="F154" s="177"/>
      <c r="G154" s="177"/>
      <c r="H154" s="177"/>
      <c r="I154" s="177"/>
      <c r="J154" s="178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</row>
    <row r="155" spans="1:25">
      <c r="A155" s="177" t="s">
        <v>896</v>
      </c>
      <c r="B155" s="177"/>
      <c r="C155" s="177"/>
      <c r="D155" s="177"/>
      <c r="E155" s="177"/>
      <c r="F155" s="177"/>
      <c r="G155" s="177"/>
      <c r="H155" s="177"/>
      <c r="I155" s="177"/>
      <c r="J155" s="178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</row>
    <row r="156" spans="1:25">
      <c r="A156" s="177" t="s">
        <v>897</v>
      </c>
      <c r="B156" s="177"/>
      <c r="C156" s="177"/>
      <c r="D156" s="177"/>
      <c r="E156" s="177"/>
      <c r="F156" s="177"/>
      <c r="G156" s="177"/>
      <c r="H156" s="177"/>
      <c r="I156" s="177"/>
      <c r="J156" s="178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</row>
    <row r="157" spans="1:25">
      <c r="A157" s="177"/>
      <c r="B157" s="177"/>
      <c r="C157" s="177"/>
      <c r="D157" s="177"/>
      <c r="E157" s="177"/>
      <c r="F157" s="177"/>
      <c r="G157" s="177"/>
      <c r="H157" s="177"/>
      <c r="I157" s="177"/>
      <c r="J157" s="178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</row>
    <row r="158" spans="1:25" ht="18.75">
      <c r="A158" s="189" t="s">
        <v>997</v>
      </c>
      <c r="B158" s="177"/>
      <c r="C158" s="177"/>
      <c r="D158" s="177"/>
      <c r="E158" s="177"/>
      <c r="F158" s="177"/>
      <c r="G158" s="177"/>
      <c r="H158" s="177"/>
      <c r="I158" s="177"/>
      <c r="J158" s="178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5">
      <c r="A159" s="177" t="s">
        <v>998</v>
      </c>
      <c r="B159" s="177"/>
      <c r="C159" s="177"/>
      <c r="D159" s="177"/>
      <c r="E159" s="177"/>
      <c r="F159" s="177"/>
      <c r="G159" s="177"/>
      <c r="H159" s="177"/>
      <c r="I159" s="177"/>
      <c r="J159" s="178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</row>
    <row r="160" spans="1:25">
      <c r="A160" s="177"/>
      <c r="B160" s="177"/>
      <c r="C160" s="177"/>
      <c r="D160" s="177"/>
      <c r="E160" s="177"/>
      <c r="F160" s="177"/>
      <c r="G160" s="177"/>
      <c r="H160" s="177"/>
      <c r="I160" s="177"/>
      <c r="J160" s="178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</row>
    <row r="161" spans="1:25">
      <c r="A161" s="177" t="s">
        <v>898</v>
      </c>
      <c r="B161" s="177"/>
      <c r="C161" s="177"/>
      <c r="D161" s="177"/>
      <c r="E161" s="177"/>
      <c r="F161" s="177"/>
      <c r="G161" s="177"/>
      <c r="H161" s="177"/>
      <c r="I161" s="177"/>
      <c r="J161" s="178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</row>
    <row r="162" spans="1:25">
      <c r="A162" s="177"/>
      <c r="B162" s="177"/>
      <c r="C162" s="177"/>
      <c r="D162" s="177"/>
      <c r="E162" s="177"/>
      <c r="F162" s="177"/>
      <c r="G162" s="177"/>
      <c r="H162" s="177"/>
      <c r="I162" s="177"/>
      <c r="J162" s="178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</row>
    <row r="163" spans="1:25" ht="18.75">
      <c r="A163" s="214" t="s">
        <v>1002</v>
      </c>
      <c r="B163" s="214"/>
      <c r="C163" s="214"/>
      <c r="D163" s="177"/>
      <c r="E163" s="177"/>
      <c r="F163" s="177"/>
      <c r="G163" s="177"/>
      <c r="H163" s="177"/>
      <c r="I163" s="177"/>
      <c r="J163" s="178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</row>
    <row r="164" spans="1:25">
      <c r="A164" s="214" t="s">
        <v>999</v>
      </c>
      <c r="B164" s="214"/>
      <c r="C164" s="214"/>
      <c r="D164" s="177"/>
      <c r="E164" s="177"/>
      <c r="F164" s="177"/>
      <c r="G164" s="177"/>
      <c r="H164" s="177"/>
      <c r="I164" s="177"/>
      <c r="J164" s="178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</row>
    <row r="165" spans="1:25">
      <c r="A165" s="214" t="s">
        <v>1000</v>
      </c>
      <c r="B165" s="214"/>
      <c r="C165" s="214"/>
      <c r="D165" s="177"/>
      <c r="E165" s="177"/>
      <c r="F165" s="177"/>
      <c r="G165" s="177"/>
      <c r="H165" s="177"/>
      <c r="I165" s="177"/>
      <c r="J165" s="178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</row>
    <row r="166" spans="1:25">
      <c r="A166" s="214" t="s">
        <v>1001</v>
      </c>
      <c r="B166" s="214"/>
      <c r="C166" s="214"/>
      <c r="D166" s="177"/>
      <c r="E166" s="177"/>
      <c r="F166" s="177"/>
      <c r="G166" s="177"/>
      <c r="H166" s="177"/>
      <c r="I166" s="177"/>
      <c r="J166" s="178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</row>
    <row r="167" spans="1:25">
      <c r="A167" s="177"/>
      <c r="B167" s="177"/>
      <c r="C167" s="177"/>
      <c r="D167" s="177"/>
      <c r="E167" s="177"/>
      <c r="F167" s="177"/>
      <c r="G167" s="177"/>
      <c r="H167" s="177"/>
      <c r="I167" s="177"/>
      <c r="J167" s="178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</row>
    <row r="168" spans="1:25">
      <c r="A168" s="177" t="s">
        <v>899</v>
      </c>
      <c r="B168" s="177"/>
      <c r="C168" s="177"/>
      <c r="D168" s="177"/>
      <c r="E168" s="177"/>
      <c r="F168" s="177"/>
      <c r="G168" s="177"/>
      <c r="H168" s="177"/>
      <c r="I168" s="177"/>
      <c r="J168" s="178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</row>
    <row r="169" spans="1:25">
      <c r="A169" s="177" t="s">
        <v>900</v>
      </c>
      <c r="B169" s="177"/>
      <c r="C169" s="177"/>
      <c r="D169" s="177"/>
      <c r="E169" s="177"/>
      <c r="F169" s="177"/>
      <c r="G169" s="177"/>
      <c r="H169" s="177"/>
      <c r="I169" s="177"/>
      <c r="J169" s="178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</row>
    <row r="170" spans="1:25">
      <c r="A170" s="177"/>
      <c r="B170" s="177"/>
      <c r="C170" s="177"/>
      <c r="D170" s="177"/>
      <c r="E170" s="177"/>
      <c r="F170" s="177"/>
      <c r="G170" s="177"/>
      <c r="H170" s="177"/>
      <c r="I170" s="177"/>
      <c r="J170" s="178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</row>
    <row r="171" spans="1:25" ht="17.25">
      <c r="A171" s="188" t="s">
        <v>901</v>
      </c>
      <c r="B171" s="177"/>
      <c r="C171" s="177"/>
      <c r="D171" s="177"/>
      <c r="E171" s="177"/>
      <c r="F171" s="177"/>
      <c r="G171" s="177"/>
      <c r="H171" s="177"/>
      <c r="I171" s="177"/>
      <c r="J171" s="178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</row>
    <row r="172" spans="1:25">
      <c r="A172" s="177" t="s">
        <v>902</v>
      </c>
      <c r="B172" s="177"/>
      <c r="C172" s="177"/>
      <c r="D172" s="177"/>
      <c r="E172" s="177"/>
      <c r="F172" s="177"/>
      <c r="G172" s="177"/>
      <c r="H172" s="177"/>
      <c r="I172" s="177"/>
      <c r="J172" s="178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</row>
    <row r="173" spans="1:25">
      <c r="A173" s="177"/>
      <c r="B173" s="177"/>
      <c r="C173" s="177"/>
      <c r="D173" s="177"/>
      <c r="E173" s="177"/>
      <c r="F173" s="177"/>
      <c r="G173" s="177"/>
      <c r="H173" s="177"/>
      <c r="I173" s="177"/>
      <c r="J173" s="178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</row>
    <row r="174" spans="1:25">
      <c r="A174" s="177" t="s">
        <v>1003</v>
      </c>
      <c r="B174" s="177"/>
      <c r="C174" s="177"/>
      <c r="D174" s="177"/>
      <c r="E174" s="177"/>
      <c r="F174" s="177"/>
      <c r="G174" s="177"/>
      <c r="H174" s="177"/>
      <c r="I174" s="177"/>
      <c r="J174" s="178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</row>
    <row r="175" spans="1:25">
      <c r="A175" s="177" t="s">
        <v>1004</v>
      </c>
      <c r="B175" s="177"/>
      <c r="C175" s="177"/>
      <c r="D175" s="177"/>
      <c r="E175" s="177"/>
      <c r="F175" s="177"/>
      <c r="G175" s="177"/>
      <c r="H175" s="177"/>
      <c r="I175" s="177"/>
      <c r="J175" s="178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</row>
    <row r="176" spans="1:25">
      <c r="A176" s="177"/>
      <c r="B176" s="177"/>
      <c r="C176" s="177"/>
      <c r="D176" s="177"/>
      <c r="E176" s="177"/>
      <c r="F176" s="177"/>
      <c r="G176" s="177"/>
      <c r="H176" s="177"/>
      <c r="I176" s="177"/>
      <c r="J176" s="178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</row>
    <row r="177" spans="1:25" ht="26.25">
      <c r="A177" s="186" t="s">
        <v>903</v>
      </c>
      <c r="B177" s="177"/>
      <c r="C177" s="177"/>
      <c r="D177" s="177"/>
      <c r="E177" s="177"/>
      <c r="F177" s="177"/>
      <c r="G177" s="177"/>
      <c r="H177" s="177"/>
      <c r="I177" s="177"/>
      <c r="J177" s="178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</row>
    <row r="178" spans="1:25">
      <c r="A178" s="177" t="s">
        <v>904</v>
      </c>
      <c r="B178" s="177"/>
      <c r="C178" s="177"/>
      <c r="D178" s="177"/>
      <c r="E178" s="177"/>
      <c r="F178" s="177"/>
      <c r="G178" s="177"/>
      <c r="H178" s="177"/>
      <c r="I178" s="177"/>
      <c r="J178" s="178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</row>
    <row r="179" spans="1:25">
      <c r="A179" s="177"/>
      <c r="B179" s="177"/>
      <c r="C179" s="177"/>
      <c r="D179" s="177"/>
      <c r="E179" s="177"/>
      <c r="F179" s="177"/>
      <c r="G179" s="177"/>
      <c r="H179" s="177"/>
      <c r="I179" s="177"/>
      <c r="J179" s="178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</row>
    <row r="180" spans="1:25">
      <c r="A180" s="177" t="s">
        <v>1005</v>
      </c>
      <c r="B180" s="177"/>
      <c r="C180" s="177"/>
      <c r="D180" s="177"/>
      <c r="E180" s="177"/>
      <c r="F180" s="177"/>
      <c r="G180" s="177"/>
      <c r="H180" s="177"/>
      <c r="I180" s="177"/>
      <c r="J180" s="178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</row>
    <row r="181" spans="1:25">
      <c r="A181" s="206" t="s">
        <v>1006</v>
      </c>
      <c r="B181" s="177"/>
      <c r="C181" s="177"/>
      <c r="D181" s="177"/>
      <c r="E181" s="177"/>
      <c r="F181" s="177"/>
      <c r="G181" s="177"/>
      <c r="H181" s="177"/>
      <c r="I181" s="177"/>
      <c r="J181" s="178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</row>
    <row r="182" spans="1:25">
      <c r="A182" s="177"/>
      <c r="B182" s="177"/>
      <c r="C182" s="177"/>
      <c r="D182" s="177"/>
      <c r="E182" s="177"/>
      <c r="F182" s="177"/>
      <c r="G182" s="177"/>
      <c r="H182" s="177"/>
      <c r="I182" s="177"/>
      <c r="J182" s="178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</row>
    <row r="183" spans="1:25">
      <c r="A183" s="214" t="s">
        <v>905</v>
      </c>
      <c r="B183" s="177"/>
      <c r="C183" s="177"/>
      <c r="D183" s="177"/>
      <c r="E183" s="177"/>
      <c r="F183" s="177"/>
      <c r="G183" s="177"/>
      <c r="H183" s="177"/>
      <c r="I183" s="177"/>
      <c r="J183" s="178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</row>
    <row r="184" spans="1:25" ht="18.75">
      <c r="A184" s="214" t="s">
        <v>1007</v>
      </c>
      <c r="B184" s="177"/>
      <c r="C184" s="177"/>
      <c r="D184" s="177"/>
      <c r="E184" s="177"/>
      <c r="F184" s="177"/>
      <c r="G184" s="177"/>
      <c r="H184" s="177"/>
      <c r="I184" s="177"/>
      <c r="J184" s="178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</row>
    <row r="185" spans="1:25">
      <c r="A185" s="177"/>
      <c r="B185" s="177"/>
      <c r="C185" s="177"/>
      <c r="D185" s="177"/>
      <c r="E185" s="177"/>
      <c r="F185" s="177"/>
      <c r="G185" s="177"/>
      <c r="H185" s="177"/>
      <c r="I185" s="177"/>
      <c r="J185" s="178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>
      <c r="A186" s="214" t="s">
        <v>906</v>
      </c>
      <c r="B186" s="177"/>
      <c r="C186" s="177"/>
      <c r="D186" s="177"/>
      <c r="E186" s="177"/>
      <c r="F186" s="177"/>
      <c r="G186" s="177"/>
      <c r="H186" s="177"/>
      <c r="I186" s="177"/>
      <c r="J186" s="178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</row>
    <row r="187" spans="1:25">
      <c r="A187" s="177"/>
      <c r="B187" s="177"/>
      <c r="C187" s="177"/>
      <c r="D187" s="177"/>
      <c r="E187" s="177"/>
      <c r="F187" s="177"/>
      <c r="G187" s="177"/>
      <c r="H187" s="177"/>
      <c r="I187" s="177"/>
      <c r="J187" s="178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</row>
    <row r="188" spans="1:25">
      <c r="A188" s="177" t="s">
        <v>988</v>
      </c>
      <c r="B188" s="177"/>
      <c r="C188" s="177"/>
      <c r="D188" s="177"/>
      <c r="E188" s="177"/>
      <c r="F188" s="177"/>
      <c r="G188" s="177"/>
      <c r="H188" s="177"/>
      <c r="I188" s="177"/>
      <c r="J188" s="178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</row>
    <row r="189" spans="1:25">
      <c r="A189" s="177"/>
      <c r="B189" s="177"/>
      <c r="C189" s="177"/>
      <c r="D189" s="177"/>
      <c r="E189" s="177"/>
      <c r="F189" s="177"/>
      <c r="G189" s="177"/>
      <c r="H189" s="177"/>
      <c r="I189" s="177"/>
      <c r="J189" s="178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</row>
    <row r="190" spans="1:25">
      <c r="A190" s="213" t="s">
        <v>1008</v>
      </c>
      <c r="B190" s="177"/>
      <c r="C190" s="177"/>
      <c r="D190" s="177"/>
      <c r="E190" s="177"/>
      <c r="F190" s="177"/>
      <c r="G190" s="177"/>
      <c r="H190" s="177"/>
      <c r="I190" s="177"/>
      <c r="J190" s="178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>
      <c r="A191" s="177"/>
      <c r="B191" s="177"/>
      <c r="C191" s="177"/>
      <c r="D191" s="177"/>
      <c r="E191" s="177"/>
      <c r="F191" s="177"/>
      <c r="G191" s="177"/>
      <c r="H191" s="177"/>
      <c r="I191" s="177"/>
      <c r="J191" s="178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</row>
    <row r="192" spans="1:25" ht="17.25">
      <c r="A192" s="188" t="s">
        <v>907</v>
      </c>
      <c r="B192" s="177"/>
      <c r="C192" s="177"/>
      <c r="D192" s="177"/>
      <c r="E192" s="177"/>
      <c r="F192" s="177"/>
      <c r="G192" s="177"/>
      <c r="H192" s="177"/>
      <c r="I192" s="177"/>
      <c r="J192" s="178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</row>
    <row r="193" spans="1:25">
      <c r="A193" s="177"/>
      <c r="B193" s="177"/>
      <c r="C193" s="177"/>
      <c r="D193" s="177"/>
      <c r="E193" s="177"/>
      <c r="F193" s="177"/>
      <c r="G193" s="177"/>
      <c r="H193" s="177"/>
      <c r="I193" s="177"/>
      <c r="J193" s="178"/>
      <c r="K193" s="177"/>
      <c r="L193" s="177"/>
      <c r="M193" s="177"/>
      <c r="N193" s="177"/>
      <c r="O193" s="177"/>
      <c r="P193" s="177" t="s">
        <v>1015</v>
      </c>
      <c r="Q193" s="177"/>
      <c r="R193" s="177"/>
      <c r="S193" s="177"/>
      <c r="T193" s="177"/>
      <c r="U193" s="177"/>
      <c r="V193" s="177"/>
      <c r="W193" s="177"/>
      <c r="X193" s="177"/>
      <c r="Y193" s="177"/>
    </row>
    <row r="194" spans="1:25">
      <c r="A194" s="177" t="s">
        <v>908</v>
      </c>
      <c r="B194" s="177"/>
      <c r="C194" s="190">
        <v>50000</v>
      </c>
      <c r="D194" s="177" t="s">
        <v>909</v>
      </c>
      <c r="E194" s="177"/>
      <c r="F194" s="177"/>
      <c r="G194" s="177"/>
      <c r="H194" s="177"/>
      <c r="I194" s="177"/>
      <c r="J194" s="178"/>
      <c r="K194" s="177"/>
      <c r="L194" s="177"/>
      <c r="M194" s="215">
        <f>C194</f>
        <v>50000</v>
      </c>
      <c r="N194" s="215" t="s">
        <v>1014</v>
      </c>
      <c r="O194" s="216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</row>
    <row r="195" spans="1:25">
      <c r="A195" s="217">
        <f>TRUNC(M194/(8+1*1.5),0)</f>
        <v>5263</v>
      </c>
      <c r="B195" s="177" t="s">
        <v>910</v>
      </c>
      <c r="C195" s="177"/>
      <c r="D195" s="707">
        <f>TRUNC(A195*8,0)</f>
        <v>42104</v>
      </c>
      <c r="E195" s="707"/>
      <c r="F195" s="707"/>
      <c r="G195" s="177" t="str">
        <f>CONCATENATE("("&amp;TEXT(A195,"#,##0")&amp;" × 8시간)이 된다.")</f>
        <v>(5,263 × 8시간)이 된다.</v>
      </c>
      <c r="H195" s="177"/>
      <c r="I195" s="177"/>
      <c r="J195" s="178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>
      <c r="A196" s="191"/>
      <c r="B196" s="177"/>
      <c r="C196" s="177"/>
      <c r="D196" s="177"/>
      <c r="E196" s="177"/>
      <c r="F196" s="177"/>
      <c r="G196" s="177"/>
      <c r="H196" s="177"/>
      <c r="I196" s="177"/>
      <c r="J196" s="178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</row>
    <row r="197" spans="1:25">
      <c r="A197" s="177"/>
      <c r="B197" s="177"/>
      <c r="C197" s="177"/>
      <c r="D197" s="177"/>
      <c r="E197" s="177"/>
      <c r="F197" s="177"/>
      <c r="G197" s="177"/>
      <c r="H197" s="177"/>
      <c r="I197" s="177"/>
      <c r="J197" s="178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</row>
    <row r="198" spans="1:25" ht="17.25">
      <c r="A198" s="188" t="s">
        <v>911</v>
      </c>
      <c r="B198" s="177"/>
      <c r="C198" s="177"/>
      <c r="D198" s="177"/>
      <c r="E198" s="177"/>
      <c r="F198" s="177"/>
      <c r="G198" s="177"/>
      <c r="H198" s="177"/>
      <c r="I198" s="177"/>
      <c r="J198" s="178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</row>
    <row r="199" spans="1:25" ht="17.25">
      <c r="A199" s="188"/>
      <c r="B199" s="177"/>
      <c r="C199" s="177"/>
      <c r="D199" s="177"/>
      <c r="E199" s="177"/>
      <c r="F199" s="177"/>
      <c r="G199" s="177"/>
      <c r="H199" s="177"/>
      <c r="I199" s="177"/>
      <c r="J199" s="178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</row>
    <row r="200" spans="1:25">
      <c r="A200" s="192" t="s">
        <v>912</v>
      </c>
      <c r="B200" s="177"/>
      <c r="C200" s="177"/>
      <c r="D200" s="177"/>
      <c r="E200" s="177"/>
      <c r="F200" s="177"/>
      <c r="G200" s="177"/>
      <c r="H200" s="177"/>
      <c r="I200" s="177"/>
      <c r="J200" s="178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>
      <c r="A201" s="177" t="s">
        <v>913</v>
      </c>
      <c r="B201" s="177"/>
      <c r="C201" s="177"/>
      <c r="D201" s="177"/>
      <c r="E201" s="177"/>
      <c r="F201" s="177"/>
      <c r="G201" s="177"/>
      <c r="H201" s="177"/>
      <c r="I201" s="177"/>
      <c r="J201" s="178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</row>
    <row r="202" spans="1:25">
      <c r="A202" s="177"/>
      <c r="B202" s="177"/>
      <c r="C202" s="177"/>
      <c r="D202" s="177"/>
      <c r="E202" s="177"/>
      <c r="F202" s="177"/>
      <c r="G202" s="177"/>
      <c r="H202" s="177"/>
      <c r="I202" s="177"/>
      <c r="J202" s="178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</row>
    <row r="203" spans="1:25">
      <c r="A203" s="177" t="s">
        <v>914</v>
      </c>
      <c r="B203" s="177"/>
      <c r="C203" s="193">
        <v>13</v>
      </c>
      <c r="D203" s="177" t="s">
        <v>915</v>
      </c>
      <c r="E203" s="177">
        <v>4</v>
      </c>
      <c r="F203" s="177" t="s">
        <v>916</v>
      </c>
      <c r="G203" s="708">
        <f>TRUNC(C203*E203/24,2)</f>
        <v>2.16</v>
      </c>
      <c r="H203" s="708"/>
      <c r="I203" s="177"/>
      <c r="J203" s="178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</row>
    <row r="204" spans="1:25">
      <c r="A204" s="177" t="s">
        <v>917</v>
      </c>
      <c r="B204" s="177"/>
      <c r="C204" s="194">
        <v>5000</v>
      </c>
      <c r="D204" s="177" t="s">
        <v>915</v>
      </c>
      <c r="E204" s="182">
        <f>TRUNC(C203*E203/24,2)</f>
        <v>2.16</v>
      </c>
      <c r="F204" s="177" t="s">
        <v>918</v>
      </c>
      <c r="G204" s="709">
        <f>C204*E204</f>
        <v>10800</v>
      </c>
      <c r="H204" s="709"/>
      <c r="I204" s="177"/>
      <c r="J204" s="178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</row>
    <row r="205" spans="1:25">
      <c r="A205" s="177"/>
      <c r="B205" s="177"/>
      <c r="C205" s="177"/>
      <c r="D205" s="177"/>
      <c r="E205" s="177"/>
      <c r="F205" s="177"/>
      <c r="G205" s="177"/>
      <c r="H205" s="177"/>
      <c r="I205" s="177"/>
      <c r="J205" s="178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</row>
    <row r="206" spans="1:25">
      <c r="A206" s="177" t="s">
        <v>919</v>
      </c>
      <c r="B206" s="177"/>
      <c r="C206" s="177"/>
      <c r="D206" s="177"/>
      <c r="E206" s="177"/>
      <c r="F206" s="177"/>
      <c r="G206" s="177"/>
      <c r="H206" s="177"/>
      <c r="I206" s="177"/>
      <c r="J206" s="178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</row>
    <row r="207" spans="1:25">
      <c r="A207" s="177"/>
      <c r="B207" s="177"/>
      <c r="C207" s="177"/>
      <c r="D207" s="177"/>
      <c r="E207" s="177"/>
      <c r="F207" s="177"/>
      <c r="G207" s="177"/>
      <c r="H207" s="177"/>
      <c r="I207" s="177"/>
      <c r="J207" s="178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</row>
    <row r="208" spans="1:25">
      <c r="A208" s="192" t="s">
        <v>920</v>
      </c>
      <c r="B208" s="177"/>
      <c r="C208" s="177"/>
      <c r="D208" s="177"/>
      <c r="E208" s="177"/>
      <c r="F208" s="177"/>
      <c r="G208" s="177"/>
      <c r="H208" s="177"/>
      <c r="I208" s="177"/>
      <c r="J208" s="178"/>
      <c r="K208" s="177"/>
      <c r="L208" s="177"/>
      <c r="M208" s="177"/>
      <c r="N208" s="177"/>
      <c r="O208" s="177"/>
      <c r="P208" s="177"/>
      <c r="Q208" s="177"/>
      <c r="R208" s="177" t="s">
        <v>921</v>
      </c>
      <c r="S208" s="177"/>
      <c r="T208" s="177"/>
      <c r="U208" s="177"/>
      <c r="V208" s="177"/>
      <c r="W208" s="177"/>
      <c r="X208" s="177"/>
      <c r="Y208" s="177"/>
    </row>
    <row r="209" spans="1:25">
      <c r="A209" s="177"/>
      <c r="B209" s="177"/>
      <c r="C209" s="177"/>
      <c r="D209" s="177"/>
      <c r="E209" s="177"/>
      <c r="F209" s="177"/>
      <c r="G209" s="177"/>
      <c r="H209" s="177"/>
      <c r="I209" s="177"/>
      <c r="J209" s="178"/>
      <c r="K209" s="177"/>
      <c r="L209" s="177"/>
      <c r="M209" s="177"/>
      <c r="N209" s="177"/>
      <c r="O209" s="177"/>
      <c r="P209" s="177"/>
      <c r="Q209" s="177"/>
      <c r="R209" s="177" t="s">
        <v>922</v>
      </c>
      <c r="S209" s="177"/>
      <c r="T209" s="177"/>
      <c r="U209" s="177"/>
      <c r="V209" s="177"/>
      <c r="W209" s="177"/>
      <c r="X209" s="177"/>
      <c r="Y209" s="177"/>
    </row>
    <row r="210" spans="1:25">
      <c r="A210" s="195">
        <v>4</v>
      </c>
      <c r="B210" s="177" t="s">
        <v>923</v>
      </c>
      <c r="C210" s="177"/>
      <c r="D210" s="177"/>
      <c r="E210" s="177"/>
      <c r="F210" s="177"/>
      <c r="G210" s="177"/>
      <c r="H210" s="177"/>
      <c r="I210" s="177"/>
      <c r="J210" s="178"/>
      <c r="K210" s="177"/>
      <c r="L210" s="177"/>
      <c r="M210" s="177"/>
      <c r="N210" s="177"/>
      <c r="O210" s="177"/>
      <c r="P210" s="177"/>
      <c r="Q210" s="177"/>
      <c r="R210" s="177" t="s">
        <v>924</v>
      </c>
      <c r="S210" s="177"/>
      <c r="T210" s="177"/>
      <c r="U210" s="177"/>
      <c r="V210" s="177"/>
      <c r="W210" s="177"/>
      <c r="X210" s="177"/>
      <c r="Y210" s="177"/>
    </row>
    <row r="211" spans="1:25">
      <c r="A211" s="177" t="s">
        <v>925</v>
      </c>
      <c r="B211" s="196">
        <v>4</v>
      </c>
      <c r="C211" s="177" t="s">
        <v>926</v>
      </c>
      <c r="D211" s="197">
        <v>5</v>
      </c>
      <c r="E211" s="177" t="s">
        <v>927</v>
      </c>
      <c r="F211" s="177"/>
      <c r="G211" s="181">
        <f>B211*D211</f>
        <v>20</v>
      </c>
      <c r="H211" s="177" t="s">
        <v>928</v>
      </c>
      <c r="I211" s="177"/>
      <c r="J211" s="178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</row>
    <row r="212" spans="1:25">
      <c r="A212" s="177"/>
      <c r="B212" s="177"/>
      <c r="C212" s="177"/>
      <c r="D212" s="177"/>
      <c r="E212" s="177"/>
      <c r="F212" s="177"/>
      <c r="G212" s="177"/>
      <c r="H212" s="177"/>
      <c r="I212" s="177"/>
      <c r="J212" s="178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</row>
    <row r="213" spans="1:25">
      <c r="A213" s="198">
        <f>G211</f>
        <v>20</v>
      </c>
      <c r="B213" s="199">
        <f>A210</f>
        <v>4</v>
      </c>
      <c r="C213" s="200">
        <f>G211+IF(AND(D211&gt;=5,G211&gt;=15),A210,0)</f>
        <v>24</v>
      </c>
      <c r="D213" s="710">
        <f>TRUNC(A213*4/24,1)</f>
        <v>3.3</v>
      </c>
      <c r="E213" s="710"/>
      <c r="F213" s="177"/>
      <c r="G213" s="177"/>
      <c r="H213" s="177"/>
      <c r="I213" s="177"/>
      <c r="J213" s="178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</row>
    <row r="214" spans="1:25">
      <c r="A214" s="177"/>
      <c r="B214" s="177"/>
      <c r="C214" s="177"/>
      <c r="D214" s="177"/>
      <c r="E214" s="177"/>
      <c r="F214" s="177"/>
      <c r="G214" s="177"/>
      <c r="H214" s="177"/>
      <c r="I214" s="177"/>
      <c r="J214" s="178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</row>
    <row r="215" spans="1:25">
      <c r="A215" s="177" t="str">
        <f>CONCATENATE("주 7일 중 "&amp;D211&amp;"일을 근로하고 나머지 2일의 휴무일 중 하루를 유급("&amp;D213&amp;"시간)으로 계산하여 주휴수당을 지급해야 하므로 정상근로자와 다름없이 그 시간을 소정근로시간에 합산하여 평균개념으로 산출한다.")</f>
        <v>주 7일 중 5일을 근로하고 나머지 2일의 휴무일 중 하루를 유급(3.3시간)으로 계산하여 주휴수당을 지급해야 하므로 정상근로자와 다름없이 그 시간을 소정근로시간에 합산하여 평균개념으로 산출한다.</v>
      </c>
      <c r="B215" s="177"/>
      <c r="C215" s="177"/>
      <c r="D215" s="177"/>
      <c r="E215" s="177"/>
      <c r="F215" s="177"/>
      <c r="G215" s="177"/>
      <c r="H215" s="177"/>
      <c r="I215" s="177"/>
      <c r="J215" s="178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</row>
    <row r="216" spans="1:25">
      <c r="A216" s="177"/>
      <c r="B216" s="177"/>
      <c r="C216" s="177"/>
      <c r="D216" s="177"/>
      <c r="E216" s="177"/>
      <c r="F216" s="177"/>
      <c r="G216" s="177"/>
      <c r="H216" s="177"/>
      <c r="I216" s="177"/>
      <c r="J216" s="178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</row>
    <row r="217" spans="1:25">
      <c r="A217" s="201">
        <f>G211</f>
        <v>20</v>
      </c>
      <c r="B217" s="202">
        <f>D213</f>
        <v>3.3</v>
      </c>
      <c r="C217" s="177" t="s">
        <v>929</v>
      </c>
      <c r="D217" s="177"/>
      <c r="E217" s="177"/>
      <c r="F217" s="203">
        <f>TRUNC(((A217+B217)/7)*365/12,1)</f>
        <v>101.2</v>
      </c>
      <c r="G217" s="177" t="s">
        <v>64</v>
      </c>
      <c r="H217" s="177"/>
      <c r="I217" s="177"/>
      <c r="J217" s="178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</row>
    <row r="218" spans="1:25">
      <c r="A218" s="177"/>
      <c r="B218" s="177"/>
      <c r="C218" s="177"/>
      <c r="D218" s="177"/>
      <c r="E218" s="177"/>
      <c r="F218" s="177"/>
      <c r="G218" s="177"/>
      <c r="H218" s="177"/>
      <c r="I218" s="177"/>
      <c r="J218" s="178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</row>
    <row r="219" spans="1:25">
      <c r="A219" s="177" t="s">
        <v>930</v>
      </c>
      <c r="B219" s="204">
        <v>1200000</v>
      </c>
      <c r="C219" s="178" t="s">
        <v>666</v>
      </c>
      <c r="D219" s="711">
        <f>F217</f>
        <v>101.2</v>
      </c>
      <c r="E219" s="711"/>
      <c r="F219" s="205">
        <f>B219/D219</f>
        <v>11857.707509881422</v>
      </c>
      <c r="G219" s="206" t="s">
        <v>931</v>
      </c>
      <c r="H219" s="177"/>
      <c r="I219" s="177"/>
      <c r="J219" s="178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</row>
    <row r="220" spans="1:25">
      <c r="A220" s="177"/>
      <c r="B220" s="177"/>
      <c r="C220" s="177"/>
      <c r="D220" s="177"/>
      <c r="E220" s="177"/>
      <c r="F220" s="177"/>
      <c r="G220" s="177"/>
      <c r="H220" s="177"/>
      <c r="I220" s="177"/>
      <c r="J220" s="178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</row>
    <row r="221" spans="1:25">
      <c r="A221" s="192" t="s">
        <v>932</v>
      </c>
      <c r="B221" s="177"/>
      <c r="C221" s="177"/>
      <c r="D221" s="177"/>
      <c r="E221" s="177"/>
      <c r="F221" s="177"/>
      <c r="G221" s="177"/>
      <c r="H221" s="177"/>
      <c r="I221" s="177"/>
      <c r="J221" s="178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</row>
    <row r="222" spans="1:25">
      <c r="A222" s="177"/>
      <c r="B222" s="177"/>
      <c r="C222" s="177"/>
      <c r="D222" s="177"/>
      <c r="E222" s="177"/>
      <c r="F222" s="177"/>
      <c r="G222" s="177"/>
      <c r="H222" s="177"/>
      <c r="I222" s="177"/>
      <c r="J222" s="178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</row>
    <row r="223" spans="1:25">
      <c r="A223" s="177" t="s">
        <v>933</v>
      </c>
      <c r="B223" s="177"/>
      <c r="C223" s="177"/>
      <c r="D223" s="177"/>
      <c r="E223" s="177"/>
      <c r="F223" s="177"/>
      <c r="G223" s="177"/>
      <c r="H223" s="177"/>
      <c r="I223" s="177"/>
      <c r="J223" s="178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</row>
    <row r="224" spans="1:25">
      <c r="A224" s="177" t="s">
        <v>934</v>
      </c>
      <c r="B224" s="177"/>
      <c r="C224" s="177"/>
      <c r="D224" s="177"/>
      <c r="E224" s="177"/>
      <c r="F224" s="177"/>
      <c r="G224" s="177"/>
      <c r="H224" s="177"/>
      <c r="I224" s="177"/>
      <c r="J224" s="178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</row>
    <row r="225" spans="1:25">
      <c r="A225" s="177" t="s">
        <v>935</v>
      </c>
      <c r="B225" s="177"/>
      <c r="C225" s="177"/>
      <c r="D225" s="177"/>
      <c r="E225" s="177"/>
      <c r="F225" s="177"/>
      <c r="G225" s="177"/>
      <c r="H225" s="177"/>
      <c r="I225" s="177"/>
      <c r="J225" s="178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</row>
    <row r="226" spans="1:25">
      <c r="A226" s="177"/>
      <c r="B226" s="177"/>
      <c r="C226" s="177"/>
      <c r="D226" s="177"/>
      <c r="E226" s="177"/>
      <c r="F226" s="177"/>
      <c r="G226" s="177"/>
      <c r="H226" s="177"/>
      <c r="I226" s="177"/>
      <c r="J226" s="178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</row>
    <row r="227" spans="1:25" ht="17.25">
      <c r="A227" s="188" t="s">
        <v>936</v>
      </c>
      <c r="B227" s="177"/>
      <c r="C227" s="177"/>
      <c r="D227" s="177"/>
      <c r="E227" s="177"/>
      <c r="F227" s="177"/>
      <c r="G227" s="177"/>
      <c r="H227" s="177"/>
      <c r="I227" s="177"/>
      <c r="J227" s="178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</row>
    <row r="228" spans="1:25">
      <c r="A228" s="177" t="s">
        <v>937</v>
      </c>
      <c r="B228" s="177"/>
      <c r="C228" s="177"/>
      <c r="D228" s="177"/>
      <c r="E228" s="177"/>
      <c r="F228" s="177"/>
      <c r="G228" s="177"/>
      <c r="H228" s="177"/>
      <c r="I228" s="177"/>
      <c r="J228" s="178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</row>
    <row r="229" spans="1:25">
      <c r="A229" s="177" t="s">
        <v>938</v>
      </c>
      <c r="B229" s="177"/>
      <c r="C229" s="177"/>
      <c r="D229" s="177"/>
      <c r="E229" s="177"/>
      <c r="F229" s="177"/>
      <c r="G229" s="177"/>
      <c r="H229" s="177"/>
      <c r="I229" s="177"/>
      <c r="J229" s="178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</row>
    <row r="230" spans="1:25">
      <c r="A230" s="177" t="s">
        <v>939</v>
      </c>
      <c r="B230" s="177"/>
      <c r="C230" s="177"/>
      <c r="D230" s="177"/>
      <c r="E230" s="177"/>
      <c r="F230" s="177"/>
      <c r="G230" s="177"/>
      <c r="H230" s="177"/>
      <c r="I230" s="177"/>
      <c r="J230" s="178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</row>
    <row r="231" spans="1:25">
      <c r="A231" s="177"/>
      <c r="B231" s="177"/>
      <c r="C231" s="177"/>
      <c r="D231" s="177"/>
      <c r="E231" s="177"/>
      <c r="F231" s="177"/>
      <c r="G231" s="177"/>
      <c r="H231" s="177"/>
      <c r="I231" s="177"/>
      <c r="J231" s="178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</row>
    <row r="232" spans="1:25">
      <c r="A232" s="177" t="s">
        <v>940</v>
      </c>
      <c r="B232" s="177"/>
      <c r="C232" s="177"/>
      <c r="D232" s="177"/>
      <c r="E232" s="177"/>
      <c r="F232" s="177"/>
      <c r="G232" s="177"/>
      <c r="H232" s="177"/>
      <c r="I232" s="177"/>
      <c r="J232" s="178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</row>
    <row r="233" spans="1:25">
      <c r="A233" s="177" t="s">
        <v>941</v>
      </c>
      <c r="B233" s="177"/>
      <c r="C233" s="177"/>
      <c r="D233" s="177"/>
      <c r="E233" s="177"/>
      <c r="F233" s="177"/>
      <c r="G233" s="177"/>
      <c r="H233" s="177"/>
      <c r="I233" s="177"/>
      <c r="J233" s="178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</row>
    <row r="234" spans="1:25">
      <c r="A234" s="177" t="s">
        <v>942</v>
      </c>
      <c r="B234" s="177"/>
      <c r="C234" s="177"/>
      <c r="D234" s="177"/>
      <c r="E234" s="177"/>
      <c r="F234" s="177"/>
      <c r="G234" s="177"/>
      <c r="H234" s="177"/>
      <c r="I234" s="177"/>
      <c r="J234" s="178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</row>
    <row r="235" spans="1:25">
      <c r="A235" s="177"/>
      <c r="B235" s="177"/>
      <c r="C235" s="177"/>
      <c r="D235" s="177"/>
      <c r="E235" s="177"/>
      <c r="F235" s="177"/>
      <c r="G235" s="177"/>
      <c r="H235" s="177"/>
      <c r="I235" s="177"/>
      <c r="J235" s="178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</row>
    <row r="236" spans="1:25">
      <c r="A236" s="192" t="s">
        <v>943</v>
      </c>
      <c r="B236" s="177"/>
      <c r="C236" s="177"/>
      <c r="D236" s="177"/>
      <c r="E236" s="177"/>
      <c r="F236" s="177"/>
      <c r="G236" s="177"/>
      <c r="H236" s="177"/>
      <c r="I236" s="177"/>
      <c r="J236" s="178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</row>
    <row r="237" spans="1:25">
      <c r="A237" s="177" t="s">
        <v>944</v>
      </c>
      <c r="B237" s="177"/>
      <c r="C237" s="177"/>
      <c r="D237" s="177"/>
      <c r="E237" s="177"/>
      <c r="F237" s="177"/>
      <c r="G237" s="177"/>
      <c r="H237" s="177"/>
      <c r="I237" s="177"/>
      <c r="J237" s="178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</row>
    <row r="238" spans="1:25">
      <c r="A238" s="177" t="s">
        <v>945</v>
      </c>
      <c r="B238" s="177"/>
      <c r="C238" s="177"/>
      <c r="D238" s="177"/>
      <c r="E238" s="177"/>
      <c r="F238" s="177"/>
      <c r="G238" s="177"/>
      <c r="H238" s="177"/>
      <c r="I238" s="177"/>
      <c r="J238" s="178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</row>
    <row r="239" spans="1:25">
      <c r="A239" s="177" t="s">
        <v>946</v>
      </c>
      <c r="B239" s="177"/>
      <c r="C239" s="177"/>
      <c r="D239" s="177"/>
      <c r="E239" s="177"/>
      <c r="F239" s="177"/>
      <c r="G239" s="177"/>
      <c r="H239" s="177"/>
      <c r="I239" s="177"/>
      <c r="J239" s="178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</row>
    <row r="240" spans="1:25">
      <c r="A240" s="177"/>
      <c r="B240" s="177"/>
      <c r="C240" s="177"/>
      <c r="D240" s="177"/>
      <c r="E240" s="177"/>
      <c r="F240" s="177"/>
      <c r="G240" s="177"/>
      <c r="H240" s="177"/>
      <c r="I240" s="177"/>
      <c r="J240" s="178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</row>
    <row r="241" spans="1:25">
      <c r="A241" s="192" t="s">
        <v>947</v>
      </c>
      <c r="B241" s="177"/>
      <c r="C241" s="177"/>
      <c r="D241" s="177"/>
      <c r="E241" s="177"/>
      <c r="F241" s="177"/>
      <c r="G241" s="177"/>
      <c r="H241" s="177"/>
      <c r="I241" s="177"/>
      <c r="J241" s="178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</row>
    <row r="242" spans="1:25">
      <c r="A242" s="177" t="s">
        <v>948</v>
      </c>
      <c r="B242" s="177"/>
      <c r="C242" s="177"/>
      <c r="D242" s="177"/>
      <c r="E242" s="177"/>
      <c r="F242" s="177"/>
      <c r="G242" s="177"/>
      <c r="H242" s="177"/>
      <c r="I242" s="177"/>
      <c r="J242" s="178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</row>
    <row r="243" spans="1:25">
      <c r="A243" s="177" t="s">
        <v>949</v>
      </c>
      <c r="B243" s="177"/>
      <c r="C243" s="177"/>
      <c r="D243" s="177"/>
      <c r="E243" s="177"/>
      <c r="F243" s="177"/>
      <c r="G243" s="177"/>
      <c r="H243" s="177"/>
      <c r="I243" s="177"/>
      <c r="J243" s="178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</row>
    <row r="244" spans="1:25">
      <c r="A244" s="177" t="s">
        <v>950</v>
      </c>
      <c r="B244" s="177"/>
      <c r="C244" s="177"/>
      <c r="D244" s="177"/>
      <c r="E244" s="177"/>
      <c r="F244" s="177"/>
      <c r="G244" s="177"/>
      <c r="H244" s="177"/>
      <c r="I244" s="177"/>
      <c r="J244" s="178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</row>
    <row r="245" spans="1:25">
      <c r="A245" s="177"/>
      <c r="B245" s="177"/>
      <c r="C245" s="177"/>
      <c r="D245" s="177"/>
      <c r="E245" s="177"/>
      <c r="F245" s="177"/>
      <c r="G245" s="177"/>
      <c r="H245" s="177"/>
      <c r="I245" s="177"/>
      <c r="J245" s="178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</row>
    <row r="246" spans="1:25">
      <c r="A246" s="207" t="s">
        <v>951</v>
      </c>
      <c r="B246" s="177"/>
      <c r="C246" s="177"/>
      <c r="D246" s="177"/>
      <c r="E246" s="177"/>
      <c r="F246" s="177"/>
      <c r="G246" s="177"/>
      <c r="H246" s="177"/>
      <c r="I246" s="177"/>
      <c r="J246" s="178"/>
      <c r="K246" s="177"/>
      <c r="L246" s="177"/>
      <c r="M246" s="177"/>
      <c r="N246" s="177"/>
      <c r="O246" s="177"/>
      <c r="P246" s="177"/>
      <c r="Q246" s="177" t="s">
        <v>952</v>
      </c>
      <c r="R246" s="177"/>
      <c r="S246" s="177"/>
      <c r="T246" s="177"/>
      <c r="U246" s="177"/>
      <c r="V246" s="177"/>
      <c r="W246" s="177"/>
      <c r="X246" s="177"/>
      <c r="Y246" s="177"/>
    </row>
    <row r="247" spans="1:25">
      <c r="A247" s="177" t="s">
        <v>953</v>
      </c>
      <c r="B247" s="177"/>
      <c r="C247" s="177"/>
      <c r="D247" s="177"/>
      <c r="E247" s="177"/>
      <c r="F247" s="177"/>
      <c r="G247" s="177"/>
      <c r="H247" s="177"/>
      <c r="I247" s="177"/>
      <c r="J247" s="178"/>
      <c r="K247" s="177">
        <v>40</v>
      </c>
      <c r="L247" s="177" t="s">
        <v>666</v>
      </c>
      <c r="M247" s="177">
        <v>7</v>
      </c>
      <c r="N247" s="180" t="s">
        <v>667</v>
      </c>
      <c r="O247" s="179">
        <f>TRUNC(K247/M247,2)</f>
        <v>5.71</v>
      </c>
      <c r="P247" s="177"/>
      <c r="Q247" s="177" t="s">
        <v>954</v>
      </c>
      <c r="R247" s="177"/>
      <c r="S247" s="177"/>
      <c r="T247" s="177"/>
      <c r="U247" s="177"/>
      <c r="V247" s="177"/>
      <c r="W247" s="177"/>
      <c r="X247" s="177"/>
      <c r="Y247" s="177"/>
    </row>
    <row r="248" spans="1:25">
      <c r="A248" s="177" t="s">
        <v>955</v>
      </c>
      <c r="B248" s="177"/>
      <c r="C248" s="177"/>
      <c r="D248" s="177"/>
      <c r="E248" s="177"/>
      <c r="F248" s="177"/>
      <c r="G248" s="177"/>
      <c r="H248" s="208">
        <f>365/12</f>
        <v>30.416666666666668</v>
      </c>
      <c r="I248" s="177"/>
      <c r="J248" s="178"/>
      <c r="K248" s="177"/>
      <c r="L248" s="177"/>
      <c r="M248" s="177"/>
      <c r="N248" s="177"/>
      <c r="O248" s="203">
        <v>30.42</v>
      </c>
      <c r="P248" s="177"/>
      <c r="Q248" s="177" t="s">
        <v>956</v>
      </c>
      <c r="R248" s="177"/>
      <c r="S248" s="177"/>
      <c r="T248" s="177"/>
      <c r="U248" s="177"/>
      <c r="V248" s="177"/>
      <c r="W248" s="177"/>
      <c r="X248" s="177"/>
      <c r="Y248" s="177"/>
    </row>
    <row r="249" spans="1:25">
      <c r="A249" s="177" t="s">
        <v>957</v>
      </c>
      <c r="B249" s="177"/>
      <c r="C249" s="177"/>
      <c r="D249" s="177"/>
      <c r="E249" s="177"/>
      <c r="F249" s="177"/>
      <c r="G249" s="177"/>
      <c r="H249" s="177"/>
      <c r="I249" s="177"/>
      <c r="J249" s="178"/>
      <c r="K249" s="177"/>
      <c r="L249" s="177"/>
      <c r="M249" s="177"/>
      <c r="N249" s="177"/>
      <c r="O249" s="177">
        <f>O247*O248</f>
        <v>173.69820000000001</v>
      </c>
      <c r="P249" s="177"/>
      <c r="Q249" s="177" t="s">
        <v>958</v>
      </c>
      <c r="R249" s="177"/>
      <c r="S249" s="177"/>
      <c r="T249" s="177"/>
      <c r="U249" s="177"/>
      <c r="V249" s="177"/>
      <c r="W249" s="177"/>
      <c r="X249" s="177"/>
      <c r="Y249" s="177"/>
    </row>
    <row r="250" spans="1:25">
      <c r="A250" s="177"/>
      <c r="B250" s="177"/>
      <c r="C250" s="177"/>
      <c r="D250" s="177"/>
      <c r="E250" s="177"/>
      <c r="F250" s="177"/>
      <c r="G250" s="177"/>
      <c r="H250" s="177"/>
      <c r="I250" s="177"/>
      <c r="J250" s="178"/>
      <c r="K250" s="177"/>
      <c r="L250" s="177"/>
      <c r="M250" s="177"/>
      <c r="N250" s="177"/>
      <c r="O250" s="177"/>
      <c r="P250" s="177"/>
      <c r="Q250" s="177" t="s">
        <v>959</v>
      </c>
      <c r="R250" s="177"/>
      <c r="S250" s="177"/>
      <c r="T250" s="177"/>
      <c r="U250" s="177"/>
      <c r="V250" s="177"/>
      <c r="W250" s="177"/>
      <c r="X250" s="177"/>
      <c r="Y250" s="177"/>
    </row>
    <row r="251" spans="1:25">
      <c r="A251" s="192" t="s">
        <v>960</v>
      </c>
      <c r="B251" s="177"/>
      <c r="C251" s="177"/>
      <c r="D251" s="177"/>
      <c r="E251" s="177"/>
      <c r="F251" s="177"/>
      <c r="G251" s="177"/>
      <c r="H251" s="177"/>
      <c r="I251" s="177"/>
      <c r="J251" s="178"/>
      <c r="K251" s="177"/>
      <c r="L251" s="177"/>
      <c r="M251" s="177"/>
      <c r="N251" s="177"/>
      <c r="O251" s="177"/>
      <c r="P251" s="177"/>
      <c r="Q251" s="177" t="s">
        <v>961</v>
      </c>
      <c r="R251" s="177"/>
      <c r="S251" s="177"/>
      <c r="T251" s="177"/>
      <c r="U251" s="177"/>
      <c r="V251" s="177"/>
      <c r="W251" s="177"/>
      <c r="X251" s="177"/>
      <c r="Y251" s="177"/>
    </row>
    <row r="252" spans="1:25">
      <c r="A252" s="177" t="s">
        <v>962</v>
      </c>
      <c r="B252" s="177"/>
      <c r="C252" s="177"/>
      <c r="D252" s="177"/>
      <c r="E252" s="177"/>
      <c r="F252" s="177"/>
      <c r="G252" s="177"/>
      <c r="H252" s="177"/>
      <c r="I252" s="177"/>
      <c r="J252" s="178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</row>
    <row r="253" spans="1:25">
      <c r="A253" s="177" t="s">
        <v>963</v>
      </c>
      <c r="B253" s="177"/>
      <c r="C253" s="177"/>
      <c r="D253" s="177"/>
      <c r="E253" s="177"/>
      <c r="F253" s="177"/>
      <c r="G253" s="177"/>
      <c r="H253" s="177"/>
      <c r="I253" s="177"/>
      <c r="J253" s="178"/>
      <c r="K253" s="177"/>
      <c r="L253" s="177"/>
      <c r="M253" s="177"/>
      <c r="N253" s="177"/>
      <c r="O253" s="177"/>
      <c r="P253" s="177"/>
      <c r="Q253" s="177" t="s">
        <v>964</v>
      </c>
      <c r="R253" s="177"/>
      <c r="S253" s="177"/>
      <c r="T253" s="177"/>
      <c r="U253" s="177"/>
      <c r="V253" s="177"/>
      <c r="W253" s="177"/>
      <c r="X253" s="177"/>
      <c r="Y253" s="177"/>
    </row>
    <row r="254" spans="1:25">
      <c r="A254" s="177" t="s">
        <v>965</v>
      </c>
      <c r="B254" s="177"/>
      <c r="C254" s="177"/>
      <c r="D254" s="177"/>
      <c r="E254" s="177"/>
      <c r="F254" s="177"/>
      <c r="G254" s="177"/>
      <c r="H254" s="177"/>
      <c r="I254" s="177"/>
      <c r="J254" s="178"/>
      <c r="K254" s="177"/>
      <c r="L254" s="177"/>
      <c r="M254" s="177"/>
      <c r="N254" s="177"/>
      <c r="O254" s="177"/>
      <c r="P254" s="177"/>
      <c r="Q254" s="177" t="s">
        <v>966</v>
      </c>
      <c r="R254" s="177"/>
      <c r="S254" s="177"/>
      <c r="T254" s="177"/>
      <c r="U254" s="177"/>
      <c r="V254" s="177"/>
      <c r="W254" s="177"/>
      <c r="X254" s="177"/>
      <c r="Y254" s="177"/>
    </row>
    <row r="255" spans="1:25">
      <c r="A255" s="177"/>
      <c r="B255" s="177"/>
      <c r="C255" s="177"/>
      <c r="D255" s="177"/>
      <c r="E255" s="177"/>
      <c r="F255" s="177"/>
      <c r="G255" s="177"/>
      <c r="H255" s="177"/>
      <c r="I255" s="177"/>
      <c r="J255" s="178"/>
      <c r="K255" s="177"/>
      <c r="L255" s="177"/>
      <c r="M255" s="177"/>
      <c r="N255" s="177"/>
      <c r="O255" s="177"/>
      <c r="P255" s="177"/>
      <c r="Q255" s="177" t="s">
        <v>967</v>
      </c>
      <c r="R255" s="177"/>
      <c r="S255" s="177"/>
      <c r="T255" s="177"/>
      <c r="U255" s="177"/>
      <c r="V255" s="177"/>
      <c r="W255" s="177"/>
      <c r="X255" s="177"/>
      <c r="Y255" s="177"/>
    </row>
    <row r="256" spans="1:25">
      <c r="A256" s="192" t="s">
        <v>968</v>
      </c>
      <c r="B256" s="177"/>
      <c r="C256" s="177"/>
      <c r="D256" s="177"/>
      <c r="E256" s="177"/>
      <c r="F256" s="177"/>
      <c r="G256" s="177"/>
      <c r="H256" s="177"/>
      <c r="I256" s="177"/>
      <c r="J256" s="178"/>
      <c r="K256" s="177"/>
      <c r="L256" s="177"/>
      <c r="M256" s="177"/>
      <c r="N256" s="177"/>
      <c r="O256" s="177"/>
      <c r="P256" s="177"/>
      <c r="Q256" s="177" t="s">
        <v>969</v>
      </c>
      <c r="R256" s="177"/>
      <c r="S256" s="177"/>
      <c r="T256" s="177"/>
      <c r="U256" s="177"/>
      <c r="V256" s="177"/>
      <c r="W256" s="177"/>
      <c r="X256" s="177"/>
      <c r="Y256" s="177"/>
    </row>
    <row r="257" spans="1:25">
      <c r="A257" s="177" t="s">
        <v>970</v>
      </c>
      <c r="B257" s="177"/>
      <c r="C257" s="177"/>
      <c r="D257" s="177"/>
      <c r="E257" s="177"/>
      <c r="F257" s="177"/>
      <c r="G257" s="177"/>
      <c r="H257" s="177"/>
      <c r="I257" s="177"/>
      <c r="J257" s="178"/>
      <c r="K257" s="177"/>
      <c r="L257" s="177"/>
      <c r="M257" s="177"/>
      <c r="N257" s="177"/>
      <c r="O257" s="177"/>
      <c r="P257" s="177"/>
      <c r="Q257" s="177" t="s">
        <v>971</v>
      </c>
      <c r="R257" s="177"/>
      <c r="S257" s="177"/>
      <c r="T257" s="177"/>
      <c r="U257" s="177"/>
      <c r="V257" s="177"/>
      <c r="W257" s="177"/>
      <c r="X257" s="177"/>
      <c r="Y257" s="177"/>
    </row>
    <row r="258" spans="1:25">
      <c r="A258" s="177"/>
      <c r="B258" s="177"/>
      <c r="C258" s="177"/>
      <c r="D258" s="177"/>
      <c r="E258" s="177"/>
      <c r="F258" s="177"/>
      <c r="G258" s="177"/>
      <c r="H258" s="177"/>
      <c r="I258" s="177"/>
      <c r="J258" s="178"/>
      <c r="K258" s="177"/>
      <c r="L258" s="177"/>
      <c r="M258" s="177"/>
      <c r="N258" s="177"/>
      <c r="O258" s="177"/>
      <c r="P258" s="177"/>
      <c r="Q258" s="177" t="s">
        <v>972</v>
      </c>
      <c r="R258" s="177"/>
      <c r="S258" s="177"/>
      <c r="T258" s="177"/>
      <c r="U258" s="177"/>
      <c r="V258" s="177"/>
      <c r="W258" s="177"/>
      <c r="X258" s="177"/>
      <c r="Y258" s="177"/>
    </row>
    <row r="259" spans="1:25">
      <c r="A259" s="192" t="s">
        <v>973</v>
      </c>
      <c r="B259" s="177"/>
      <c r="C259" s="177"/>
      <c r="D259" s="177"/>
      <c r="E259" s="177"/>
      <c r="F259" s="177"/>
      <c r="G259" s="177"/>
      <c r="H259" s="177"/>
      <c r="I259" s="177"/>
      <c r="J259" s="178"/>
      <c r="K259" s="177"/>
      <c r="L259" s="177"/>
      <c r="M259" s="177"/>
      <c r="N259" s="177"/>
      <c r="O259" s="177"/>
      <c r="P259" s="177"/>
      <c r="Q259" s="177" t="s">
        <v>974</v>
      </c>
      <c r="R259" s="177"/>
      <c r="S259" s="177"/>
      <c r="T259" s="177"/>
      <c r="U259" s="177"/>
      <c r="V259" s="177"/>
      <c r="W259" s="177"/>
      <c r="X259" s="177"/>
      <c r="Y259" s="177"/>
    </row>
    <row r="260" spans="1:25">
      <c r="A260" s="177" t="s">
        <v>975</v>
      </c>
      <c r="B260" s="177"/>
      <c r="C260" s="177"/>
      <c r="D260" s="177"/>
      <c r="E260" s="177"/>
      <c r="F260" s="177"/>
      <c r="G260" s="177"/>
      <c r="H260" s="177"/>
      <c r="I260" s="177"/>
      <c r="J260" s="178"/>
      <c r="K260" s="177"/>
      <c r="L260" s="177"/>
      <c r="M260" s="177"/>
      <c r="N260" s="177"/>
      <c r="O260" s="177"/>
      <c r="P260" s="177"/>
      <c r="Q260" s="177" t="s">
        <v>976</v>
      </c>
      <c r="R260" s="177"/>
      <c r="S260" s="177"/>
      <c r="T260" s="177"/>
      <c r="U260" s="177"/>
      <c r="V260" s="177"/>
      <c r="W260" s="177"/>
      <c r="X260" s="177"/>
      <c r="Y260" s="177"/>
    </row>
    <row r="261" spans="1:25">
      <c r="A261" s="177"/>
      <c r="B261" s="177"/>
      <c r="C261" s="177"/>
      <c r="D261" s="177"/>
      <c r="E261" s="177"/>
      <c r="F261" s="177"/>
      <c r="G261" s="177"/>
      <c r="H261" s="177"/>
      <c r="I261" s="177"/>
      <c r="J261" s="178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</row>
    <row r="262" spans="1:25">
      <c r="A262" s="192" t="s">
        <v>977</v>
      </c>
      <c r="B262" s="177"/>
      <c r="C262" s="177"/>
      <c r="D262" s="177"/>
      <c r="E262" s="177"/>
      <c r="F262" s="177"/>
      <c r="G262" s="177"/>
      <c r="H262" s="177"/>
      <c r="I262" s="177"/>
      <c r="J262" s="178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</row>
    <row r="263" spans="1:25">
      <c r="A263" s="177" t="s">
        <v>978</v>
      </c>
      <c r="B263" s="177"/>
      <c r="C263" s="177"/>
      <c r="D263" s="177"/>
      <c r="E263" s="177"/>
      <c r="F263" s="177"/>
      <c r="G263" s="177"/>
      <c r="H263" s="177"/>
      <c r="I263" s="177"/>
      <c r="J263" s="178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</row>
    <row r="264" spans="1:25">
      <c r="A264" s="177" t="s">
        <v>979</v>
      </c>
      <c r="B264" s="177"/>
      <c r="C264" s="177"/>
      <c r="D264" s="177"/>
      <c r="E264" s="177"/>
      <c r="F264" s="177"/>
      <c r="G264" s="177"/>
      <c r="H264" s="177"/>
      <c r="I264" s="177"/>
      <c r="J264" s="178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</row>
    <row r="265" spans="1:25">
      <c r="A265" s="177"/>
      <c r="B265" s="177"/>
      <c r="C265" s="177"/>
      <c r="D265" s="177"/>
      <c r="E265" s="177"/>
      <c r="F265" s="177"/>
      <c r="G265" s="177"/>
      <c r="H265" s="177"/>
      <c r="I265" s="177"/>
      <c r="J265" s="178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</row>
    <row r="266" spans="1:25">
      <c r="A266" s="192" t="s">
        <v>980</v>
      </c>
      <c r="B266" s="177"/>
      <c r="C266" s="177"/>
      <c r="D266" s="177"/>
      <c r="E266" s="177"/>
      <c r="F266" s="177"/>
      <c r="G266" s="177"/>
      <c r="H266" s="177"/>
      <c r="I266" s="177"/>
      <c r="J266" s="178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</row>
    <row r="267" spans="1:25">
      <c r="A267" s="177"/>
      <c r="B267" s="177"/>
      <c r="C267" s="177"/>
      <c r="D267" s="177"/>
      <c r="E267" s="177"/>
      <c r="F267" s="177"/>
      <c r="G267" s="177"/>
      <c r="H267" s="177"/>
      <c r="I267" s="177"/>
      <c r="J267" s="178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</row>
    <row r="268" spans="1:25">
      <c r="A268" s="177" t="s">
        <v>981</v>
      </c>
      <c r="B268" s="177"/>
      <c r="C268" s="177"/>
      <c r="D268" s="177"/>
      <c r="E268" s="177"/>
      <c r="F268" s="177"/>
      <c r="G268" s="177"/>
      <c r="H268" s="177"/>
      <c r="I268" s="177"/>
      <c r="J268" s="178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</row>
    <row r="269" spans="1:25">
      <c r="A269" s="177" t="s">
        <v>982</v>
      </c>
      <c r="B269" s="177"/>
      <c r="C269" s="177"/>
      <c r="D269" s="177"/>
      <c r="E269" s="177"/>
      <c r="F269" s="177"/>
      <c r="G269" s="177"/>
      <c r="H269" s="177"/>
      <c r="I269" s="177"/>
      <c r="J269" s="178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</row>
    <row r="270" spans="1:25">
      <c r="A270" s="177" t="s">
        <v>983</v>
      </c>
      <c r="B270" s="177"/>
      <c r="C270" s="177"/>
      <c r="D270" s="177"/>
      <c r="E270" s="177"/>
      <c r="F270" s="177"/>
      <c r="G270" s="177"/>
      <c r="H270" s="177"/>
      <c r="I270" s="177"/>
      <c r="J270" s="178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</row>
    <row r="271" spans="1:25">
      <c r="A271" s="177" t="s">
        <v>984</v>
      </c>
      <c r="B271" s="177"/>
      <c r="C271" s="177"/>
      <c r="D271" s="177"/>
      <c r="E271" s="177"/>
      <c r="F271" s="177"/>
      <c r="G271" s="177"/>
      <c r="H271" s="177"/>
      <c r="I271" s="177"/>
      <c r="J271" s="178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</row>
    <row r="272" spans="1:25">
      <c r="A272" s="177"/>
      <c r="B272" s="177"/>
      <c r="C272" s="177"/>
      <c r="D272" s="177"/>
      <c r="E272" s="177"/>
      <c r="F272" s="177"/>
      <c r="G272" s="177"/>
      <c r="H272" s="177"/>
      <c r="I272" s="177"/>
      <c r="J272" s="178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</row>
    <row r="273" spans="1:25">
      <c r="A273" s="177" t="s">
        <v>985</v>
      </c>
      <c r="B273" s="177"/>
      <c r="C273" s="177"/>
      <c r="D273" s="177"/>
      <c r="E273" s="177"/>
      <c r="F273" s="177"/>
      <c r="G273" s="177"/>
      <c r="H273" s="177"/>
      <c r="I273" s="177"/>
      <c r="J273" s="178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</row>
    <row r="274" spans="1:25">
      <c r="A274" s="177" t="s">
        <v>986</v>
      </c>
      <c r="B274" s="177"/>
      <c r="C274" s="177"/>
      <c r="D274" s="177"/>
      <c r="E274" s="177"/>
      <c r="F274" s="177"/>
      <c r="G274" s="177"/>
      <c r="H274" s="177"/>
      <c r="I274" s="177"/>
      <c r="J274" s="178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</row>
    <row r="275" spans="1:25">
      <c r="A275" s="177" t="s">
        <v>987</v>
      </c>
      <c r="B275" s="177"/>
      <c r="C275" s="177"/>
      <c r="D275" s="177"/>
      <c r="E275" s="177"/>
      <c r="F275" s="177"/>
      <c r="G275" s="177"/>
      <c r="H275" s="177"/>
      <c r="I275" s="177"/>
      <c r="J275" s="178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</row>
    <row r="276" spans="1:25">
      <c r="A276" s="177"/>
      <c r="B276" s="177"/>
      <c r="C276" s="177"/>
      <c r="D276" s="177"/>
      <c r="E276" s="177"/>
      <c r="F276" s="177"/>
      <c r="G276" s="177"/>
      <c r="H276" s="177"/>
      <c r="I276" s="177"/>
      <c r="J276" s="178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</row>
    <row r="277" spans="1:25">
      <c r="A277" s="177"/>
      <c r="B277" s="177"/>
      <c r="C277" s="177"/>
      <c r="D277" s="177"/>
      <c r="E277" s="177"/>
      <c r="F277" s="177"/>
      <c r="G277" s="177"/>
      <c r="H277" s="177"/>
      <c r="I277" s="177"/>
      <c r="J277" s="178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</row>
    <row r="278" spans="1:25">
      <c r="A278" s="177"/>
      <c r="B278" s="177"/>
      <c r="C278" s="177"/>
      <c r="D278" s="177"/>
      <c r="E278" s="177"/>
      <c r="F278" s="177"/>
      <c r="G278" s="177"/>
      <c r="H278" s="177"/>
      <c r="I278" s="177"/>
      <c r="J278" s="178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</row>
    <row r="279" spans="1:25">
      <c r="A279" s="177"/>
      <c r="B279" s="177"/>
      <c r="C279" s="177"/>
      <c r="D279" s="177"/>
      <c r="E279" s="177"/>
      <c r="F279" s="177"/>
      <c r="G279" s="177"/>
      <c r="H279" s="177"/>
      <c r="I279" s="177"/>
      <c r="J279" s="178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</row>
    <row r="280" spans="1:25">
      <c r="A280" s="177"/>
      <c r="B280" s="457" t="s">
        <v>1580</v>
      </c>
      <c r="C280" s="177"/>
      <c r="D280" s="177" t="s">
        <v>1581</v>
      </c>
      <c r="E280" s="177"/>
      <c r="F280" s="177"/>
      <c r="G280" s="177"/>
      <c r="H280" s="177"/>
      <c r="I280" s="177"/>
      <c r="J280" s="178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</row>
    <row r="281" spans="1:25">
      <c r="A281" s="177"/>
      <c r="B281" s="177"/>
      <c r="C281" s="177"/>
      <c r="D281" s="177"/>
      <c r="E281" s="177"/>
      <c r="F281" s="177"/>
      <c r="G281" s="177"/>
      <c r="H281" s="177"/>
      <c r="I281" s="177"/>
      <c r="J281" s="178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</row>
    <row r="282" spans="1:25">
      <c r="A282" s="177"/>
      <c r="B282" s="461" t="s">
        <v>1612</v>
      </c>
      <c r="C282" s="177"/>
      <c r="D282" s="177"/>
      <c r="E282" s="177"/>
      <c r="F282" s="177"/>
      <c r="G282" s="177"/>
      <c r="H282" s="177"/>
      <c r="I282" s="177"/>
      <c r="J282" s="178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</row>
    <row r="283" spans="1:25">
      <c r="A283" s="177"/>
      <c r="B283" s="177"/>
      <c r="C283" s="177"/>
      <c r="D283" s="177"/>
      <c r="E283" s="177"/>
      <c r="F283" s="177"/>
      <c r="G283" s="177"/>
      <c r="H283" s="177"/>
      <c r="I283" s="177"/>
      <c r="J283" s="178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</row>
    <row r="284" spans="1:25">
      <c r="A284" s="177"/>
      <c r="B284" s="458" t="s">
        <v>1582</v>
      </c>
      <c r="C284" s="177"/>
      <c r="D284" s="177"/>
      <c r="E284" s="177"/>
      <c r="F284" s="177"/>
      <c r="G284" s="177"/>
      <c r="H284" s="177"/>
      <c r="I284" s="177"/>
      <c r="J284" s="178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</row>
    <row r="285" spans="1:25">
      <c r="A285" s="177"/>
      <c r="B285" s="459" t="s">
        <v>1583</v>
      </c>
      <c r="C285" s="177"/>
      <c r="D285" s="177"/>
      <c r="E285" s="177"/>
      <c r="F285" s="177"/>
      <c r="G285" s="177"/>
      <c r="H285" s="177"/>
      <c r="I285" s="177"/>
      <c r="J285" s="178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</row>
    <row r="286" spans="1:25">
      <c r="B286" s="459" t="s">
        <v>1613</v>
      </c>
    </row>
    <row r="287" spans="1:25">
      <c r="B287" s="459" t="s">
        <v>1584</v>
      </c>
    </row>
    <row r="289" spans="2:2">
      <c r="B289" s="459" t="s">
        <v>1585</v>
      </c>
    </row>
    <row r="290" spans="2:2">
      <c r="B290" s="459" t="s">
        <v>1586</v>
      </c>
    </row>
    <row r="292" spans="2:2">
      <c r="B292" s="459"/>
    </row>
    <row r="293" spans="2:2">
      <c r="B293" s="460" t="s">
        <v>1587</v>
      </c>
    </row>
    <row r="294" spans="2:2">
      <c r="B294" s="459" t="s">
        <v>1588</v>
      </c>
    </row>
    <row r="295" spans="2:2">
      <c r="B295" s="459" t="s">
        <v>1589</v>
      </c>
    </row>
    <row r="296" spans="2:2">
      <c r="B296" s="459" t="s">
        <v>1590</v>
      </c>
    </row>
    <row r="297" spans="2:2">
      <c r="B297" s="459" t="s">
        <v>1591</v>
      </c>
    </row>
    <row r="299" spans="2:2">
      <c r="B299" s="459" t="s">
        <v>1592</v>
      </c>
    </row>
    <row r="301" spans="2:2">
      <c r="B301" s="459" t="s">
        <v>1593</v>
      </c>
    </row>
    <row r="302" spans="2:2">
      <c r="B302" s="459" t="s">
        <v>1594</v>
      </c>
    </row>
    <row r="303" spans="2:2">
      <c r="B303" s="459" t="s">
        <v>1611</v>
      </c>
    </row>
    <row r="304" spans="2:2">
      <c r="B304" s="459" t="s">
        <v>1595</v>
      </c>
    </row>
    <row r="305" spans="2:2">
      <c r="B305" s="459" t="s">
        <v>1596</v>
      </c>
    </row>
    <row r="306" spans="2:2">
      <c r="B306" s="459" t="s">
        <v>1597</v>
      </c>
    </row>
    <row r="307" spans="2:2">
      <c r="B307" s="459" t="s">
        <v>1598</v>
      </c>
    </row>
    <row r="308" spans="2:2">
      <c r="B308" s="459" t="s">
        <v>1599</v>
      </c>
    </row>
    <row r="309" spans="2:2">
      <c r="B309" s="459" t="s">
        <v>1600</v>
      </c>
    </row>
    <row r="310" spans="2:2">
      <c r="B310" s="459" t="s">
        <v>1601</v>
      </c>
    </row>
    <row r="311" spans="2:2">
      <c r="B311" s="459" t="s">
        <v>1602</v>
      </c>
    </row>
    <row r="313" spans="2:2">
      <c r="B313" s="459" t="s">
        <v>1603</v>
      </c>
    </row>
    <row r="315" spans="2:2">
      <c r="B315" s="459" t="s">
        <v>1604</v>
      </c>
    </row>
    <row r="317" spans="2:2">
      <c r="B317" s="458" t="s">
        <v>1605</v>
      </c>
    </row>
    <row r="319" spans="2:2">
      <c r="B319" s="459" t="s">
        <v>1609</v>
      </c>
    </row>
    <row r="320" spans="2:2">
      <c r="B320" s="459" t="s">
        <v>1610</v>
      </c>
    </row>
    <row r="322" spans="2:2">
      <c r="B322" s="459" t="s">
        <v>1606</v>
      </c>
    </row>
    <row r="324" spans="2:2">
      <c r="B324" s="15" t="s">
        <v>1607</v>
      </c>
    </row>
    <row r="326" spans="2:2">
      <c r="B326" s="459" t="s">
        <v>1608</v>
      </c>
    </row>
  </sheetData>
  <mergeCells count="5">
    <mergeCell ref="D195:F195"/>
    <mergeCell ref="G203:H203"/>
    <mergeCell ref="G204:H204"/>
    <mergeCell ref="D213:E213"/>
    <mergeCell ref="D219:E219"/>
  </mergeCells>
  <phoneticPr fontId="2" type="noConversion"/>
  <hyperlinks>
    <hyperlink ref="B22" r:id="rId1" location=":~:text=%EB%B2%95%EA%B3%BC%20%EC%9D%B4%20%EC%98%81%EC%97%90%EC%84%9C%20%ED%86%B5%EC%83%81,%EB%98%90%EB%8A%94%20%EB%8F%84%EA%B8%89%20%EA%B8%88%EC%95%A1%EC%9D%84%20%EB%A7%90%ED%95%9C%EB%8B%A4." display="근로기준법상 통상임금이라" xr:uid="{527AED6D-BF97-4A03-A596-AE018E5F30DF}"/>
    <hyperlink ref="B53" r:id="rId2" xr:uid="{632C4B89-2F60-4B51-B806-EDE6D50A6DCD}"/>
    <hyperlink ref="B2" r:id="rId3" xr:uid="{030858B6-92F5-44B2-A3DF-B240AD2CCDA6}"/>
    <hyperlink ref="E2" r:id="rId4" xr:uid="{C5C32920-0146-43FB-9A55-53D5959EC124}"/>
    <hyperlink ref="I2" r:id="rId5" xr:uid="{52EE1EB4-E130-4552-9B89-F13F8EEEE1D7}"/>
    <hyperlink ref="V2" r:id="rId6" xr:uid="{48284281-E31B-43E5-9434-0F947F46C834}"/>
    <hyperlink ref="B280" r:id="rId7" xr:uid="{976C40AF-1EF9-4BB8-ADCE-99DE1C11A930}"/>
    <hyperlink ref="B324" r:id="rId8" location="AJAX" display="https://www.law.go.kr/LSW/admRulInfoP.do?admRulSeq=2000000021031&amp;chrClsCd=010201 - AJAX" xr:uid="{3031334E-08D3-4B7A-92D2-31136416D6F7}"/>
  </hyperlinks>
  <pageMargins left="0.7" right="0.7" top="0.75" bottom="0.75" header="0.3" footer="0.3"/>
  <pageSetup paperSize="9" orientation="portrait" verticalDpi="0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2A266-DAAF-44DD-ACA0-771BD431DE76}">
  <sheetPr codeName="Sheet5"/>
  <dimension ref="B1:X90"/>
  <sheetViews>
    <sheetView showGridLines="0" topLeftCell="A13" workbookViewId="0">
      <selection activeCell="C49" sqref="C49"/>
    </sheetView>
  </sheetViews>
  <sheetFormatPr defaultRowHeight="16.5"/>
  <cols>
    <col min="2" max="2" width="12.75" customWidth="1"/>
    <col min="12" max="12" width="11.375" customWidth="1"/>
  </cols>
  <sheetData>
    <row r="1" spans="2:2">
      <c r="B1" s="263" t="s">
        <v>1821</v>
      </c>
    </row>
    <row r="2" spans="2:2">
      <c r="B2" t="s">
        <v>1822</v>
      </c>
    </row>
    <row r="4" spans="2:2">
      <c r="B4" s="31" t="s">
        <v>1823</v>
      </c>
    </row>
    <row r="5" spans="2:2">
      <c r="B5" s="31" t="s">
        <v>1833</v>
      </c>
    </row>
    <row r="6" spans="2:2">
      <c r="B6" t="s">
        <v>1834</v>
      </c>
    </row>
    <row r="7" spans="2:2">
      <c r="B7" t="s">
        <v>1838</v>
      </c>
    </row>
    <row r="10" spans="2:2">
      <c r="B10" s="263" t="s">
        <v>1832</v>
      </c>
    </row>
    <row r="11" spans="2:2">
      <c r="B11" t="s">
        <v>1837</v>
      </c>
    </row>
    <row r="13" spans="2:2">
      <c r="B13" t="s">
        <v>1828</v>
      </c>
    </row>
    <row r="14" spans="2:2">
      <c r="B14" t="s">
        <v>1836</v>
      </c>
    </row>
    <row r="15" spans="2:2">
      <c r="B15" t="s">
        <v>1835</v>
      </c>
    </row>
    <row r="16" spans="2:2">
      <c r="B16" t="s">
        <v>1831</v>
      </c>
    </row>
    <row r="18" spans="2:21">
      <c r="L18" t="s">
        <v>1839</v>
      </c>
    </row>
    <row r="20" spans="2:21">
      <c r="B20" s="263" t="s">
        <v>1423</v>
      </c>
      <c r="L20" s="31" t="s">
        <v>779</v>
      </c>
    </row>
    <row r="21" spans="2:21">
      <c r="B21" s="365" t="s">
        <v>310</v>
      </c>
      <c r="C21" s="365" t="s">
        <v>64</v>
      </c>
    </row>
    <row r="22" spans="2:21">
      <c r="B22" s="40">
        <v>30</v>
      </c>
      <c r="C22" s="39">
        <f>B22/60</f>
        <v>0.5</v>
      </c>
      <c r="M22" s="528" t="s">
        <v>582</v>
      </c>
      <c r="N22" s="528" t="s">
        <v>612</v>
      </c>
      <c r="O22" s="528" t="s">
        <v>1334</v>
      </c>
      <c r="P22" s="528" t="s">
        <v>1335</v>
      </c>
      <c r="Q22" s="528" t="s">
        <v>1336</v>
      </c>
      <c r="R22" s="528" t="s">
        <v>1337</v>
      </c>
      <c r="S22" s="528" t="s">
        <v>408</v>
      </c>
    </row>
    <row r="23" spans="2:21">
      <c r="B23" s="40">
        <v>10</v>
      </c>
      <c r="C23" s="39">
        <f t="shared" ref="C23:C28" si="0">B23/60</f>
        <v>0.16666666666666666</v>
      </c>
      <c r="L23" s="528" t="s">
        <v>776</v>
      </c>
      <c r="M23" s="352">
        <v>0.41666666666666669</v>
      </c>
      <c r="N23" s="352">
        <f>$M$23</f>
        <v>0.41666666666666669</v>
      </c>
      <c r="O23" s="352">
        <f t="shared" ref="O23:Q23" si="1">$M$23</f>
        <v>0.41666666666666669</v>
      </c>
      <c r="P23" s="352">
        <f t="shared" si="1"/>
        <v>0.41666666666666669</v>
      </c>
      <c r="Q23" s="352">
        <f t="shared" si="1"/>
        <v>0.41666666666666669</v>
      </c>
      <c r="R23" s="352"/>
    </row>
    <row r="24" spans="2:21">
      <c r="B24" s="40">
        <v>20</v>
      </c>
      <c r="C24" s="39">
        <f t="shared" si="0"/>
        <v>0.33333333333333331</v>
      </c>
      <c r="L24" s="712" t="s">
        <v>1338</v>
      </c>
      <c r="M24" s="533">
        <v>0.52083333333333337</v>
      </c>
      <c r="N24" s="533">
        <f>$M$24</f>
        <v>0.52083333333333337</v>
      </c>
      <c r="O24" s="533">
        <f t="shared" ref="O24:Q24" si="2">$M$24</f>
        <v>0.52083333333333337</v>
      </c>
      <c r="P24" s="533">
        <f t="shared" si="2"/>
        <v>0.52083333333333337</v>
      </c>
      <c r="Q24" s="533">
        <f t="shared" si="2"/>
        <v>0.52083333333333337</v>
      </c>
      <c r="R24" s="533"/>
      <c r="S24" s="534"/>
    </row>
    <row r="25" spans="2:21">
      <c r="B25" s="40">
        <v>30</v>
      </c>
      <c r="C25" s="39">
        <f t="shared" si="0"/>
        <v>0.5</v>
      </c>
      <c r="L25" s="713"/>
      <c r="M25" s="533">
        <v>0.5625</v>
      </c>
      <c r="N25" s="533">
        <f>$M$25</f>
        <v>0.5625</v>
      </c>
      <c r="O25" s="533">
        <f t="shared" ref="O25:Q25" si="3">$M$25</f>
        <v>0.5625</v>
      </c>
      <c r="P25" s="533">
        <f t="shared" si="3"/>
        <v>0.5625</v>
      </c>
      <c r="Q25" s="533">
        <f t="shared" si="3"/>
        <v>0.5625</v>
      </c>
      <c r="R25" s="533"/>
      <c r="S25" s="534"/>
    </row>
    <row r="26" spans="2:21">
      <c r="B26" s="40">
        <v>40</v>
      </c>
      <c r="C26" s="39">
        <f t="shared" si="0"/>
        <v>0.66666666666666663</v>
      </c>
      <c r="L26" s="528" t="s">
        <v>778</v>
      </c>
      <c r="M26" s="352">
        <v>0.70833333333333337</v>
      </c>
      <c r="N26" s="352">
        <f>$M$26</f>
        <v>0.70833333333333337</v>
      </c>
      <c r="O26" s="352">
        <f t="shared" ref="O26:Q26" si="4">$M$26</f>
        <v>0.70833333333333337</v>
      </c>
      <c r="P26" s="352">
        <f t="shared" si="4"/>
        <v>0.70833333333333337</v>
      </c>
      <c r="Q26" s="352">
        <f t="shared" si="4"/>
        <v>0.70833333333333337</v>
      </c>
      <c r="R26" s="352"/>
    </row>
    <row r="27" spans="2:21">
      <c r="B27" s="40">
        <v>50</v>
      </c>
      <c r="C27" s="39">
        <f t="shared" si="0"/>
        <v>0.83333333333333337</v>
      </c>
      <c r="M27" s="528"/>
      <c r="N27" s="528"/>
      <c r="O27" s="528"/>
      <c r="P27" s="528"/>
      <c r="Q27" s="528"/>
      <c r="R27" s="528"/>
    </row>
    <row r="28" spans="2:21">
      <c r="B28" s="40">
        <v>60</v>
      </c>
      <c r="C28" s="39">
        <f t="shared" si="0"/>
        <v>1</v>
      </c>
      <c r="M28" s="352">
        <f>M24-M23</f>
        <v>0.10416666666666669</v>
      </c>
      <c r="N28" s="352">
        <f t="shared" ref="N28:Q28" si="5">N24-N23</f>
        <v>0.10416666666666669</v>
      </c>
      <c r="O28" s="352">
        <f t="shared" si="5"/>
        <v>0.10416666666666669</v>
      </c>
      <c r="P28" s="352">
        <f t="shared" si="5"/>
        <v>0.10416666666666669</v>
      </c>
      <c r="Q28" s="352">
        <f t="shared" si="5"/>
        <v>0.10416666666666669</v>
      </c>
      <c r="R28" s="528"/>
    </row>
    <row r="29" spans="2:21" ht="17.25" thickBot="1">
      <c r="M29" s="354">
        <f>M26-M25</f>
        <v>0.14583333333333337</v>
      </c>
      <c r="N29" s="354">
        <f t="shared" ref="N29:Q29" si="6">N26-N25</f>
        <v>0.14583333333333337</v>
      </c>
      <c r="O29" s="354">
        <f t="shared" si="6"/>
        <v>0.14583333333333337</v>
      </c>
      <c r="P29" s="354">
        <f t="shared" si="6"/>
        <v>0.14583333333333337</v>
      </c>
      <c r="Q29" s="354">
        <f t="shared" si="6"/>
        <v>0.14583333333333337</v>
      </c>
      <c r="R29" s="355"/>
    </row>
    <row r="30" spans="2:21">
      <c r="L30" s="395" t="s">
        <v>616</v>
      </c>
      <c r="M30" s="394">
        <f>SUM(M28:M29)</f>
        <v>0.25000000000000006</v>
      </c>
      <c r="N30" s="394">
        <f t="shared" ref="N30:Q30" si="7">SUM(N28:N29)</f>
        <v>0.25000000000000006</v>
      </c>
      <c r="O30" s="394">
        <f t="shared" si="7"/>
        <v>0.25000000000000006</v>
      </c>
      <c r="P30" s="394">
        <f t="shared" si="7"/>
        <v>0.25000000000000006</v>
      </c>
      <c r="Q30" s="394">
        <f t="shared" si="7"/>
        <v>0.25000000000000006</v>
      </c>
      <c r="R30" s="394">
        <f>R26-R23</f>
        <v>0</v>
      </c>
      <c r="U30" s="353">
        <f>SUM(M30:T30)*24</f>
        <v>30.000000000000007</v>
      </c>
    </row>
    <row r="32" spans="2:21">
      <c r="L32" t="s">
        <v>620</v>
      </c>
      <c r="M32" s="352">
        <f>M25-M24</f>
        <v>4.166666666666663E-2</v>
      </c>
      <c r="N32" s="352">
        <f t="shared" ref="N32:Q32" si="8">N25-N24</f>
        <v>4.166666666666663E-2</v>
      </c>
      <c r="O32" s="352">
        <f t="shared" si="8"/>
        <v>4.166666666666663E-2</v>
      </c>
      <c r="P32" s="352">
        <f t="shared" si="8"/>
        <v>4.166666666666663E-2</v>
      </c>
      <c r="Q32" s="352">
        <f t="shared" si="8"/>
        <v>4.166666666666663E-2</v>
      </c>
    </row>
    <row r="33" spans="2:18">
      <c r="B33" s="31" t="s">
        <v>779</v>
      </c>
      <c r="R33" t="s">
        <v>1348</v>
      </c>
    </row>
    <row r="35" spans="2:18">
      <c r="C35" s="1" t="s">
        <v>582</v>
      </c>
      <c r="D35" s="1" t="s">
        <v>612</v>
      </c>
      <c r="E35" s="1" t="s">
        <v>1334</v>
      </c>
      <c r="F35" s="1" t="s">
        <v>1335</v>
      </c>
      <c r="G35" s="1" t="s">
        <v>1336</v>
      </c>
      <c r="H35" s="1" t="s">
        <v>1337</v>
      </c>
      <c r="I35" s="1" t="s">
        <v>408</v>
      </c>
      <c r="M35" t="s">
        <v>1339</v>
      </c>
    </row>
    <row r="36" spans="2:18">
      <c r="B36" s="1" t="s">
        <v>776</v>
      </c>
      <c r="C36" s="352">
        <v>0.39583333333333331</v>
      </c>
      <c r="D36" s="352">
        <v>0.39583333333333331</v>
      </c>
      <c r="E36" s="352">
        <v>0.39583333333333331</v>
      </c>
      <c r="F36" s="352">
        <v>0.39583333333333331</v>
      </c>
      <c r="G36" s="352">
        <v>0.39583333333333331</v>
      </c>
      <c r="H36" s="352">
        <v>0.39583333333333331</v>
      </c>
      <c r="M36" t="s">
        <v>1340</v>
      </c>
    </row>
    <row r="37" spans="2:18">
      <c r="B37" s="712" t="s">
        <v>1338</v>
      </c>
      <c r="C37" s="352">
        <v>0.52083333333333337</v>
      </c>
      <c r="D37" s="352">
        <v>0.52083333333333337</v>
      </c>
      <c r="E37" s="352">
        <v>0.52083333333333337</v>
      </c>
      <c r="F37" s="352">
        <v>0.52083333333333337</v>
      </c>
      <c r="G37" s="352">
        <v>0.52083333333333337</v>
      </c>
      <c r="H37" s="1"/>
      <c r="M37" t="s">
        <v>1341</v>
      </c>
    </row>
    <row r="38" spans="2:18">
      <c r="B38" s="713"/>
      <c r="C38" s="352">
        <v>0.58333333333333337</v>
      </c>
      <c r="D38" s="352">
        <v>0.58333333333333337</v>
      </c>
      <c r="E38" s="352">
        <v>0.58333333333333337</v>
      </c>
      <c r="F38" s="352">
        <v>0.58333333333333337</v>
      </c>
      <c r="G38" s="352">
        <v>0.58333333333333337</v>
      </c>
      <c r="H38" s="1"/>
    </row>
    <row r="39" spans="2:18">
      <c r="B39" s="1" t="s">
        <v>778</v>
      </c>
      <c r="C39" s="352">
        <v>0.79166666666666663</v>
      </c>
      <c r="D39" s="352">
        <v>0.79166666666666663</v>
      </c>
      <c r="E39" s="352">
        <v>0.79166666666666663</v>
      </c>
      <c r="F39" s="352">
        <v>0.79166666666666663</v>
      </c>
      <c r="G39" s="352">
        <v>0.79166666666666663</v>
      </c>
      <c r="H39" s="352">
        <v>0.58333333333333337</v>
      </c>
    </row>
    <row r="40" spans="2:18">
      <c r="C40" s="1"/>
      <c r="D40" s="1"/>
      <c r="E40" s="1"/>
      <c r="F40" s="1"/>
      <c r="G40" s="1"/>
      <c r="H40" s="1"/>
      <c r="M40" t="s">
        <v>1342</v>
      </c>
    </row>
    <row r="41" spans="2:18">
      <c r="C41" s="352">
        <f>C37-C36</f>
        <v>0.12500000000000006</v>
      </c>
      <c r="D41" s="352">
        <f t="shared" ref="D41:G41" si="9">D37-D36</f>
        <v>0.12500000000000006</v>
      </c>
      <c r="E41" s="352">
        <f t="shared" si="9"/>
        <v>0.12500000000000006</v>
      </c>
      <c r="F41" s="352">
        <f t="shared" si="9"/>
        <v>0.12500000000000006</v>
      </c>
      <c r="G41" s="352">
        <f t="shared" si="9"/>
        <v>0.12500000000000006</v>
      </c>
      <c r="H41" s="1"/>
      <c r="M41" t="s">
        <v>1343</v>
      </c>
    </row>
    <row r="42" spans="2:18" ht="17.25" thickBot="1">
      <c r="C42" s="354">
        <f>C39-C38</f>
        <v>0.20833333333333326</v>
      </c>
      <c r="D42" s="354">
        <f t="shared" ref="D42:G42" si="10">D39-D38</f>
        <v>0.20833333333333326</v>
      </c>
      <c r="E42" s="354">
        <f t="shared" si="10"/>
        <v>0.20833333333333326</v>
      </c>
      <c r="F42" s="354">
        <f t="shared" si="10"/>
        <v>0.20833333333333326</v>
      </c>
      <c r="G42" s="354">
        <f t="shared" si="10"/>
        <v>0.20833333333333326</v>
      </c>
      <c r="H42" s="355"/>
    </row>
    <row r="43" spans="2:18">
      <c r="B43" s="395" t="s">
        <v>616</v>
      </c>
      <c r="C43" s="394">
        <f>SUM(C41:C42)</f>
        <v>0.33333333333333331</v>
      </c>
      <c r="D43" s="394">
        <f t="shared" ref="D43:G43" si="11">SUM(D41:D42)</f>
        <v>0.33333333333333331</v>
      </c>
      <c r="E43" s="394">
        <f t="shared" si="11"/>
        <v>0.33333333333333331</v>
      </c>
      <c r="F43" s="394">
        <f t="shared" si="11"/>
        <v>0.33333333333333331</v>
      </c>
      <c r="G43" s="394">
        <f t="shared" si="11"/>
        <v>0.33333333333333331</v>
      </c>
      <c r="H43" s="394">
        <f>H39-H36</f>
        <v>0.18750000000000006</v>
      </c>
      <c r="K43" s="353">
        <f>SUM(C43:J43)*24</f>
        <v>44.5</v>
      </c>
      <c r="M43" t="s">
        <v>1344</v>
      </c>
    </row>
    <row r="45" spans="2:18">
      <c r="B45" t="s">
        <v>620</v>
      </c>
      <c r="C45" s="352">
        <f>C38-C37</f>
        <v>6.25E-2</v>
      </c>
      <c r="D45" s="352">
        <f t="shared" ref="D45:G45" si="12">D38-D37</f>
        <v>6.25E-2</v>
      </c>
      <c r="E45" s="352">
        <f t="shared" si="12"/>
        <v>6.25E-2</v>
      </c>
      <c r="F45" s="352">
        <f t="shared" si="12"/>
        <v>6.25E-2</v>
      </c>
      <c r="G45" s="352">
        <f t="shared" si="12"/>
        <v>6.25E-2</v>
      </c>
      <c r="M45" t="s">
        <v>57</v>
      </c>
    </row>
    <row r="46" spans="2:18">
      <c r="H46" t="s">
        <v>1348</v>
      </c>
      <c r="M46" t="s">
        <v>58</v>
      </c>
    </row>
    <row r="47" spans="2:18">
      <c r="M47" t="s">
        <v>1345</v>
      </c>
    </row>
    <row r="50" spans="2:24">
      <c r="B50" t="s">
        <v>1370</v>
      </c>
      <c r="M50" s="15" t="s">
        <v>1346</v>
      </c>
    </row>
    <row r="51" spans="2:24">
      <c r="B51" t="s">
        <v>1369</v>
      </c>
      <c r="M51" t="s">
        <v>1347</v>
      </c>
    </row>
    <row r="52" spans="2:24">
      <c r="B52" s="15"/>
      <c r="M52" t="s">
        <v>227</v>
      </c>
    </row>
    <row r="53" spans="2:24">
      <c r="B53" s="15" t="s">
        <v>1349</v>
      </c>
    </row>
    <row r="54" spans="2:24">
      <c r="B54" t="s">
        <v>1350</v>
      </c>
    </row>
    <row r="55" spans="2:24">
      <c r="B55" t="s">
        <v>1351</v>
      </c>
    </row>
    <row r="57" spans="2:24">
      <c r="B57" t="s">
        <v>1368</v>
      </c>
    </row>
    <row r="58" spans="2:24">
      <c r="B58" t="s">
        <v>1352</v>
      </c>
    </row>
    <row r="60" spans="2:24" ht="17.25" thickBot="1">
      <c r="B60" t="s">
        <v>1353</v>
      </c>
    </row>
    <row r="61" spans="2:24">
      <c r="B61" t="s">
        <v>1354</v>
      </c>
      <c r="U61" s="357" t="s">
        <v>1357</v>
      </c>
      <c r="V61" s="358"/>
      <c r="W61" s="358"/>
      <c r="X61" s="359"/>
    </row>
    <row r="62" spans="2:24" ht="17.25" thickBot="1">
      <c r="U62" s="360" t="s">
        <v>1358</v>
      </c>
      <c r="V62" s="361"/>
      <c r="W62" s="361"/>
      <c r="X62" s="362"/>
    </row>
    <row r="63" spans="2:24">
      <c r="B63" t="s">
        <v>1355</v>
      </c>
    </row>
    <row r="64" spans="2:24">
      <c r="B64" t="s">
        <v>1356</v>
      </c>
    </row>
    <row r="66" spans="2:6">
      <c r="B66" s="15" t="s">
        <v>1365</v>
      </c>
      <c r="F66" t="s">
        <v>1366</v>
      </c>
    </row>
    <row r="67" spans="2:6">
      <c r="B67" s="32" t="s">
        <v>72</v>
      </c>
      <c r="E67" s="31" t="s">
        <v>1367</v>
      </c>
    </row>
    <row r="69" spans="2:6">
      <c r="B69" s="29" t="s">
        <v>73</v>
      </c>
    </row>
    <row r="71" spans="2:6">
      <c r="B71" s="29" t="s">
        <v>74</v>
      </c>
    </row>
    <row r="73" spans="2:6">
      <c r="B73" t="s">
        <v>75</v>
      </c>
    </row>
    <row r="75" spans="2:6">
      <c r="B75" s="27" t="s">
        <v>1363</v>
      </c>
    </row>
    <row r="76" spans="2:6">
      <c r="B76" s="27" t="s">
        <v>1364</v>
      </c>
    </row>
    <row r="78" spans="2:6">
      <c r="B78" t="s">
        <v>81</v>
      </c>
    </row>
    <row r="79" spans="2:6">
      <c r="B79" t="s">
        <v>1359</v>
      </c>
    </row>
    <row r="81" spans="2:2">
      <c r="B81" t="s">
        <v>82</v>
      </c>
    </row>
    <row r="83" spans="2:2">
      <c r="B83" s="356" t="s">
        <v>77</v>
      </c>
    </row>
    <row r="85" spans="2:2">
      <c r="B85" s="356" t="s">
        <v>78</v>
      </c>
    </row>
    <row r="87" spans="2:2">
      <c r="B87" s="356" t="s">
        <v>79</v>
      </c>
    </row>
    <row r="89" spans="2:2">
      <c r="B89" t="s">
        <v>1360</v>
      </c>
    </row>
    <row r="90" spans="2:2">
      <c r="B90" t="s">
        <v>1361</v>
      </c>
    </row>
  </sheetData>
  <mergeCells count="2">
    <mergeCell ref="B37:B38"/>
    <mergeCell ref="L24:L25"/>
  </mergeCells>
  <phoneticPr fontId="2" type="noConversion"/>
  <hyperlinks>
    <hyperlink ref="B53" r:id="rId1" xr:uid="{19B5B3A6-0B81-4C79-B0D0-D83DD57C04AC}"/>
    <hyperlink ref="B66" r:id="rId2" xr:uid="{58BA88E0-3F7E-4C07-A7DE-D22C47BBC588}"/>
    <hyperlink ref="M50" r:id="rId3" xr:uid="{45659F1F-713E-452B-AD4E-BEE7DA96FF27}"/>
  </hyperlinks>
  <pageMargins left="0.7" right="0.7" top="0.75" bottom="0.75" header="0.3" footer="0.3"/>
  <pageSetup paperSize="9" orientation="portrait" verticalDpi="0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4865F-C3FA-4D37-9910-1B712FE876FE}">
  <sheetPr codeName="Sheet6"/>
  <dimension ref="A2:U338"/>
  <sheetViews>
    <sheetView showGridLines="0" tabSelected="1" topLeftCell="A55" zoomScaleNormal="100" workbookViewId="0">
      <selection activeCell="G78" sqref="G78"/>
    </sheetView>
  </sheetViews>
  <sheetFormatPr defaultRowHeight="16.5"/>
  <cols>
    <col min="3" max="3" width="9.375" bestFit="1" customWidth="1"/>
    <col min="7" max="7" width="13.625" bestFit="1" customWidth="1"/>
    <col min="12" max="12" width="13.125" customWidth="1"/>
    <col min="16" max="18" width="11.25" customWidth="1"/>
    <col min="19" max="19" width="13.375" customWidth="1"/>
    <col min="20" max="20" width="21.875" bestFit="1" customWidth="1"/>
  </cols>
  <sheetData>
    <row r="2" spans="1:18">
      <c r="B2" s="15" t="s">
        <v>1011</v>
      </c>
      <c r="K2" s="15" t="s">
        <v>1080</v>
      </c>
      <c r="R2" s="15" t="s">
        <v>1149</v>
      </c>
    </row>
    <row r="4" spans="1:18">
      <c r="F4" s="123" t="s">
        <v>782</v>
      </c>
      <c r="G4" s="123" t="s">
        <v>781</v>
      </c>
      <c r="K4" s="15" t="s">
        <v>1089</v>
      </c>
    </row>
    <row r="5" spans="1:18">
      <c r="B5" s="123" t="s">
        <v>776</v>
      </c>
      <c r="C5" s="163">
        <v>0.375</v>
      </c>
      <c r="F5" s="172">
        <v>60</v>
      </c>
      <c r="G5" s="164">
        <f t="shared" ref="G5:G16" si="0">F5/60</f>
        <v>1</v>
      </c>
    </row>
    <row r="6" spans="1:18">
      <c r="B6" s="717" t="s">
        <v>777</v>
      </c>
      <c r="C6" s="163">
        <v>0.5</v>
      </c>
      <c r="F6" s="172">
        <f t="shared" ref="F6:F16" si="1">F5-5</f>
        <v>55</v>
      </c>
      <c r="G6" s="164">
        <f t="shared" si="0"/>
        <v>0.91666666666666663</v>
      </c>
      <c r="J6" t="s">
        <v>1090</v>
      </c>
    </row>
    <row r="7" spans="1:18">
      <c r="B7" s="717"/>
      <c r="C7" s="163">
        <v>0.54166666666666663</v>
      </c>
      <c r="F7" s="172">
        <f t="shared" si="1"/>
        <v>50</v>
      </c>
      <c r="G7" s="164">
        <f t="shared" si="0"/>
        <v>0.83333333333333337</v>
      </c>
      <c r="J7" t="s">
        <v>1091</v>
      </c>
    </row>
    <row r="8" spans="1:18">
      <c r="B8" s="123" t="s">
        <v>778</v>
      </c>
      <c r="C8" s="163">
        <v>0.75</v>
      </c>
      <c r="F8" s="172">
        <f t="shared" si="1"/>
        <v>45</v>
      </c>
      <c r="G8" s="164">
        <f t="shared" si="0"/>
        <v>0.75</v>
      </c>
      <c r="J8" t="s">
        <v>1092</v>
      </c>
    </row>
    <row r="9" spans="1:18">
      <c r="F9" s="172">
        <f t="shared" si="1"/>
        <v>40</v>
      </c>
      <c r="G9" s="164">
        <f t="shared" si="0"/>
        <v>0.66666666666666663</v>
      </c>
    </row>
    <row r="10" spans="1:18" ht="17.25">
      <c r="B10" s="124" t="s">
        <v>779</v>
      </c>
      <c r="C10" s="165">
        <f>C8-C5</f>
        <v>0.375</v>
      </c>
      <c r="D10" t="s">
        <v>781</v>
      </c>
      <c r="F10" s="172">
        <f t="shared" si="1"/>
        <v>35</v>
      </c>
      <c r="G10" s="164">
        <f t="shared" si="0"/>
        <v>0.58333333333333337</v>
      </c>
      <c r="I10" s="35" t="s">
        <v>226</v>
      </c>
    </row>
    <row r="11" spans="1:18">
      <c r="B11" s="124" t="s">
        <v>777</v>
      </c>
      <c r="C11" s="165">
        <f>C7-C6</f>
        <v>4.166666666666663E-2</v>
      </c>
      <c r="D11" t="s">
        <v>781</v>
      </c>
      <c r="F11" s="172">
        <f t="shared" si="1"/>
        <v>30</v>
      </c>
      <c r="G11" s="164">
        <f t="shared" si="0"/>
        <v>0.5</v>
      </c>
      <c r="I11" t="s">
        <v>784</v>
      </c>
    </row>
    <row r="12" spans="1:18">
      <c r="F12" s="172">
        <f t="shared" si="1"/>
        <v>25</v>
      </c>
      <c r="G12" s="164">
        <f t="shared" si="0"/>
        <v>0.41666666666666669</v>
      </c>
    </row>
    <row r="13" spans="1:18">
      <c r="A13" s="22" t="s">
        <v>785</v>
      </c>
      <c r="B13" s="167" t="s">
        <v>780</v>
      </c>
      <c r="C13" s="166">
        <f>C10-C11</f>
        <v>0.33333333333333337</v>
      </c>
      <c r="D13" t="s">
        <v>786</v>
      </c>
      <c r="F13" s="172">
        <f t="shared" si="1"/>
        <v>20</v>
      </c>
      <c r="G13" s="164">
        <f t="shared" si="0"/>
        <v>0.33333333333333331</v>
      </c>
    </row>
    <row r="14" spans="1:18">
      <c r="F14" s="172">
        <f t="shared" si="1"/>
        <v>15</v>
      </c>
      <c r="G14" s="164">
        <f t="shared" si="0"/>
        <v>0.25</v>
      </c>
    </row>
    <row r="15" spans="1:18">
      <c r="F15" s="172">
        <f t="shared" si="1"/>
        <v>10</v>
      </c>
      <c r="G15" s="164">
        <f t="shared" si="0"/>
        <v>0.16666666666666666</v>
      </c>
    </row>
    <row r="16" spans="1:18">
      <c r="F16" s="172">
        <f t="shared" si="1"/>
        <v>5</v>
      </c>
      <c r="G16" s="164">
        <f t="shared" si="0"/>
        <v>8.3333333333333329E-2</v>
      </c>
    </row>
    <row r="19" spans="2:2">
      <c r="B19" t="s">
        <v>1738</v>
      </c>
    </row>
    <row r="20" spans="2:2">
      <c r="B20" t="s">
        <v>1739</v>
      </c>
    </row>
    <row r="21" spans="2:2">
      <c r="B21" t="s">
        <v>1740</v>
      </c>
    </row>
    <row r="23" spans="2:2">
      <c r="B23" t="s">
        <v>1741</v>
      </c>
    </row>
    <row r="24" spans="2:2">
      <c r="B24" t="s">
        <v>1742</v>
      </c>
    </row>
    <row r="26" spans="2:2">
      <c r="B26" t="s">
        <v>1725</v>
      </c>
    </row>
    <row r="27" spans="2:2">
      <c r="B27" t="s">
        <v>1737</v>
      </c>
    </row>
    <row r="28" spans="2:2">
      <c r="B28" t="s">
        <v>1726</v>
      </c>
    </row>
    <row r="29" spans="2:2">
      <c r="B29" t="s">
        <v>1727</v>
      </c>
    </row>
    <row r="31" spans="2:2">
      <c r="B31" t="s">
        <v>1728</v>
      </c>
    </row>
    <row r="32" spans="2:2">
      <c r="B32" t="s">
        <v>1729</v>
      </c>
    </row>
    <row r="33" spans="2:19">
      <c r="B33" t="s">
        <v>1730</v>
      </c>
    </row>
    <row r="35" spans="2:19">
      <c r="B35" t="s">
        <v>1736</v>
      </c>
    </row>
    <row r="36" spans="2:19">
      <c r="B36" t="s">
        <v>1731</v>
      </c>
    </row>
    <row r="41" spans="2:19">
      <c r="B41" t="s">
        <v>672</v>
      </c>
      <c r="E41" s="287" t="s">
        <v>1163</v>
      </c>
    </row>
    <row r="43" spans="2:19">
      <c r="B43" s="104">
        <v>1</v>
      </c>
      <c r="C43" s="104">
        <v>2</v>
      </c>
      <c r="D43" s="104">
        <v>3</v>
      </c>
      <c r="E43" s="104">
        <v>4</v>
      </c>
      <c r="F43" s="104">
        <v>5</v>
      </c>
      <c r="G43" s="104">
        <v>6</v>
      </c>
      <c r="H43" s="104">
        <v>7</v>
      </c>
      <c r="J43" s="104" t="s">
        <v>665</v>
      </c>
      <c r="R43" t="s">
        <v>669</v>
      </c>
    </row>
    <row r="44" spans="2:19">
      <c r="B44" s="104" t="s">
        <v>656</v>
      </c>
      <c r="C44" s="104" t="s">
        <v>657</v>
      </c>
      <c r="D44" s="104" t="s">
        <v>658</v>
      </c>
      <c r="E44" s="104" t="s">
        <v>659</v>
      </c>
      <c r="F44" s="104" t="s">
        <v>660</v>
      </c>
      <c r="G44" s="104" t="s">
        <v>661</v>
      </c>
      <c r="H44" s="104" t="s">
        <v>662</v>
      </c>
      <c r="I44" s="290" t="s">
        <v>1164</v>
      </c>
      <c r="J44" s="105"/>
      <c r="L44" s="1" t="s">
        <v>670</v>
      </c>
      <c r="P44" s="1" t="s">
        <v>682</v>
      </c>
      <c r="R44" t="s">
        <v>680</v>
      </c>
    </row>
    <row r="45" spans="2:19">
      <c r="B45" s="8">
        <v>8</v>
      </c>
      <c r="C45" s="108">
        <f>B45</f>
        <v>8</v>
      </c>
      <c r="D45" s="108">
        <f>B45</f>
        <v>8</v>
      </c>
      <c r="E45" s="108">
        <f>B45</f>
        <v>8</v>
      </c>
      <c r="F45" s="108">
        <f>B45</f>
        <v>8</v>
      </c>
      <c r="G45" s="104" t="s">
        <v>664</v>
      </c>
      <c r="H45" s="106" t="s">
        <v>663</v>
      </c>
      <c r="I45" s="291" t="s">
        <v>671</v>
      </c>
      <c r="J45" s="109">
        <f>SUM(B45:H45)</f>
        <v>40</v>
      </c>
      <c r="K45" s="1" t="s">
        <v>666</v>
      </c>
      <c r="L45" s="113">
        <v>40</v>
      </c>
      <c r="M45" s="41" t="s">
        <v>668</v>
      </c>
      <c r="N45" s="110">
        <v>8</v>
      </c>
      <c r="O45" s="41" t="s">
        <v>668</v>
      </c>
      <c r="P45" s="111">
        <v>10000</v>
      </c>
      <c r="Q45" s="41" t="s">
        <v>667</v>
      </c>
      <c r="R45" s="107">
        <f>IF(J45&lt;15,0,J45/L45*N45*P45)</f>
        <v>80000</v>
      </c>
      <c r="S45" s="114" t="str">
        <f>IF(J45&lt;15,"15시간미만","")</f>
        <v/>
      </c>
    </row>
    <row r="46" spans="2:19">
      <c r="F46" s="20">
        <f>SUM(B45:F45)</f>
        <v>40</v>
      </c>
      <c r="P46" t="s">
        <v>683</v>
      </c>
    </row>
    <row r="48" spans="2:19">
      <c r="L48" s="110">
        <f>SUM(J45,N45)</f>
        <v>48</v>
      </c>
    </row>
    <row r="49" spans="2:19">
      <c r="L49" s="20">
        <f>L48-F46</f>
        <v>8</v>
      </c>
    </row>
    <row r="51" spans="2:19">
      <c r="B51" s="104">
        <v>1</v>
      </c>
      <c r="C51" s="104">
        <v>2</v>
      </c>
      <c r="D51" s="104">
        <v>3</v>
      </c>
      <c r="E51" s="104">
        <v>4</v>
      </c>
      <c r="F51" s="104">
        <v>5</v>
      </c>
      <c r="G51" s="104">
        <v>6</v>
      </c>
      <c r="H51" s="104">
        <v>7</v>
      </c>
      <c r="J51" s="104" t="s">
        <v>665</v>
      </c>
      <c r="R51" t="s">
        <v>669</v>
      </c>
    </row>
    <row r="52" spans="2:19">
      <c r="B52" s="104" t="s">
        <v>656</v>
      </c>
      <c r="C52" s="104" t="s">
        <v>657</v>
      </c>
      <c r="D52" s="104" t="s">
        <v>658</v>
      </c>
      <c r="E52" s="104" t="s">
        <v>659</v>
      </c>
      <c r="F52" s="104" t="s">
        <v>660</v>
      </c>
      <c r="G52" s="104" t="s">
        <v>661</v>
      </c>
      <c r="H52" s="104" t="s">
        <v>662</v>
      </c>
      <c r="I52" s="290" t="s">
        <v>1164</v>
      </c>
      <c r="J52" s="105"/>
      <c r="L52" s="1" t="s">
        <v>670</v>
      </c>
      <c r="P52" s="1" t="s">
        <v>682</v>
      </c>
      <c r="R52" t="s">
        <v>680</v>
      </c>
    </row>
    <row r="53" spans="2:19">
      <c r="B53" s="8">
        <v>3</v>
      </c>
      <c r="C53" s="108">
        <f>B53</f>
        <v>3</v>
      </c>
      <c r="D53" s="108">
        <f>B53</f>
        <v>3</v>
      </c>
      <c r="E53" s="108">
        <f>B53</f>
        <v>3</v>
      </c>
      <c r="F53" s="108">
        <f>B53</f>
        <v>3</v>
      </c>
      <c r="G53" s="104" t="s">
        <v>664</v>
      </c>
      <c r="H53" s="106" t="s">
        <v>663</v>
      </c>
      <c r="I53" s="291" t="s">
        <v>671</v>
      </c>
      <c r="J53" s="109">
        <f>SUM(B53:H53)</f>
        <v>15</v>
      </c>
      <c r="K53" s="1" t="s">
        <v>666</v>
      </c>
      <c r="L53" s="113">
        <v>40</v>
      </c>
      <c r="M53" s="41" t="s">
        <v>668</v>
      </c>
      <c r="N53" s="110">
        <v>8</v>
      </c>
      <c r="O53" s="41" t="s">
        <v>668</v>
      </c>
      <c r="P53" s="111">
        <v>10000</v>
      </c>
      <c r="Q53" s="41" t="s">
        <v>667</v>
      </c>
      <c r="R53" s="122">
        <f>IF(J53&lt;15,0,J53/L53*N53*P53)</f>
        <v>30000</v>
      </c>
      <c r="S53" s="112" t="str">
        <f>IF(J53&lt;15,"15시간미만","")</f>
        <v/>
      </c>
    </row>
    <row r="54" spans="2:19">
      <c r="F54" s="20">
        <f>SUM(B53:F53)</f>
        <v>15</v>
      </c>
      <c r="P54" t="s">
        <v>683</v>
      </c>
    </row>
    <row r="56" spans="2:19">
      <c r="L56" s="110">
        <f>SUM(J53,N53)</f>
        <v>23</v>
      </c>
    </row>
    <row r="57" spans="2:19">
      <c r="L57" s="20">
        <f>L56-F54</f>
        <v>8</v>
      </c>
    </row>
    <row r="59" spans="2:19">
      <c r="B59" s="104">
        <v>1</v>
      </c>
      <c r="C59" s="104">
        <v>2</v>
      </c>
      <c r="D59" s="104">
        <v>3</v>
      </c>
      <c r="E59" s="104">
        <v>4</v>
      </c>
      <c r="F59" s="104">
        <v>5</v>
      </c>
      <c r="G59" s="104">
        <v>6</v>
      </c>
      <c r="H59" s="104">
        <v>7</v>
      </c>
      <c r="J59" s="104" t="s">
        <v>665</v>
      </c>
      <c r="R59" t="s">
        <v>669</v>
      </c>
    </row>
    <row r="60" spans="2:19">
      <c r="B60" s="104" t="s">
        <v>656</v>
      </c>
      <c r="C60" s="104" t="s">
        <v>657</v>
      </c>
      <c r="D60" s="104" t="s">
        <v>658</v>
      </c>
      <c r="E60" s="104" t="s">
        <v>659</v>
      </c>
      <c r="F60" s="104" t="s">
        <v>660</v>
      </c>
      <c r="G60" s="104" t="s">
        <v>661</v>
      </c>
      <c r="H60" s="104" t="s">
        <v>662</v>
      </c>
      <c r="I60" s="290" t="s">
        <v>1164</v>
      </c>
      <c r="J60" s="105"/>
      <c r="L60" s="1" t="s">
        <v>670</v>
      </c>
      <c r="P60" s="1" t="s">
        <v>682</v>
      </c>
      <c r="R60" t="s">
        <v>680</v>
      </c>
    </row>
    <row r="61" spans="2:19">
      <c r="B61" s="8">
        <v>4</v>
      </c>
      <c r="C61" s="108">
        <f>B61</f>
        <v>4</v>
      </c>
      <c r="D61" s="108">
        <f>B61</f>
        <v>4</v>
      </c>
      <c r="E61" s="108">
        <f>B61</f>
        <v>4</v>
      </c>
      <c r="F61" s="108">
        <f>B61</f>
        <v>4</v>
      </c>
      <c r="G61" s="104" t="s">
        <v>664</v>
      </c>
      <c r="H61" s="106" t="s">
        <v>663</v>
      </c>
      <c r="I61" s="291" t="s">
        <v>671</v>
      </c>
      <c r="J61" s="109">
        <f>SUM(B61:H61)</f>
        <v>20</v>
      </c>
      <c r="K61" s="1" t="s">
        <v>666</v>
      </c>
      <c r="L61" s="113">
        <v>40</v>
      </c>
      <c r="M61" s="41" t="s">
        <v>668</v>
      </c>
      <c r="N61" s="110">
        <v>8</v>
      </c>
      <c r="O61" s="41" t="s">
        <v>668</v>
      </c>
      <c r="P61" s="111">
        <v>9160</v>
      </c>
      <c r="Q61" s="41" t="s">
        <v>667</v>
      </c>
      <c r="R61" s="122">
        <f>IF(J61&lt;15,0,J61/L61*N61*P61)</f>
        <v>36640</v>
      </c>
      <c r="S61" s="112" t="str">
        <f>IF(J61&lt;15,"15시간미만","")</f>
        <v/>
      </c>
    </row>
    <row r="62" spans="2:19">
      <c r="F62" s="20">
        <f>SUM(B61:F61)</f>
        <v>20</v>
      </c>
      <c r="P62" t="s">
        <v>683</v>
      </c>
    </row>
    <row r="64" spans="2:19">
      <c r="L64" s="110">
        <f>SUM(J61,N61)</f>
        <v>28</v>
      </c>
      <c r="P64" s="236">
        <f>P61*F61</f>
        <v>36640</v>
      </c>
    </row>
    <row r="65" spans="2:21">
      <c r="L65" s="20">
        <f>L64-F62</f>
        <v>8</v>
      </c>
    </row>
    <row r="66" spans="2:21">
      <c r="B66" t="s">
        <v>673</v>
      </c>
      <c r="E66" t="s">
        <v>775</v>
      </c>
    </row>
    <row r="67" spans="2:21">
      <c r="B67" t="s">
        <v>681</v>
      </c>
    </row>
    <row r="68" spans="2:21">
      <c r="B68" t="s">
        <v>674</v>
      </c>
    </row>
    <row r="70" spans="2:21">
      <c r="B70" s="121" t="s">
        <v>677</v>
      </c>
      <c r="C70" s="716">
        <v>2000000</v>
      </c>
      <c r="D70" s="716"/>
    </row>
    <row r="72" spans="2:21">
      <c r="B72" s="104">
        <v>1</v>
      </c>
      <c r="C72" s="104">
        <v>2</v>
      </c>
      <c r="D72" s="104">
        <v>3</v>
      </c>
      <c r="E72" s="104">
        <v>4</v>
      </c>
      <c r="F72" s="104">
        <v>5</v>
      </c>
      <c r="G72" s="104">
        <v>6</v>
      </c>
      <c r="H72" s="104">
        <v>7</v>
      </c>
      <c r="J72" s="104" t="s">
        <v>665</v>
      </c>
      <c r="P72" s="119" t="s">
        <v>679</v>
      </c>
      <c r="R72" t="s">
        <v>669</v>
      </c>
    </row>
    <row r="73" spans="2:21">
      <c r="B73" s="104" t="s">
        <v>656</v>
      </c>
      <c r="C73" s="104" t="s">
        <v>657</v>
      </c>
      <c r="D73" s="104" t="s">
        <v>658</v>
      </c>
      <c r="E73" s="104" t="s">
        <v>659</v>
      </c>
      <c r="F73" s="104" t="s">
        <v>660</v>
      </c>
      <c r="G73" s="104" t="s">
        <v>661</v>
      </c>
      <c r="H73" s="104" t="s">
        <v>662</v>
      </c>
      <c r="I73" s="290" t="s">
        <v>1164</v>
      </c>
      <c r="J73" s="105"/>
      <c r="L73" s="1" t="s">
        <v>670</v>
      </c>
      <c r="P73" s="1" t="s">
        <v>682</v>
      </c>
      <c r="R73" t="s">
        <v>680</v>
      </c>
    </row>
    <row r="74" spans="2:21">
      <c r="B74" s="8">
        <v>8</v>
      </c>
      <c r="C74" s="108">
        <f>B74</f>
        <v>8</v>
      </c>
      <c r="D74" s="108">
        <f>B74</f>
        <v>8</v>
      </c>
      <c r="E74" s="108">
        <f>B74</f>
        <v>8</v>
      </c>
      <c r="F74" s="108">
        <f>B74</f>
        <v>8</v>
      </c>
      <c r="G74" s="104" t="s">
        <v>664</v>
      </c>
      <c r="H74" s="106" t="s">
        <v>663</v>
      </c>
      <c r="I74" s="291" t="s">
        <v>671</v>
      </c>
      <c r="J74" s="109">
        <f>SUM(B74:H74)</f>
        <v>40</v>
      </c>
      <c r="K74" s="1" t="s">
        <v>666</v>
      </c>
      <c r="L74" s="113">
        <v>40</v>
      </c>
      <c r="M74" s="41" t="s">
        <v>668</v>
      </c>
      <c r="N74" s="110">
        <v>8</v>
      </c>
      <c r="O74" s="41" t="s">
        <v>668</v>
      </c>
      <c r="P74" s="118">
        <f>TRUNC(C70/T78,0)</f>
        <v>9569</v>
      </c>
      <c r="Q74" s="41" t="s">
        <v>667</v>
      </c>
      <c r="R74" s="122">
        <f>IF(J74&lt;15,0,J74/L74*N74*P74)</f>
        <v>76552</v>
      </c>
      <c r="S74" s="114" t="str">
        <f>IF(J74&lt;15,"15시간미만","")</f>
        <v/>
      </c>
    </row>
    <row r="75" spans="2:21">
      <c r="F75" s="20">
        <f>SUM(B74:F74)</f>
        <v>40</v>
      </c>
      <c r="P75" t="s">
        <v>683</v>
      </c>
    </row>
    <row r="77" spans="2:21">
      <c r="L77" s="110">
        <f>SUM(J74,N74)</f>
        <v>48</v>
      </c>
      <c r="M77" s="41" t="s">
        <v>668</v>
      </c>
      <c r="N77" s="115">
        <v>365</v>
      </c>
      <c r="O77" s="1" t="s">
        <v>666</v>
      </c>
      <c r="P77" s="116">
        <v>12</v>
      </c>
      <c r="Q77" s="1" t="s">
        <v>666</v>
      </c>
      <c r="R77" s="115">
        <v>7</v>
      </c>
      <c r="S77" s="41" t="s">
        <v>667</v>
      </c>
      <c r="T77" s="117">
        <f>L77*N77/P77/R77</f>
        <v>208.57142857142858</v>
      </c>
    </row>
    <row r="78" spans="2:21">
      <c r="B78" s="150"/>
      <c r="C78" s="150"/>
      <c r="D78" s="150"/>
      <c r="E78" s="150"/>
      <c r="F78" s="150"/>
      <c r="G78" s="150"/>
      <c r="R78" s="1" t="s">
        <v>675</v>
      </c>
      <c r="S78" s="121" t="s">
        <v>678</v>
      </c>
      <c r="T78" s="120">
        <f>ROUND(T77,0)</f>
        <v>209</v>
      </c>
      <c r="U78" t="s">
        <v>676</v>
      </c>
    </row>
    <row r="79" spans="2:21">
      <c r="B79" s="150"/>
      <c r="C79" s="150"/>
      <c r="D79" s="150"/>
      <c r="E79" s="150"/>
      <c r="F79" s="168"/>
      <c r="G79" s="168"/>
    </row>
    <row r="80" spans="2:21">
      <c r="B80" s="264" t="s">
        <v>1116</v>
      </c>
      <c r="C80" s="169"/>
      <c r="D80" s="150"/>
      <c r="E80" s="150"/>
      <c r="F80" s="170"/>
      <c r="G80" s="171"/>
    </row>
    <row r="81" spans="2:19">
      <c r="B81" s="255" t="s">
        <v>1093</v>
      </c>
      <c r="C81" s="169"/>
      <c r="D81" s="150"/>
      <c r="E81" s="150"/>
      <c r="F81" s="170"/>
      <c r="G81" s="171"/>
      <c r="H81" t="s">
        <v>1096</v>
      </c>
      <c r="N81" t="s">
        <v>1098</v>
      </c>
    </row>
    <row r="82" spans="2:19">
      <c r="B82" s="255" t="s">
        <v>1094</v>
      </c>
      <c r="C82" s="169"/>
      <c r="D82" s="150"/>
      <c r="E82" s="150"/>
      <c r="F82" s="170"/>
      <c r="G82" s="171"/>
      <c r="H82" t="s">
        <v>1097</v>
      </c>
      <c r="N82" t="s">
        <v>1099</v>
      </c>
    </row>
    <row r="83" spans="2:19">
      <c r="B83" s="255" t="s">
        <v>1095</v>
      </c>
      <c r="C83" s="169"/>
      <c r="D83" s="150"/>
      <c r="E83" s="150"/>
      <c r="F83" s="170"/>
      <c r="G83" s="171"/>
    </row>
    <row r="84" spans="2:19">
      <c r="B84" s="255"/>
      <c r="C84" s="169"/>
      <c r="D84" s="150"/>
      <c r="E84" s="150"/>
      <c r="F84" s="170"/>
      <c r="G84" s="171"/>
      <c r="N84" s="581" t="s">
        <v>1745</v>
      </c>
    </row>
    <row r="85" spans="2:19">
      <c r="B85" s="718"/>
      <c r="C85" s="169"/>
      <c r="D85" s="150"/>
      <c r="E85" s="150"/>
      <c r="F85" s="170"/>
      <c r="G85" s="171"/>
    </row>
    <row r="86" spans="2:19">
      <c r="B86" s="718"/>
      <c r="C86" s="169"/>
      <c r="D86" s="150"/>
      <c r="E86" s="150"/>
      <c r="F86" s="170"/>
      <c r="G86" s="171"/>
    </row>
    <row r="87" spans="2:19">
      <c r="B87" s="255" t="s">
        <v>1093</v>
      </c>
      <c r="C87" s="169"/>
      <c r="D87" s="150"/>
      <c r="E87" s="150"/>
      <c r="F87" s="170"/>
      <c r="G87" s="171"/>
      <c r="Q87" t="s">
        <v>1750</v>
      </c>
    </row>
    <row r="88" spans="2:19">
      <c r="B88" s="244">
        <v>1</v>
      </c>
      <c r="C88" s="244">
        <v>2</v>
      </c>
      <c r="D88" s="244">
        <v>3</v>
      </c>
      <c r="E88" s="244">
        <v>4</v>
      </c>
      <c r="F88" s="244">
        <v>5</v>
      </c>
      <c r="G88" s="244">
        <v>6</v>
      </c>
      <c r="H88" s="244">
        <v>7</v>
      </c>
      <c r="Q88" s="36" t="s">
        <v>1751</v>
      </c>
    </row>
    <row r="89" spans="2:19">
      <c r="B89" s="244" t="s">
        <v>582</v>
      </c>
      <c r="C89" s="244" t="s">
        <v>612</v>
      </c>
      <c r="D89" s="244" t="s">
        <v>613</v>
      </c>
      <c r="E89" s="244" t="s">
        <v>614</v>
      </c>
      <c r="F89" s="244" t="s">
        <v>615</v>
      </c>
      <c r="G89" s="244" t="s">
        <v>661</v>
      </c>
      <c r="H89" s="244" t="s">
        <v>408</v>
      </c>
      <c r="I89" s="290" t="s">
        <v>1164</v>
      </c>
      <c r="J89" s="256" t="s">
        <v>1101</v>
      </c>
      <c r="L89" s="256" t="s">
        <v>1100</v>
      </c>
      <c r="N89" s="256" t="s">
        <v>1100</v>
      </c>
      <c r="Q89" s="576" t="s">
        <v>1752</v>
      </c>
      <c r="R89" s="573" t="s">
        <v>1748</v>
      </c>
      <c r="S89" s="572" t="s">
        <v>1749</v>
      </c>
    </row>
    <row r="90" spans="2:19">
      <c r="B90" s="8">
        <v>8</v>
      </c>
      <c r="C90" s="108">
        <f>B90</f>
        <v>8</v>
      </c>
      <c r="D90" s="108">
        <f>B90</f>
        <v>8</v>
      </c>
      <c r="E90" s="108">
        <f>B90</f>
        <v>8</v>
      </c>
      <c r="F90" s="108">
        <f>B90</f>
        <v>8</v>
      </c>
      <c r="G90" s="244" t="s">
        <v>664</v>
      </c>
      <c r="H90" s="106" t="s">
        <v>663</v>
      </c>
      <c r="I90" s="291" t="s">
        <v>671</v>
      </c>
      <c r="J90" s="257">
        <f>SUM(B90:H90)</f>
        <v>40</v>
      </c>
      <c r="L90" s="257">
        <f>J90/5</f>
        <v>8</v>
      </c>
      <c r="N90" s="257">
        <f>L90</f>
        <v>8</v>
      </c>
      <c r="Q90" s="574">
        <f>F91+N90</f>
        <v>48</v>
      </c>
      <c r="R90" s="571">
        <f>365/12/7</f>
        <v>4.3452380952380958</v>
      </c>
      <c r="S90" s="575">
        <f>ROUND(Q90*R90,0)</f>
        <v>209</v>
      </c>
    </row>
    <row r="91" spans="2:19">
      <c r="B91" s="245"/>
      <c r="C91" s="169"/>
      <c r="D91" s="150"/>
      <c r="E91" s="150"/>
      <c r="F91" s="20">
        <f>SUM(B90:F90)</f>
        <v>40</v>
      </c>
      <c r="G91" s="171"/>
    </row>
    <row r="92" spans="2:19">
      <c r="B92" s="244">
        <v>1</v>
      </c>
      <c r="C92" s="244">
        <v>2</v>
      </c>
      <c r="D92" s="244">
        <v>3</v>
      </c>
      <c r="E92" s="244">
        <v>4</v>
      </c>
      <c r="F92" s="244">
        <v>5</v>
      </c>
      <c r="G92" s="244">
        <v>6</v>
      </c>
      <c r="H92" s="244">
        <v>7</v>
      </c>
      <c r="N92" s="32" t="s">
        <v>1102</v>
      </c>
    </row>
    <row r="93" spans="2:19">
      <c r="B93" s="244" t="s">
        <v>582</v>
      </c>
      <c r="C93" s="244" t="s">
        <v>612</v>
      </c>
      <c r="D93" s="244" t="s">
        <v>613</v>
      </c>
      <c r="E93" s="244" t="s">
        <v>614</v>
      </c>
      <c r="F93" s="244" t="s">
        <v>615</v>
      </c>
      <c r="G93" s="244" t="s">
        <v>661</v>
      </c>
      <c r="H93" s="244" t="s">
        <v>408</v>
      </c>
      <c r="I93" s="290" t="s">
        <v>1164</v>
      </c>
      <c r="J93" s="256" t="s">
        <v>1101</v>
      </c>
      <c r="L93" s="256" t="s">
        <v>1100</v>
      </c>
      <c r="N93" s="256" t="s">
        <v>1100</v>
      </c>
      <c r="Q93" s="576" t="s">
        <v>1752</v>
      </c>
      <c r="R93" s="573" t="s">
        <v>1748</v>
      </c>
      <c r="S93" s="572" t="s">
        <v>1749</v>
      </c>
    </row>
    <row r="94" spans="2:19">
      <c r="B94" s="8">
        <v>6</v>
      </c>
      <c r="C94" s="108">
        <f>B94</f>
        <v>6</v>
      </c>
      <c r="D94" s="108">
        <f>B94</f>
        <v>6</v>
      </c>
      <c r="E94" s="108">
        <f>B94</f>
        <v>6</v>
      </c>
      <c r="F94" s="108">
        <f>B94</f>
        <v>6</v>
      </c>
      <c r="G94" s="108">
        <f>C94</f>
        <v>6</v>
      </c>
      <c r="H94" s="106" t="s">
        <v>663</v>
      </c>
      <c r="I94" s="291" t="s">
        <v>671</v>
      </c>
      <c r="J94" s="257">
        <f>SUM(B94:H94)</f>
        <v>36</v>
      </c>
      <c r="L94" s="258">
        <f>J94/5</f>
        <v>7.2</v>
      </c>
      <c r="N94" s="258">
        <v>6</v>
      </c>
      <c r="Q94" s="574">
        <f>G95+N94</f>
        <v>42</v>
      </c>
      <c r="R94" s="571">
        <f>365/12/7</f>
        <v>4.3452380952380958</v>
      </c>
      <c r="S94" s="575">
        <f>ROUND(Q94*R94,0)</f>
        <v>183</v>
      </c>
    </row>
    <row r="95" spans="2:19">
      <c r="B95" s="245"/>
      <c r="C95" s="169"/>
      <c r="D95" s="150"/>
      <c r="E95" s="150"/>
      <c r="F95" s="170"/>
      <c r="G95" s="20">
        <f>SUM(B94:G94)</f>
        <v>36</v>
      </c>
    </row>
    <row r="96" spans="2:19">
      <c r="B96" s="244">
        <v>1</v>
      </c>
      <c r="C96" s="244">
        <v>2</v>
      </c>
      <c r="D96" s="244">
        <v>3</v>
      </c>
      <c r="E96" s="244">
        <v>4</v>
      </c>
      <c r="F96" s="244">
        <v>5</v>
      </c>
      <c r="G96" s="244">
        <v>6</v>
      </c>
      <c r="H96" s="244">
        <v>7</v>
      </c>
      <c r="N96" s="32" t="s">
        <v>1103</v>
      </c>
    </row>
    <row r="97" spans="2:19">
      <c r="B97" s="244" t="s">
        <v>582</v>
      </c>
      <c r="C97" s="244" t="s">
        <v>612</v>
      </c>
      <c r="D97" s="244" t="s">
        <v>613</v>
      </c>
      <c r="E97" s="244" t="s">
        <v>614</v>
      </c>
      <c r="F97" s="244" t="s">
        <v>615</v>
      </c>
      <c r="G97" s="244" t="s">
        <v>661</v>
      </c>
      <c r="H97" s="244" t="s">
        <v>408</v>
      </c>
      <c r="I97" s="290" t="s">
        <v>1164</v>
      </c>
      <c r="J97" s="256" t="s">
        <v>1101</v>
      </c>
      <c r="L97" s="256" t="s">
        <v>1100</v>
      </c>
      <c r="N97" s="256" t="s">
        <v>1100</v>
      </c>
      <c r="Q97" s="576" t="s">
        <v>1752</v>
      </c>
      <c r="R97" s="573" t="s">
        <v>1748</v>
      </c>
      <c r="S97" s="572" t="s">
        <v>1749</v>
      </c>
    </row>
    <row r="98" spans="2:19">
      <c r="B98" s="8">
        <v>7</v>
      </c>
      <c r="C98" s="108">
        <f>B98</f>
        <v>7</v>
      </c>
      <c r="D98" s="108">
        <f>B98</f>
        <v>7</v>
      </c>
      <c r="E98" s="108">
        <f>B98</f>
        <v>7</v>
      </c>
      <c r="F98" s="108">
        <f>B98</f>
        <v>7</v>
      </c>
      <c r="G98" s="108">
        <v>5</v>
      </c>
      <c r="H98" s="106" t="s">
        <v>663</v>
      </c>
      <c r="I98" s="291" t="s">
        <v>671</v>
      </c>
      <c r="J98" s="257">
        <f>SUM(B98:H98)</f>
        <v>40</v>
      </c>
      <c r="L98" s="258">
        <f>J98/5</f>
        <v>8</v>
      </c>
      <c r="N98" s="258">
        <v>7</v>
      </c>
      <c r="Q98" s="574">
        <f>G99+N98</f>
        <v>47</v>
      </c>
      <c r="R98" s="571">
        <f>365/12/7</f>
        <v>4.3452380952380958</v>
      </c>
      <c r="S98" s="575">
        <f>ROUND(Q98*R98,0)</f>
        <v>204</v>
      </c>
    </row>
    <row r="99" spans="2:19">
      <c r="B99" s="245"/>
      <c r="C99" s="169"/>
      <c r="D99" s="150"/>
      <c r="E99" s="150"/>
      <c r="F99" s="170"/>
      <c r="G99" s="20">
        <f>SUM(B98:G98)</f>
        <v>40</v>
      </c>
    </row>
    <row r="100" spans="2:19">
      <c r="B100" s="245"/>
      <c r="C100" s="169"/>
      <c r="D100" s="150"/>
      <c r="E100" s="150"/>
      <c r="F100" s="170"/>
      <c r="G100" s="171"/>
    </row>
    <row r="101" spans="2:19">
      <c r="B101" s="255" t="s">
        <v>1094</v>
      </c>
      <c r="C101" s="169"/>
      <c r="D101" s="150"/>
      <c r="E101" s="150"/>
      <c r="F101" s="170"/>
      <c r="G101" s="171"/>
    </row>
    <row r="102" spans="2:19">
      <c r="B102" s="244">
        <v>1</v>
      </c>
      <c r="C102" s="244">
        <v>2</v>
      </c>
      <c r="D102" s="244">
        <v>3</v>
      </c>
      <c r="E102" s="244">
        <v>4</v>
      </c>
      <c r="F102" s="244">
        <v>5</v>
      </c>
      <c r="G102" s="244">
        <v>6</v>
      </c>
      <c r="H102" s="244">
        <v>7</v>
      </c>
    </row>
    <row r="103" spans="2:19">
      <c r="B103" s="244" t="s">
        <v>582</v>
      </c>
      <c r="C103" s="244" t="s">
        <v>612</v>
      </c>
      <c r="D103" s="244" t="s">
        <v>613</v>
      </c>
      <c r="E103" s="244" t="s">
        <v>614</v>
      </c>
      <c r="F103" s="244" t="s">
        <v>615</v>
      </c>
      <c r="G103" s="244" t="s">
        <v>661</v>
      </c>
      <c r="H103" s="244" t="s">
        <v>408</v>
      </c>
      <c r="I103" s="290" t="s">
        <v>1164</v>
      </c>
      <c r="J103" s="256" t="s">
        <v>1101</v>
      </c>
      <c r="L103" s="256" t="s">
        <v>1100</v>
      </c>
      <c r="Q103" s="576" t="s">
        <v>1752</v>
      </c>
      <c r="R103" s="573" t="s">
        <v>1748</v>
      </c>
      <c r="S103" s="572" t="s">
        <v>1749</v>
      </c>
    </row>
    <row r="104" spans="2:19">
      <c r="B104" s="8">
        <v>7</v>
      </c>
      <c r="C104" s="108">
        <v>6</v>
      </c>
      <c r="D104" s="108">
        <v>8</v>
      </c>
      <c r="E104" s="108">
        <v>5</v>
      </c>
      <c r="F104" s="108">
        <v>4</v>
      </c>
      <c r="G104" s="244" t="s">
        <v>664</v>
      </c>
      <c r="H104" s="106" t="s">
        <v>663</v>
      </c>
      <c r="I104" s="291" t="s">
        <v>671</v>
      </c>
      <c r="J104" s="257">
        <f>SUM(B104:H104)</f>
        <v>30</v>
      </c>
      <c r="L104" s="257">
        <f>J104/5</f>
        <v>6</v>
      </c>
      <c r="Q104" s="574">
        <f>F105+L104</f>
        <v>36</v>
      </c>
      <c r="R104" s="571">
        <f>365/12/7</f>
        <v>4.3452380952380958</v>
      </c>
      <c r="S104" s="575">
        <f>ROUND(Q104*R104,0)</f>
        <v>156</v>
      </c>
    </row>
    <row r="105" spans="2:19">
      <c r="B105" s="245"/>
      <c r="C105" s="169"/>
      <c r="D105" s="150"/>
      <c r="E105" s="150"/>
      <c r="F105" s="170">
        <f>SUM(B104:F104)</f>
        <v>30</v>
      </c>
      <c r="G105" s="171"/>
    </row>
    <row r="106" spans="2:19">
      <c r="B106" s="244">
        <v>1</v>
      </c>
      <c r="C106" s="244">
        <v>2</v>
      </c>
      <c r="D106" s="244">
        <v>3</v>
      </c>
      <c r="E106" s="244">
        <v>4</v>
      </c>
      <c r="F106" s="244">
        <v>5</v>
      </c>
      <c r="G106" s="244">
        <v>6</v>
      </c>
      <c r="H106" s="244">
        <v>7</v>
      </c>
      <c r="L106" s="577" t="s">
        <v>1104</v>
      </c>
    </row>
    <row r="107" spans="2:19">
      <c r="B107" s="244" t="s">
        <v>582</v>
      </c>
      <c r="C107" s="244" t="s">
        <v>612</v>
      </c>
      <c r="D107" s="244" t="s">
        <v>613</v>
      </c>
      <c r="E107" s="244" t="s">
        <v>614</v>
      </c>
      <c r="F107" s="244" t="s">
        <v>615</v>
      </c>
      <c r="G107" s="244" t="s">
        <v>661</v>
      </c>
      <c r="H107" s="244" t="s">
        <v>408</v>
      </c>
      <c r="I107" s="290" t="s">
        <v>1164</v>
      </c>
      <c r="J107" s="256" t="s">
        <v>1101</v>
      </c>
      <c r="L107" s="256" t="s">
        <v>1100</v>
      </c>
      <c r="Q107" s="576" t="s">
        <v>1752</v>
      </c>
      <c r="R107" s="573" t="s">
        <v>1748</v>
      </c>
      <c r="S107" s="572" t="s">
        <v>1749</v>
      </c>
    </row>
    <row r="108" spans="2:19">
      <c r="B108" s="8">
        <v>8</v>
      </c>
      <c r="C108" s="108">
        <v>8</v>
      </c>
      <c r="D108" s="108">
        <f>B108</f>
        <v>8</v>
      </c>
      <c r="E108" s="108"/>
      <c r="F108" s="108"/>
      <c r="G108" s="108"/>
      <c r="H108" s="106" t="s">
        <v>663</v>
      </c>
      <c r="I108" s="291" t="s">
        <v>671</v>
      </c>
      <c r="J108" s="257">
        <f>SUM(B108:H108)</f>
        <v>24</v>
      </c>
      <c r="L108" s="258">
        <f>J108/5</f>
        <v>4.8</v>
      </c>
      <c r="Q108" s="574">
        <f>D109+L108</f>
        <v>28.8</v>
      </c>
      <c r="R108" s="571">
        <f>365/12/7</f>
        <v>4.3452380952380958</v>
      </c>
      <c r="S108" s="575">
        <f>ROUND(Q108*R108,0)</f>
        <v>125</v>
      </c>
    </row>
    <row r="109" spans="2:19">
      <c r="B109" s="245"/>
      <c r="C109" s="169"/>
      <c r="D109" s="261">
        <f>SUM(B108:D108)</f>
        <v>24</v>
      </c>
      <c r="E109" s="150"/>
      <c r="F109" s="170"/>
      <c r="G109" s="171"/>
    </row>
    <row r="110" spans="2:19">
      <c r="B110" s="244">
        <v>1</v>
      </c>
      <c r="C110" s="244">
        <v>2</v>
      </c>
      <c r="D110" s="244">
        <v>3</v>
      </c>
      <c r="E110" s="244">
        <v>4</v>
      </c>
      <c r="F110" s="244">
        <v>5</v>
      </c>
      <c r="G110" s="244">
        <v>6</v>
      </c>
      <c r="H110" s="244">
        <v>7</v>
      </c>
      <c r="L110" s="577" t="s">
        <v>1105</v>
      </c>
    </row>
    <row r="111" spans="2:19">
      <c r="B111" s="244" t="s">
        <v>582</v>
      </c>
      <c r="C111" s="244" t="s">
        <v>612</v>
      </c>
      <c r="D111" s="244" t="s">
        <v>613</v>
      </c>
      <c r="E111" s="244" t="s">
        <v>614</v>
      </c>
      <c r="F111" s="244" t="s">
        <v>615</v>
      </c>
      <c r="G111" s="244" t="s">
        <v>661</v>
      </c>
      <c r="H111" s="244" t="s">
        <v>408</v>
      </c>
      <c r="I111" s="290" t="s">
        <v>1164</v>
      </c>
      <c r="J111" s="256" t="s">
        <v>1101</v>
      </c>
      <c r="L111" s="256" t="s">
        <v>1100</v>
      </c>
      <c r="Q111" s="576" t="s">
        <v>1752</v>
      </c>
      <c r="R111" s="573" t="s">
        <v>1748</v>
      </c>
      <c r="S111" s="572" t="s">
        <v>1749</v>
      </c>
    </row>
    <row r="112" spans="2:19">
      <c r="B112" s="8">
        <v>7</v>
      </c>
      <c r="C112" s="108">
        <v>7</v>
      </c>
      <c r="D112" s="108">
        <v>7</v>
      </c>
      <c r="E112" s="108">
        <v>7</v>
      </c>
      <c r="F112" s="108">
        <v>5</v>
      </c>
      <c r="G112" s="108">
        <v>5</v>
      </c>
      <c r="H112" s="106" t="s">
        <v>663</v>
      </c>
      <c r="I112" s="291" t="s">
        <v>671</v>
      </c>
      <c r="J112" s="257">
        <f>SUM(B112:H112)</f>
        <v>38</v>
      </c>
      <c r="L112" s="258">
        <f>J112/5</f>
        <v>7.6</v>
      </c>
      <c r="Q112" s="574">
        <f>G113+L112</f>
        <v>45.6</v>
      </c>
      <c r="R112" s="571">
        <f>365/12/7</f>
        <v>4.3452380952380958</v>
      </c>
      <c r="S112" s="575">
        <f>ROUND(Q112*R112,0)</f>
        <v>198</v>
      </c>
    </row>
    <row r="113" spans="2:18">
      <c r="B113" s="259"/>
      <c r="C113" s="260"/>
      <c r="D113" s="260"/>
      <c r="E113" s="260"/>
      <c r="F113" s="260"/>
      <c r="G113" s="260">
        <f>SUM(B112:G112)</f>
        <v>38</v>
      </c>
      <c r="J113" s="261"/>
      <c r="L113" s="262"/>
    </row>
    <row r="114" spans="2:18">
      <c r="B114" s="259"/>
      <c r="C114" s="260"/>
      <c r="D114" s="260"/>
      <c r="E114" s="260"/>
      <c r="F114" s="260"/>
      <c r="G114" s="260"/>
      <c r="J114" s="261"/>
      <c r="L114" s="262"/>
    </row>
    <row r="115" spans="2:18">
      <c r="B115" s="255" t="s">
        <v>1095</v>
      </c>
      <c r="C115" s="169"/>
      <c r="D115" s="150"/>
      <c r="E115" s="150"/>
      <c r="F115" s="170"/>
      <c r="G115" s="171"/>
      <c r="P115" s="714" t="s">
        <v>1106</v>
      </c>
      <c r="Q115" s="714"/>
      <c r="R115" s="714"/>
    </row>
    <row r="116" spans="2:18">
      <c r="B116" s="255"/>
      <c r="C116" s="169"/>
      <c r="D116" s="150"/>
      <c r="E116" s="150"/>
      <c r="F116" s="170"/>
      <c r="G116" s="171"/>
      <c r="P116" s="715" t="s">
        <v>1107</v>
      </c>
      <c r="Q116" s="715"/>
      <c r="R116" s="715"/>
    </row>
    <row r="117" spans="2:18">
      <c r="B117" s="255"/>
      <c r="C117" s="169"/>
      <c r="D117" s="150"/>
      <c r="E117" s="150"/>
      <c r="F117" s="170"/>
      <c r="G117" s="171"/>
      <c r="P117" s="245"/>
      <c r="Q117" s="245"/>
      <c r="R117" s="245"/>
    </row>
    <row r="118" spans="2:18">
      <c r="B118" s="255"/>
      <c r="C118" s="169"/>
      <c r="D118" s="150"/>
      <c r="E118" s="150"/>
      <c r="F118" s="170"/>
      <c r="G118" s="171"/>
      <c r="P118" s="245"/>
      <c r="Q118" s="245"/>
      <c r="R118" s="245"/>
    </row>
    <row r="119" spans="2:18">
      <c r="B119" s="255" t="s">
        <v>1109</v>
      </c>
      <c r="C119" s="169"/>
      <c r="D119" s="150"/>
      <c r="E119" s="150"/>
      <c r="F119" s="170"/>
      <c r="G119" s="171"/>
      <c r="P119" s="245"/>
      <c r="Q119" s="245"/>
      <c r="R119" s="245"/>
    </row>
    <row r="120" spans="2:18">
      <c r="B120" s="244">
        <v>1</v>
      </c>
      <c r="C120" s="244">
        <v>2</v>
      </c>
      <c r="D120" s="244">
        <v>3</v>
      </c>
      <c r="E120" s="244">
        <v>4</v>
      </c>
      <c r="F120" s="244">
        <v>5</v>
      </c>
      <c r="G120" s="244">
        <v>6</v>
      </c>
      <c r="H120" s="244">
        <v>7</v>
      </c>
    </row>
    <row r="121" spans="2:18">
      <c r="B121" s="244" t="s">
        <v>582</v>
      </c>
      <c r="C121" s="244" t="s">
        <v>612</v>
      </c>
      <c r="D121" s="244" t="s">
        <v>613</v>
      </c>
      <c r="E121" s="244" t="s">
        <v>614</v>
      </c>
      <c r="F121" s="244" t="s">
        <v>615</v>
      </c>
      <c r="G121" s="244" t="s">
        <v>661</v>
      </c>
      <c r="H121" s="244" t="s">
        <v>408</v>
      </c>
      <c r="I121" s="290" t="s">
        <v>1164</v>
      </c>
      <c r="J121" s="256" t="s">
        <v>1101</v>
      </c>
      <c r="L121" s="256" t="s">
        <v>1108</v>
      </c>
    </row>
    <row r="122" spans="2:18">
      <c r="B122" s="8">
        <v>8</v>
      </c>
      <c r="C122" s="108">
        <v>8</v>
      </c>
      <c r="D122" s="108">
        <v>8</v>
      </c>
      <c r="E122" s="108">
        <v>8</v>
      </c>
      <c r="F122" s="108">
        <v>8</v>
      </c>
      <c r="G122" s="244" t="s">
        <v>664</v>
      </c>
      <c r="H122" s="106" t="s">
        <v>663</v>
      </c>
      <c r="I122" s="291" t="s">
        <v>671</v>
      </c>
      <c r="J122" s="257">
        <f>SUM(B122:H122)</f>
        <v>40</v>
      </c>
      <c r="L122" s="244">
        <f>COUNT(B122:H122)</f>
        <v>5</v>
      </c>
    </row>
    <row r="123" spans="2:18">
      <c r="B123" s="245"/>
      <c r="C123" s="169"/>
      <c r="D123" s="150"/>
      <c r="E123" s="150"/>
      <c r="F123" s="261">
        <f>SUM(B122:F122)</f>
        <v>40</v>
      </c>
      <c r="G123" s="171"/>
    </row>
    <row r="124" spans="2:18">
      <c r="B124" s="244">
        <v>1</v>
      </c>
      <c r="C124" s="244">
        <v>2</v>
      </c>
      <c r="D124" s="244">
        <v>3</v>
      </c>
      <c r="E124" s="244">
        <v>4</v>
      </c>
      <c r="F124" s="244">
        <v>5</v>
      </c>
      <c r="G124" s="244">
        <v>6</v>
      </c>
      <c r="H124" s="244">
        <v>7</v>
      </c>
    </row>
    <row r="125" spans="2:18">
      <c r="B125" s="244" t="s">
        <v>582</v>
      </c>
      <c r="C125" s="244" t="s">
        <v>612</v>
      </c>
      <c r="D125" s="244" t="s">
        <v>613</v>
      </c>
      <c r="E125" s="244" t="s">
        <v>614</v>
      </c>
      <c r="F125" s="244" t="s">
        <v>615</v>
      </c>
      <c r="G125" s="244" t="s">
        <v>661</v>
      </c>
      <c r="H125" s="244" t="s">
        <v>408</v>
      </c>
      <c r="I125" s="290" t="s">
        <v>1164</v>
      </c>
      <c r="J125" s="256" t="s">
        <v>1101</v>
      </c>
      <c r="L125" s="256" t="s">
        <v>1108</v>
      </c>
    </row>
    <row r="126" spans="2:18">
      <c r="B126" s="8">
        <v>7</v>
      </c>
      <c r="C126" s="108">
        <v>7</v>
      </c>
      <c r="D126" s="108">
        <v>5</v>
      </c>
      <c r="E126" s="108"/>
      <c r="F126" s="108"/>
      <c r="G126" s="108"/>
      <c r="H126" s="106" t="s">
        <v>663</v>
      </c>
      <c r="I126" s="291" t="s">
        <v>671</v>
      </c>
      <c r="J126" s="257">
        <f>SUM(B126:H126)</f>
        <v>19</v>
      </c>
      <c r="L126" s="244">
        <f>COUNT(B126:H126)</f>
        <v>3</v>
      </c>
    </row>
    <row r="127" spans="2:18">
      <c r="B127" s="245"/>
      <c r="C127" s="169"/>
      <c r="D127" s="261">
        <f>SUM(B126:D126)</f>
        <v>19</v>
      </c>
      <c r="E127" s="150"/>
      <c r="F127" s="170"/>
      <c r="G127" s="171"/>
    </row>
    <row r="128" spans="2:18">
      <c r="B128" s="244">
        <v>1</v>
      </c>
      <c r="C128" s="244">
        <v>2</v>
      </c>
      <c r="D128" s="244">
        <v>3</v>
      </c>
      <c r="E128" s="244">
        <v>4</v>
      </c>
      <c r="F128" s="244">
        <v>5</v>
      </c>
      <c r="G128" s="244">
        <v>6</v>
      </c>
      <c r="H128" s="244">
        <v>7</v>
      </c>
    </row>
    <row r="129" spans="2:14">
      <c r="B129" s="244" t="s">
        <v>582</v>
      </c>
      <c r="C129" s="244" t="s">
        <v>612</v>
      </c>
      <c r="D129" s="244" t="s">
        <v>613</v>
      </c>
      <c r="E129" s="244" t="s">
        <v>614</v>
      </c>
      <c r="F129" s="244" t="s">
        <v>615</v>
      </c>
      <c r="G129" s="244" t="s">
        <v>661</v>
      </c>
      <c r="H129" s="244" t="s">
        <v>408</v>
      </c>
      <c r="I129" s="290" t="s">
        <v>1164</v>
      </c>
      <c r="J129" s="256" t="s">
        <v>1101</v>
      </c>
      <c r="L129" s="256" t="s">
        <v>1108</v>
      </c>
      <c r="N129" t="s">
        <v>1110</v>
      </c>
    </row>
    <row r="130" spans="2:14">
      <c r="B130" s="8">
        <v>8</v>
      </c>
      <c r="C130" s="108">
        <v>8</v>
      </c>
      <c r="D130" s="108">
        <v>8</v>
      </c>
      <c r="E130" s="108">
        <v>8</v>
      </c>
      <c r="F130" s="108">
        <v>8</v>
      </c>
      <c r="G130" s="108">
        <v>8</v>
      </c>
      <c r="H130" s="106" t="s">
        <v>663</v>
      </c>
      <c r="I130" s="291" t="s">
        <v>671</v>
      </c>
      <c r="J130" s="257">
        <f>SUM(B130:H130)</f>
        <v>48</v>
      </c>
      <c r="L130" s="167">
        <v>5</v>
      </c>
      <c r="N130" t="s">
        <v>1111</v>
      </c>
    </row>
    <row r="131" spans="2:14">
      <c r="B131" s="150"/>
      <c r="C131" s="150"/>
      <c r="D131" s="150"/>
      <c r="E131" s="150"/>
      <c r="F131" s="20">
        <f>SUM(B130:F130)</f>
        <v>40</v>
      </c>
      <c r="G131" s="20">
        <f>SUM(B130:G130)</f>
        <v>48</v>
      </c>
    </row>
    <row r="132" spans="2:14">
      <c r="B132" s="244">
        <v>1</v>
      </c>
      <c r="C132" s="244">
        <v>2</v>
      </c>
      <c r="D132" s="244">
        <v>3</v>
      </c>
      <c r="E132" s="244">
        <v>4</v>
      </c>
      <c r="F132" s="244">
        <v>5</v>
      </c>
      <c r="G132" s="244">
        <v>6</v>
      </c>
      <c r="H132" s="244">
        <v>7</v>
      </c>
    </row>
    <row r="133" spans="2:14">
      <c r="B133" s="244" t="s">
        <v>582</v>
      </c>
      <c r="C133" s="244" t="s">
        <v>612</v>
      </c>
      <c r="D133" s="244" t="s">
        <v>613</v>
      </c>
      <c r="E133" s="244" t="s">
        <v>614</v>
      </c>
      <c r="F133" s="244" t="s">
        <v>615</v>
      </c>
      <c r="G133" s="244" t="s">
        <v>661</v>
      </c>
      <c r="H133" s="244" t="s">
        <v>408</v>
      </c>
      <c r="I133" s="290" t="s">
        <v>1164</v>
      </c>
      <c r="J133" s="256" t="s">
        <v>1101</v>
      </c>
      <c r="L133" s="256" t="s">
        <v>1108</v>
      </c>
      <c r="N133" t="s">
        <v>1112</v>
      </c>
    </row>
    <row r="134" spans="2:14">
      <c r="B134" s="8">
        <v>7</v>
      </c>
      <c r="C134" s="108">
        <v>7</v>
      </c>
      <c r="D134" s="108">
        <v>7</v>
      </c>
      <c r="E134" s="108">
        <v>7</v>
      </c>
      <c r="F134" s="108">
        <v>7</v>
      </c>
      <c r="G134" s="108">
        <v>7</v>
      </c>
      <c r="H134" s="106" t="s">
        <v>663</v>
      </c>
      <c r="I134" s="291" t="s">
        <v>671</v>
      </c>
      <c r="J134" s="257">
        <f>SUM(B134:H134)</f>
        <v>42</v>
      </c>
      <c r="L134" s="244">
        <f>COUNT(B134:H134)</f>
        <v>6</v>
      </c>
      <c r="N134" t="s">
        <v>1113</v>
      </c>
    </row>
    <row r="135" spans="2:14">
      <c r="F135" s="20">
        <f>SUM(B134:F134)</f>
        <v>35</v>
      </c>
      <c r="G135" s="20">
        <f>SUM(B134:G134)</f>
        <v>42</v>
      </c>
      <c r="N135" t="s">
        <v>1114</v>
      </c>
    </row>
    <row r="148" spans="2:2">
      <c r="B148" s="15" t="s">
        <v>655</v>
      </c>
    </row>
    <row r="152" spans="2:2">
      <c r="B152" s="15" t="s">
        <v>654</v>
      </c>
    </row>
    <row r="156" spans="2:2">
      <c r="B156" s="15" t="s">
        <v>464</v>
      </c>
    </row>
    <row r="158" spans="2:2" ht="26.25">
      <c r="B158" s="76" t="s">
        <v>463</v>
      </c>
    </row>
    <row r="160" spans="2:2">
      <c r="B160" t="s">
        <v>465</v>
      </c>
    </row>
    <row r="161" spans="2:2">
      <c r="B161" s="75" t="s">
        <v>551</v>
      </c>
    </row>
    <row r="162" spans="2:2">
      <c r="B162" t="s">
        <v>467</v>
      </c>
    </row>
    <row r="163" spans="2:2">
      <c r="B163" t="s">
        <v>466</v>
      </c>
    </row>
    <row r="165" spans="2:2">
      <c r="B165" t="s">
        <v>468</v>
      </c>
    </row>
    <row r="166" spans="2:2">
      <c r="B166" t="s">
        <v>469</v>
      </c>
    </row>
    <row r="168" spans="2:2">
      <c r="B168" t="s">
        <v>470</v>
      </c>
    </row>
    <row r="169" spans="2:2">
      <c r="B169" t="s">
        <v>471</v>
      </c>
    </row>
    <row r="170" spans="2:2">
      <c r="B170" t="s">
        <v>472</v>
      </c>
    </row>
    <row r="172" spans="2:2">
      <c r="B172" t="s">
        <v>473</v>
      </c>
    </row>
    <row r="173" spans="2:2">
      <c r="B173" t="s">
        <v>474</v>
      </c>
    </row>
    <row r="175" spans="2:2">
      <c r="B175" t="s">
        <v>475</v>
      </c>
    </row>
    <row r="177" spans="2:2">
      <c r="B177" t="s">
        <v>476</v>
      </c>
    </row>
    <row r="179" spans="2:2">
      <c r="B179" t="s">
        <v>477</v>
      </c>
    </row>
    <row r="181" spans="2:2">
      <c r="B181" t="s">
        <v>478</v>
      </c>
    </row>
    <row r="182" spans="2:2">
      <c r="B182" t="s">
        <v>479</v>
      </c>
    </row>
    <row r="184" spans="2:2">
      <c r="B184" t="s">
        <v>480</v>
      </c>
    </row>
    <row r="185" spans="2:2">
      <c r="B185" t="s">
        <v>484</v>
      </c>
    </row>
    <row r="186" spans="2:2">
      <c r="B186" t="s">
        <v>481</v>
      </c>
    </row>
    <row r="187" spans="2:2">
      <c r="B187" t="s">
        <v>482</v>
      </c>
    </row>
    <row r="188" spans="2:2">
      <c r="B188" t="s">
        <v>483</v>
      </c>
    </row>
    <row r="190" spans="2:2">
      <c r="B190" t="s">
        <v>485</v>
      </c>
    </row>
    <row r="191" spans="2:2">
      <c r="B191" t="s">
        <v>486</v>
      </c>
    </row>
    <row r="193" spans="2:2">
      <c r="B193" t="s">
        <v>487</v>
      </c>
    </row>
    <row r="194" spans="2:2">
      <c r="B194" t="s">
        <v>488</v>
      </c>
    </row>
    <row r="196" spans="2:2" ht="20.25">
      <c r="B196" s="74" t="s">
        <v>489</v>
      </c>
    </row>
    <row r="198" spans="2:2">
      <c r="B198" t="s">
        <v>490</v>
      </c>
    </row>
    <row r="199" spans="2:2">
      <c r="B199" t="s">
        <v>491</v>
      </c>
    </row>
    <row r="200" spans="2:2">
      <c r="B200" t="s">
        <v>492</v>
      </c>
    </row>
    <row r="202" spans="2:2">
      <c r="B202" t="s">
        <v>493</v>
      </c>
    </row>
    <row r="203" spans="2:2">
      <c r="B203" t="s">
        <v>494</v>
      </c>
    </row>
    <row r="204" spans="2:2">
      <c r="B204" t="s">
        <v>495</v>
      </c>
    </row>
    <row r="206" spans="2:2">
      <c r="B206" t="s">
        <v>496</v>
      </c>
    </row>
    <row r="207" spans="2:2">
      <c r="B207" t="s">
        <v>497</v>
      </c>
    </row>
    <row r="208" spans="2:2">
      <c r="B208" t="s">
        <v>498</v>
      </c>
    </row>
    <row r="209" spans="2:2">
      <c r="B209" t="s">
        <v>499</v>
      </c>
    </row>
    <row r="211" spans="2:2">
      <c r="B211" t="s">
        <v>500</v>
      </c>
    </row>
    <row r="213" spans="2:2">
      <c r="B213" t="s">
        <v>501</v>
      </c>
    </row>
    <row r="214" spans="2:2">
      <c r="B214" t="s">
        <v>502</v>
      </c>
    </row>
    <row r="215" spans="2:2">
      <c r="B215" t="s">
        <v>503</v>
      </c>
    </row>
    <row r="217" spans="2:2">
      <c r="B217" t="s">
        <v>504</v>
      </c>
    </row>
    <row r="218" spans="2:2">
      <c r="B218" t="s">
        <v>505</v>
      </c>
    </row>
    <row r="220" spans="2:2">
      <c r="B220" t="s">
        <v>506</v>
      </c>
    </row>
    <row r="223" spans="2:2" ht="20.25">
      <c r="B223" s="74" t="s">
        <v>507</v>
      </c>
    </row>
    <row r="225" spans="2:2">
      <c r="B225" t="s">
        <v>508</v>
      </c>
    </row>
    <row r="227" spans="2:2">
      <c r="B227" t="s">
        <v>509</v>
      </c>
    </row>
    <row r="229" spans="2:2">
      <c r="B229" t="s">
        <v>510</v>
      </c>
    </row>
    <row r="231" spans="2:2">
      <c r="B231" t="s">
        <v>511</v>
      </c>
    </row>
    <row r="233" spans="2:2">
      <c r="B233" t="s">
        <v>512</v>
      </c>
    </row>
    <row r="234" spans="2:2">
      <c r="B234" t="s">
        <v>513</v>
      </c>
    </row>
    <row r="235" spans="2:2">
      <c r="B235" t="s">
        <v>514</v>
      </c>
    </row>
    <row r="237" spans="2:2">
      <c r="B237" t="s">
        <v>515</v>
      </c>
    </row>
    <row r="239" spans="2:2">
      <c r="B239" s="14" t="s">
        <v>516</v>
      </c>
    </row>
    <row r="240" spans="2:2">
      <c r="B240" s="14" t="s">
        <v>517</v>
      </c>
    </row>
    <row r="241" spans="2:2">
      <c r="B241" s="14" t="s">
        <v>518</v>
      </c>
    </row>
    <row r="243" spans="2:2">
      <c r="B243" t="s">
        <v>519</v>
      </c>
    </row>
    <row r="244" spans="2:2">
      <c r="B244" t="s">
        <v>520</v>
      </c>
    </row>
    <row r="245" spans="2:2">
      <c r="B245" t="s">
        <v>521</v>
      </c>
    </row>
    <row r="246" spans="2:2">
      <c r="B246" t="s">
        <v>522</v>
      </c>
    </row>
    <row r="248" spans="2:2">
      <c r="B248" t="s">
        <v>523</v>
      </c>
    </row>
    <row r="250" spans="2:2">
      <c r="B250" t="s">
        <v>527</v>
      </c>
    </row>
    <row r="251" spans="2:2">
      <c r="B251" t="s">
        <v>524</v>
      </c>
    </row>
    <row r="252" spans="2:2">
      <c r="B252" t="s">
        <v>525</v>
      </c>
    </row>
    <row r="253" spans="2:2">
      <c r="B253" t="s">
        <v>526</v>
      </c>
    </row>
    <row r="255" spans="2:2">
      <c r="B255" t="s">
        <v>528</v>
      </c>
    </row>
    <row r="256" spans="2:2">
      <c r="B256" t="s">
        <v>529</v>
      </c>
    </row>
    <row r="258" spans="2:2">
      <c r="B258" t="s">
        <v>530</v>
      </c>
    </row>
    <row r="259" spans="2:2">
      <c r="B259" t="s">
        <v>531</v>
      </c>
    </row>
    <row r="260" spans="2:2">
      <c r="B260" t="s">
        <v>532</v>
      </c>
    </row>
    <row r="262" spans="2:2">
      <c r="B262" t="s">
        <v>533</v>
      </c>
    </row>
    <row r="264" spans="2:2">
      <c r="B264" t="s">
        <v>534</v>
      </c>
    </row>
    <row r="265" spans="2:2">
      <c r="B265" t="s">
        <v>535</v>
      </c>
    </row>
    <row r="267" spans="2:2">
      <c r="B267" t="s">
        <v>536</v>
      </c>
    </row>
    <row r="268" spans="2:2">
      <c r="B268" t="s">
        <v>537</v>
      </c>
    </row>
    <row r="270" spans="2:2">
      <c r="B270" t="s">
        <v>538</v>
      </c>
    </row>
    <row r="272" spans="2:2">
      <c r="B272" t="s">
        <v>539</v>
      </c>
    </row>
    <row r="273" spans="2:2">
      <c r="B273" t="s">
        <v>540</v>
      </c>
    </row>
    <row r="275" spans="2:2" ht="20.25">
      <c r="B275" s="74" t="s">
        <v>541</v>
      </c>
    </row>
    <row r="277" spans="2:2">
      <c r="B277" t="s">
        <v>542</v>
      </c>
    </row>
    <row r="278" spans="2:2">
      <c r="B278" t="s">
        <v>543</v>
      </c>
    </row>
    <row r="279" spans="2:2">
      <c r="B279" t="s">
        <v>544</v>
      </c>
    </row>
    <row r="281" spans="2:2">
      <c r="B281" t="s">
        <v>545</v>
      </c>
    </row>
    <row r="282" spans="2:2">
      <c r="B282" t="s">
        <v>546</v>
      </c>
    </row>
    <row r="284" spans="2:2">
      <c r="B284" t="s">
        <v>547</v>
      </c>
    </row>
    <row r="286" spans="2:2">
      <c r="B286" t="s">
        <v>548</v>
      </c>
    </row>
    <row r="287" spans="2:2">
      <c r="B287" t="s">
        <v>549</v>
      </c>
    </row>
    <row r="289" spans="2:16">
      <c r="B289" t="s">
        <v>550</v>
      </c>
    </row>
    <row r="294" spans="2:16">
      <c r="B294" s="14" t="s">
        <v>1424</v>
      </c>
      <c r="F294" s="31" t="s">
        <v>1438</v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 t="s">
        <v>1452</v>
      </c>
    </row>
    <row r="296" spans="2:16">
      <c r="B296" t="s">
        <v>1425</v>
      </c>
    </row>
    <row r="298" spans="2:16">
      <c r="B298" t="s">
        <v>1426</v>
      </c>
    </row>
    <row r="300" spans="2:16">
      <c r="B300" t="s">
        <v>1427</v>
      </c>
    </row>
    <row r="302" spans="2:16">
      <c r="B302" t="s">
        <v>1428</v>
      </c>
    </row>
    <row r="304" spans="2:16">
      <c r="B304" t="s">
        <v>1429</v>
      </c>
    </row>
    <row r="305" spans="2:2">
      <c r="B305" t="s">
        <v>1430</v>
      </c>
    </row>
    <row r="307" spans="2:2">
      <c r="B307" t="s">
        <v>1431</v>
      </c>
    </row>
    <row r="309" spans="2:2">
      <c r="B309" t="s">
        <v>1432</v>
      </c>
    </row>
    <row r="311" spans="2:2">
      <c r="B311" t="s">
        <v>1433</v>
      </c>
    </row>
    <row r="313" spans="2:2">
      <c r="B313" t="s">
        <v>1434</v>
      </c>
    </row>
    <row r="315" spans="2:2">
      <c r="B315" t="s">
        <v>1435</v>
      </c>
    </row>
    <row r="316" spans="2:2">
      <c r="B316" t="s">
        <v>1436</v>
      </c>
    </row>
    <row r="319" spans="2:2">
      <c r="B319" s="14" t="s">
        <v>1437</v>
      </c>
    </row>
    <row r="321" spans="2:2">
      <c r="B321" t="s">
        <v>1439</v>
      </c>
    </row>
    <row r="322" spans="2:2">
      <c r="B322" t="s">
        <v>1440</v>
      </c>
    </row>
    <row r="323" spans="2:2">
      <c r="B323" t="s">
        <v>1441</v>
      </c>
    </row>
    <row r="325" spans="2:2">
      <c r="B325" t="s">
        <v>1442</v>
      </c>
    </row>
    <row r="327" spans="2:2">
      <c r="B327" t="s">
        <v>1443</v>
      </c>
    </row>
    <row r="328" spans="2:2">
      <c r="B328" t="s">
        <v>1444</v>
      </c>
    </row>
    <row r="330" spans="2:2">
      <c r="B330" t="s">
        <v>1445</v>
      </c>
    </row>
    <row r="331" spans="2:2">
      <c r="B331" t="s">
        <v>1446</v>
      </c>
    </row>
    <row r="333" spans="2:2">
      <c r="B333" t="s">
        <v>1447</v>
      </c>
    </row>
    <row r="334" spans="2:2">
      <c r="B334" t="s">
        <v>1448</v>
      </c>
    </row>
    <row r="336" spans="2:2">
      <c r="B336" t="s">
        <v>1449</v>
      </c>
    </row>
    <row r="337" spans="2:2">
      <c r="B337" t="s">
        <v>1450</v>
      </c>
    </row>
    <row r="338" spans="2:2">
      <c r="B338" t="s">
        <v>1451</v>
      </c>
    </row>
  </sheetData>
  <mergeCells count="5">
    <mergeCell ref="P115:R115"/>
    <mergeCell ref="P116:R116"/>
    <mergeCell ref="C70:D70"/>
    <mergeCell ref="B6:B7"/>
    <mergeCell ref="B85:B86"/>
  </mergeCells>
  <phoneticPr fontId="2" type="noConversion"/>
  <conditionalFormatting sqref="S90">
    <cfRule type="cellIs" dxfId="170" priority="7" operator="greaterThan">
      <formula>209</formula>
    </cfRule>
  </conditionalFormatting>
  <conditionalFormatting sqref="S94">
    <cfRule type="cellIs" dxfId="169" priority="6" operator="greaterThan">
      <formula>209</formula>
    </cfRule>
  </conditionalFormatting>
  <conditionalFormatting sqref="S98">
    <cfRule type="cellIs" dxfId="168" priority="5" operator="greaterThan">
      <formula>209</formula>
    </cfRule>
  </conditionalFormatting>
  <conditionalFormatting sqref="S104">
    <cfRule type="cellIs" dxfId="167" priority="4" operator="greaterThan">
      <formula>209</formula>
    </cfRule>
  </conditionalFormatting>
  <conditionalFormatting sqref="S108">
    <cfRule type="cellIs" dxfId="166" priority="3" operator="greaterThan">
      <formula>209</formula>
    </cfRule>
  </conditionalFormatting>
  <conditionalFormatting sqref="S112">
    <cfRule type="cellIs" dxfId="165" priority="2" operator="greaterThan">
      <formula>209</formula>
    </cfRule>
  </conditionalFormatting>
  <hyperlinks>
    <hyperlink ref="B156" r:id="rId1" xr:uid="{D4BB7A72-98E3-4105-80C6-9D0581AEA4D9}"/>
    <hyperlink ref="B152" r:id="rId2" xr:uid="{6B66065C-C907-494A-ACA4-689A524BE469}"/>
    <hyperlink ref="B148" r:id="rId3" xr:uid="{E670BBCC-0BE6-4B7A-8595-63EC9AE17623}"/>
    <hyperlink ref="B2" r:id="rId4" xr:uid="{E5540AF4-066A-49FB-A3F5-A16F06DACC3F}"/>
    <hyperlink ref="K2" r:id="rId5" display="세무사는 임금명세서를 작성, 확인할 수 없습니다. (by 박사영 노무사)" xr:uid="{DCA5BC61-7DF1-44CC-952F-FE099D4EF96C}"/>
    <hyperlink ref="K4" r:id="rId6" xr:uid="{A36FFFE0-77A2-4724-A3CE-228D1BAC1709}"/>
    <hyperlink ref="R2" r:id="rId7" xr:uid="{B2B557EC-A063-40E1-B1EA-2BEC9FD74E2C}"/>
  </hyperlinks>
  <pageMargins left="0.7" right="0.7" top="0.75" bottom="0.75" header="0.3" footer="0.3"/>
  <pageSetup paperSize="9" orientation="portrait" verticalDpi="0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2778-B423-4219-B069-C3E8718C729A}">
  <sheetPr codeName="Sheet7">
    <tabColor rgb="FF0070C0"/>
  </sheetPr>
  <dimension ref="B1:O459"/>
  <sheetViews>
    <sheetView showGridLines="0" topLeftCell="A187" workbookViewId="0">
      <selection activeCell="D15" sqref="D15"/>
    </sheetView>
  </sheetViews>
  <sheetFormatPr defaultRowHeight="16.5"/>
  <cols>
    <col min="2" max="2" width="11" bestFit="1" customWidth="1"/>
    <col min="3" max="3" width="11" customWidth="1"/>
    <col min="5" max="5" width="16.5" style="176" bestFit="1" customWidth="1"/>
    <col min="7" max="9" width="18.5" customWidth="1"/>
  </cols>
  <sheetData>
    <row r="1" spans="2:15">
      <c r="E1" t="s">
        <v>63</v>
      </c>
    </row>
    <row r="2" spans="2:15">
      <c r="D2" t="s">
        <v>1640</v>
      </c>
      <c r="E2" s="469" t="s">
        <v>1570</v>
      </c>
      <c r="G2" s="469" t="s">
        <v>1642</v>
      </c>
      <c r="H2" s="469" t="s">
        <v>1652</v>
      </c>
      <c r="I2" s="469"/>
    </row>
    <row r="3" spans="2:15">
      <c r="B3" s="467" t="s">
        <v>20</v>
      </c>
      <c r="C3" s="467" t="s">
        <v>1638</v>
      </c>
      <c r="D3" s="467" t="s">
        <v>1639</v>
      </c>
      <c r="E3" s="467" t="s">
        <v>1569</v>
      </c>
      <c r="F3" s="467" t="s">
        <v>1641</v>
      </c>
      <c r="G3" s="467" t="s">
        <v>1643</v>
      </c>
      <c r="H3" s="467" t="s">
        <v>1651</v>
      </c>
      <c r="I3" s="468"/>
      <c r="M3" s="15" t="s">
        <v>1806</v>
      </c>
      <c r="O3" t="s">
        <v>1815</v>
      </c>
    </row>
    <row r="4" spans="2:15">
      <c r="B4" s="540">
        <v>44197</v>
      </c>
      <c r="C4" s="541">
        <f t="shared" ref="C4:C68" si="0">EOMONTH(B4,0)-EOMONTH(B4,-1)</f>
        <v>31</v>
      </c>
      <c r="D4" s="531">
        <f>NETWORKDAYS(EOMONTH(B4,-1)+1,EOMONTH(B4,0))</f>
        <v>21</v>
      </c>
      <c r="E4" s="531">
        <f>CEILING((DAY(EOMONTH(B4,0))-MOD(8-WEEKDAY(B4),7))/7,1)</f>
        <v>5</v>
      </c>
      <c r="F4" s="541">
        <f>C4-D4-E4</f>
        <v>5</v>
      </c>
      <c r="G4" s="542">
        <v>1</v>
      </c>
      <c r="H4" s="543">
        <f>D4-G4</f>
        <v>20</v>
      </c>
      <c r="I4" s="489"/>
      <c r="M4" s="36" t="s">
        <v>1807</v>
      </c>
    </row>
    <row r="5" spans="2:15">
      <c r="B5" s="540">
        <v>44228</v>
      </c>
      <c r="C5" s="541">
        <f t="shared" si="0"/>
        <v>28</v>
      </c>
      <c r="D5" s="531">
        <f>NETWORKDAYS(EOMONTH(B5,-1)+1,EOMONTH(B5,0))</f>
        <v>20</v>
      </c>
      <c r="E5" s="531">
        <f t="shared" ref="E5:E68" si="1">CEILING((DAY(EOMONTH(B5,0))-MOD(8-WEEKDAY(B5),7))/7,1)</f>
        <v>4</v>
      </c>
      <c r="F5" s="541">
        <f t="shared" ref="F5:F68" si="2">C5-D5-E5</f>
        <v>4</v>
      </c>
      <c r="G5" s="542">
        <v>2</v>
      </c>
      <c r="H5" s="543">
        <f t="shared" ref="H5:H68" si="3">D5-G5</f>
        <v>18</v>
      </c>
      <c r="I5" s="489"/>
      <c r="M5" t="s">
        <v>1808</v>
      </c>
    </row>
    <row r="6" spans="2:15">
      <c r="B6" s="540">
        <v>44256</v>
      </c>
      <c r="C6" s="541">
        <f t="shared" si="0"/>
        <v>31</v>
      </c>
      <c r="D6" s="531">
        <f t="shared" ref="D6:D69" si="4">NETWORKDAYS(EOMONTH(B6,-1)+1,EOMONTH(B6,0))</f>
        <v>23</v>
      </c>
      <c r="E6" s="531">
        <f t="shared" si="1"/>
        <v>4</v>
      </c>
      <c r="F6" s="541">
        <f t="shared" si="2"/>
        <v>4</v>
      </c>
      <c r="G6" s="542">
        <v>1</v>
      </c>
      <c r="H6" s="543">
        <f t="shared" si="3"/>
        <v>22</v>
      </c>
      <c r="I6" s="489"/>
    </row>
    <row r="7" spans="2:15">
      <c r="B7" s="540">
        <v>44287</v>
      </c>
      <c r="C7" s="541">
        <f t="shared" si="0"/>
        <v>30</v>
      </c>
      <c r="D7" s="531">
        <f t="shared" si="4"/>
        <v>22</v>
      </c>
      <c r="E7" s="531">
        <f t="shared" si="1"/>
        <v>4</v>
      </c>
      <c r="F7" s="541">
        <f t="shared" si="2"/>
        <v>4</v>
      </c>
      <c r="G7" s="542">
        <v>0</v>
      </c>
      <c r="H7" s="543">
        <f t="shared" si="3"/>
        <v>22</v>
      </c>
      <c r="I7" s="697"/>
      <c r="M7" t="s">
        <v>1809</v>
      </c>
    </row>
    <row r="8" spans="2:15">
      <c r="B8" s="696">
        <v>44317</v>
      </c>
      <c r="C8" s="541">
        <f t="shared" si="0"/>
        <v>31</v>
      </c>
      <c r="D8" s="531">
        <f t="shared" si="4"/>
        <v>21</v>
      </c>
      <c r="E8" s="531">
        <f t="shared" si="1"/>
        <v>5</v>
      </c>
      <c r="F8" s="541">
        <f t="shared" si="2"/>
        <v>5</v>
      </c>
      <c r="G8" s="542">
        <v>2</v>
      </c>
      <c r="H8" s="543">
        <f t="shared" si="3"/>
        <v>19</v>
      </c>
      <c r="I8" s="489" t="str">
        <f>TEXT(EOMONTH(B8,-1)+1,"aaaa")</f>
        <v>토요일</v>
      </c>
      <c r="J8" t="s">
        <v>1644</v>
      </c>
      <c r="M8" s="36" t="s">
        <v>1810</v>
      </c>
    </row>
    <row r="9" spans="2:15" ht="17.25" thickBot="1">
      <c r="B9" s="544">
        <v>44348</v>
      </c>
      <c r="C9" s="545">
        <f t="shared" si="0"/>
        <v>30</v>
      </c>
      <c r="D9" s="546">
        <f t="shared" si="4"/>
        <v>22</v>
      </c>
      <c r="E9" s="546">
        <f t="shared" si="1"/>
        <v>4</v>
      </c>
      <c r="F9" s="545">
        <f t="shared" si="2"/>
        <v>4</v>
      </c>
      <c r="G9" s="547">
        <v>0</v>
      </c>
      <c r="H9" s="548">
        <f t="shared" si="3"/>
        <v>22</v>
      </c>
      <c r="I9" s="489"/>
    </row>
    <row r="10" spans="2:15">
      <c r="B10" s="549">
        <v>44378</v>
      </c>
      <c r="C10" s="550">
        <f t="shared" si="0"/>
        <v>31</v>
      </c>
      <c r="D10" s="551">
        <f t="shared" si="4"/>
        <v>22</v>
      </c>
      <c r="E10" s="551">
        <f t="shared" si="1"/>
        <v>4</v>
      </c>
      <c r="F10" s="550">
        <f t="shared" si="2"/>
        <v>5</v>
      </c>
      <c r="G10" s="552">
        <v>0</v>
      </c>
      <c r="H10" s="553">
        <f t="shared" si="3"/>
        <v>22</v>
      </c>
      <c r="I10" s="489"/>
      <c r="M10" t="s">
        <v>1811</v>
      </c>
    </row>
    <row r="11" spans="2:15">
      <c r="B11" s="540">
        <v>44409</v>
      </c>
      <c r="C11" s="541">
        <f t="shared" si="0"/>
        <v>31</v>
      </c>
      <c r="D11" s="531">
        <f t="shared" si="4"/>
        <v>22</v>
      </c>
      <c r="E11" s="531">
        <f t="shared" si="1"/>
        <v>5</v>
      </c>
      <c r="F11" s="541">
        <f t="shared" si="2"/>
        <v>4</v>
      </c>
      <c r="G11" s="542">
        <v>1</v>
      </c>
      <c r="H11" s="543">
        <f t="shared" si="3"/>
        <v>21</v>
      </c>
      <c r="I11" s="489"/>
      <c r="J11" t="s">
        <v>1645</v>
      </c>
    </row>
    <row r="12" spans="2:15">
      <c r="B12" s="540">
        <v>44440</v>
      </c>
      <c r="C12" s="541">
        <f t="shared" si="0"/>
        <v>30</v>
      </c>
      <c r="D12" s="531">
        <f t="shared" si="4"/>
        <v>22</v>
      </c>
      <c r="E12" s="531">
        <f t="shared" si="1"/>
        <v>4</v>
      </c>
      <c r="F12" s="541">
        <f t="shared" si="2"/>
        <v>4</v>
      </c>
      <c r="G12" s="542">
        <v>3</v>
      </c>
      <c r="H12" s="543">
        <f t="shared" si="3"/>
        <v>19</v>
      </c>
      <c r="I12" s="489"/>
      <c r="M12" t="s">
        <v>1812</v>
      </c>
    </row>
    <row r="13" spans="2:15">
      <c r="B13" s="540">
        <v>44470</v>
      </c>
      <c r="C13" s="541">
        <f t="shared" si="0"/>
        <v>31</v>
      </c>
      <c r="D13" s="531">
        <f t="shared" si="4"/>
        <v>21</v>
      </c>
      <c r="E13" s="531">
        <f t="shared" si="1"/>
        <v>5</v>
      </c>
      <c r="F13" s="541">
        <f t="shared" si="2"/>
        <v>5</v>
      </c>
      <c r="G13" s="542">
        <v>2</v>
      </c>
      <c r="H13" s="543">
        <f t="shared" si="3"/>
        <v>19</v>
      </c>
      <c r="I13" s="489"/>
      <c r="J13" t="s">
        <v>1645</v>
      </c>
      <c r="M13" t="s">
        <v>1813</v>
      </c>
    </row>
    <row r="14" spans="2:15">
      <c r="B14" s="540">
        <v>44501</v>
      </c>
      <c r="C14" s="541">
        <f t="shared" si="0"/>
        <v>30</v>
      </c>
      <c r="D14" s="531">
        <f t="shared" si="4"/>
        <v>22</v>
      </c>
      <c r="E14" s="531">
        <f t="shared" si="1"/>
        <v>4</v>
      </c>
      <c r="F14" s="541">
        <f t="shared" si="2"/>
        <v>4</v>
      </c>
      <c r="G14" s="542">
        <v>0</v>
      </c>
      <c r="H14" s="543">
        <f t="shared" si="3"/>
        <v>22</v>
      </c>
      <c r="I14" s="489"/>
      <c r="M14" t="s">
        <v>1814</v>
      </c>
    </row>
    <row r="15" spans="2:15" ht="17.25" thickBot="1">
      <c r="B15" s="544">
        <v>44531</v>
      </c>
      <c r="C15" s="545">
        <f t="shared" si="0"/>
        <v>31</v>
      </c>
      <c r="D15" s="546">
        <f t="shared" si="4"/>
        <v>23</v>
      </c>
      <c r="E15" s="546">
        <f t="shared" si="1"/>
        <v>4</v>
      </c>
      <c r="F15" s="545">
        <f t="shared" si="2"/>
        <v>4</v>
      </c>
      <c r="G15" s="547">
        <v>0</v>
      </c>
      <c r="H15" s="548">
        <f t="shared" si="3"/>
        <v>23</v>
      </c>
      <c r="I15" s="489"/>
    </row>
    <row r="16" spans="2:15">
      <c r="B16" s="554">
        <v>44562</v>
      </c>
      <c r="C16" s="555">
        <f t="shared" si="0"/>
        <v>31</v>
      </c>
      <c r="D16" s="556">
        <f t="shared" si="4"/>
        <v>21</v>
      </c>
      <c r="E16" s="556">
        <f t="shared" si="1"/>
        <v>5</v>
      </c>
      <c r="F16" s="555">
        <f t="shared" si="2"/>
        <v>5</v>
      </c>
      <c r="G16" s="557">
        <v>1</v>
      </c>
      <c r="H16" s="558">
        <f t="shared" si="3"/>
        <v>20</v>
      </c>
      <c r="I16" s="489"/>
    </row>
    <row r="17" spans="2:13">
      <c r="B17" s="559">
        <v>44593</v>
      </c>
      <c r="C17" s="560">
        <f t="shared" si="0"/>
        <v>28</v>
      </c>
      <c r="D17" s="561">
        <f t="shared" si="4"/>
        <v>20</v>
      </c>
      <c r="E17" s="561">
        <f t="shared" si="1"/>
        <v>4</v>
      </c>
      <c r="F17" s="560">
        <f t="shared" si="2"/>
        <v>4</v>
      </c>
      <c r="G17" s="562">
        <v>2</v>
      </c>
      <c r="H17" s="563">
        <f t="shared" si="3"/>
        <v>18</v>
      </c>
      <c r="I17" s="489"/>
    </row>
    <row r="18" spans="2:13">
      <c r="B18" s="559">
        <v>44621</v>
      </c>
      <c r="C18" s="560">
        <f t="shared" si="0"/>
        <v>31</v>
      </c>
      <c r="D18" s="561">
        <f t="shared" si="4"/>
        <v>23</v>
      </c>
      <c r="E18" s="561">
        <f t="shared" si="1"/>
        <v>4</v>
      </c>
      <c r="F18" s="560">
        <f t="shared" si="2"/>
        <v>4</v>
      </c>
      <c r="G18" s="562">
        <v>2</v>
      </c>
      <c r="H18" s="563">
        <f t="shared" si="3"/>
        <v>21</v>
      </c>
      <c r="I18" s="489"/>
    </row>
    <row r="19" spans="2:13">
      <c r="B19" s="559">
        <v>44652</v>
      </c>
      <c r="C19" s="560">
        <f t="shared" si="0"/>
        <v>30</v>
      </c>
      <c r="D19" s="561">
        <f t="shared" si="4"/>
        <v>21</v>
      </c>
      <c r="E19" s="561">
        <f t="shared" si="1"/>
        <v>4</v>
      </c>
      <c r="F19" s="560">
        <f t="shared" si="2"/>
        <v>5</v>
      </c>
      <c r="G19" s="562">
        <v>0</v>
      </c>
      <c r="H19" s="563">
        <f t="shared" si="3"/>
        <v>21</v>
      </c>
      <c r="I19" s="489"/>
    </row>
    <row r="20" spans="2:13">
      <c r="B20" s="696">
        <v>44682</v>
      </c>
      <c r="C20" s="560">
        <f t="shared" si="0"/>
        <v>31</v>
      </c>
      <c r="D20" s="561">
        <f t="shared" si="4"/>
        <v>22</v>
      </c>
      <c r="E20" s="561">
        <f t="shared" si="1"/>
        <v>5</v>
      </c>
      <c r="F20" s="560">
        <f t="shared" si="2"/>
        <v>4</v>
      </c>
      <c r="G20" s="562">
        <v>1</v>
      </c>
      <c r="H20" s="563">
        <f t="shared" si="3"/>
        <v>21</v>
      </c>
      <c r="I20" s="489" t="str">
        <f>TEXT(EOMONTH(B20,-1)+1,"aaaa")</f>
        <v>일요일</v>
      </c>
    </row>
    <row r="21" spans="2:13">
      <c r="B21" s="559">
        <v>44713</v>
      </c>
      <c r="C21" s="560">
        <f t="shared" si="0"/>
        <v>30</v>
      </c>
      <c r="D21" s="561">
        <f t="shared" si="4"/>
        <v>22</v>
      </c>
      <c r="E21" s="561">
        <f t="shared" si="1"/>
        <v>4</v>
      </c>
      <c r="F21" s="560">
        <f t="shared" si="2"/>
        <v>4</v>
      </c>
      <c r="G21" s="562">
        <v>2</v>
      </c>
      <c r="H21" s="563">
        <f t="shared" si="3"/>
        <v>20</v>
      </c>
      <c r="I21" s="489"/>
      <c r="M21" s="15" t="s">
        <v>1646</v>
      </c>
    </row>
    <row r="22" spans="2:13">
      <c r="B22" s="559">
        <v>44743</v>
      </c>
      <c r="C22" s="560">
        <f t="shared" si="0"/>
        <v>31</v>
      </c>
      <c r="D22" s="561">
        <f t="shared" si="4"/>
        <v>21</v>
      </c>
      <c r="E22" s="561">
        <f t="shared" si="1"/>
        <v>5</v>
      </c>
      <c r="F22" s="560">
        <f t="shared" si="2"/>
        <v>5</v>
      </c>
      <c r="G22" s="562">
        <v>0</v>
      </c>
      <c r="H22" s="563">
        <f t="shared" si="3"/>
        <v>21</v>
      </c>
      <c r="I22" s="489"/>
      <c r="M22" t="s">
        <v>1647</v>
      </c>
    </row>
    <row r="23" spans="2:13">
      <c r="B23" s="559">
        <v>44774</v>
      </c>
      <c r="C23" s="560">
        <f t="shared" si="0"/>
        <v>31</v>
      </c>
      <c r="D23" s="561">
        <f t="shared" si="4"/>
        <v>23</v>
      </c>
      <c r="E23" s="561">
        <f t="shared" si="1"/>
        <v>4</v>
      </c>
      <c r="F23" s="560">
        <f t="shared" si="2"/>
        <v>4</v>
      </c>
      <c r="G23" s="562">
        <v>1</v>
      </c>
      <c r="H23" s="563">
        <f t="shared" si="3"/>
        <v>22</v>
      </c>
      <c r="I23" s="489"/>
      <c r="M23" t="s">
        <v>1648</v>
      </c>
    </row>
    <row r="24" spans="2:13">
      <c r="B24" s="559">
        <v>44805</v>
      </c>
      <c r="C24" s="560">
        <f t="shared" si="0"/>
        <v>30</v>
      </c>
      <c r="D24" s="561">
        <f t="shared" si="4"/>
        <v>22</v>
      </c>
      <c r="E24" s="561">
        <f t="shared" si="1"/>
        <v>4</v>
      </c>
      <c r="F24" s="560">
        <f t="shared" si="2"/>
        <v>4</v>
      </c>
      <c r="G24" s="562">
        <v>2</v>
      </c>
      <c r="H24" s="563">
        <f t="shared" si="3"/>
        <v>20</v>
      </c>
      <c r="I24" s="489"/>
    </row>
    <row r="25" spans="2:13">
      <c r="B25" s="559">
        <v>44835</v>
      </c>
      <c r="C25" s="560">
        <f t="shared" si="0"/>
        <v>31</v>
      </c>
      <c r="D25" s="561">
        <f t="shared" si="4"/>
        <v>21</v>
      </c>
      <c r="E25" s="561">
        <f t="shared" si="1"/>
        <v>5</v>
      </c>
      <c r="F25" s="560">
        <f t="shared" si="2"/>
        <v>5</v>
      </c>
      <c r="G25" s="562">
        <v>2</v>
      </c>
      <c r="H25" s="563">
        <f t="shared" si="3"/>
        <v>19</v>
      </c>
      <c r="I25" s="489"/>
      <c r="M25" t="s">
        <v>1649</v>
      </c>
    </row>
    <row r="26" spans="2:13">
      <c r="B26" s="559">
        <v>44866</v>
      </c>
      <c r="C26" s="560">
        <f t="shared" si="0"/>
        <v>30</v>
      </c>
      <c r="D26" s="561">
        <f t="shared" si="4"/>
        <v>22</v>
      </c>
      <c r="E26" s="561">
        <f t="shared" si="1"/>
        <v>4</v>
      </c>
      <c r="F26" s="560">
        <f t="shared" si="2"/>
        <v>4</v>
      </c>
      <c r="G26" s="562">
        <v>0</v>
      </c>
      <c r="H26" s="563">
        <f t="shared" si="3"/>
        <v>22</v>
      </c>
      <c r="I26" s="489"/>
    </row>
    <row r="27" spans="2:13" ht="17.25" thickBot="1">
      <c r="B27" s="564">
        <v>44896</v>
      </c>
      <c r="C27" s="565">
        <f t="shared" si="0"/>
        <v>31</v>
      </c>
      <c r="D27" s="566">
        <f t="shared" si="4"/>
        <v>22</v>
      </c>
      <c r="E27" s="566">
        <f t="shared" si="1"/>
        <v>4</v>
      </c>
      <c r="F27" s="565">
        <f t="shared" si="2"/>
        <v>5</v>
      </c>
      <c r="G27" s="567">
        <v>0</v>
      </c>
      <c r="H27" s="568">
        <f>D27-G27</f>
        <v>22</v>
      </c>
      <c r="I27" s="489"/>
      <c r="M27" t="s">
        <v>1650</v>
      </c>
    </row>
    <row r="28" spans="2:13">
      <c r="B28" s="487">
        <v>44927</v>
      </c>
      <c r="C28" s="488">
        <f t="shared" si="0"/>
        <v>31</v>
      </c>
      <c r="D28" s="530">
        <f t="shared" si="4"/>
        <v>22</v>
      </c>
      <c r="E28" s="483">
        <f t="shared" si="1"/>
        <v>5</v>
      </c>
      <c r="F28" s="538">
        <f t="shared" si="2"/>
        <v>4</v>
      </c>
      <c r="G28" s="494">
        <v>2</v>
      </c>
      <c r="H28" s="492">
        <f t="shared" si="3"/>
        <v>20</v>
      </c>
      <c r="I28" s="489"/>
    </row>
    <row r="29" spans="2:13">
      <c r="B29" s="485">
        <v>44958</v>
      </c>
      <c r="C29" s="486">
        <f t="shared" si="0"/>
        <v>28</v>
      </c>
      <c r="D29" s="529">
        <f t="shared" si="4"/>
        <v>20</v>
      </c>
      <c r="E29" s="467">
        <f t="shared" si="1"/>
        <v>4</v>
      </c>
      <c r="F29" s="539">
        <f t="shared" si="2"/>
        <v>4</v>
      </c>
      <c r="G29" s="495">
        <v>0</v>
      </c>
      <c r="H29" s="493">
        <f t="shared" si="3"/>
        <v>20</v>
      </c>
      <c r="I29" s="489"/>
    </row>
    <row r="30" spans="2:13">
      <c r="B30" s="485">
        <v>44986</v>
      </c>
      <c r="C30" s="486">
        <f t="shared" si="0"/>
        <v>31</v>
      </c>
      <c r="D30" s="529">
        <f t="shared" si="4"/>
        <v>23</v>
      </c>
      <c r="E30" s="467">
        <f t="shared" si="1"/>
        <v>4</v>
      </c>
      <c r="F30" s="539">
        <f t="shared" si="2"/>
        <v>4</v>
      </c>
      <c r="G30" s="495">
        <v>1</v>
      </c>
      <c r="H30" s="493">
        <f t="shared" si="3"/>
        <v>22</v>
      </c>
      <c r="I30" s="489"/>
    </row>
    <row r="31" spans="2:13">
      <c r="B31" s="485">
        <v>45017</v>
      </c>
      <c r="C31" s="486">
        <f t="shared" si="0"/>
        <v>30</v>
      </c>
      <c r="D31" s="529">
        <f t="shared" si="4"/>
        <v>20</v>
      </c>
      <c r="E31" s="467">
        <f t="shared" si="1"/>
        <v>5</v>
      </c>
      <c r="F31" s="539">
        <f t="shared" si="2"/>
        <v>5</v>
      </c>
      <c r="G31" s="495">
        <v>0</v>
      </c>
      <c r="H31" s="493">
        <f t="shared" si="3"/>
        <v>20</v>
      </c>
      <c r="I31" s="489"/>
    </row>
    <row r="32" spans="2:13">
      <c r="B32" s="696">
        <v>45047</v>
      </c>
      <c r="C32" s="486">
        <f t="shared" si="0"/>
        <v>31</v>
      </c>
      <c r="D32" s="529">
        <f t="shared" si="4"/>
        <v>23</v>
      </c>
      <c r="E32" s="467">
        <f t="shared" si="1"/>
        <v>4</v>
      </c>
      <c r="F32" s="539">
        <f t="shared" si="2"/>
        <v>4</v>
      </c>
      <c r="G32" s="495">
        <f>1+1</f>
        <v>2</v>
      </c>
      <c r="H32" s="493">
        <f t="shared" si="3"/>
        <v>21</v>
      </c>
      <c r="I32" s="489" t="str">
        <f>TEXT(EOMONTH(B32,-1)+1,"aaaa")</f>
        <v>월요일</v>
      </c>
    </row>
    <row r="33" spans="2:13">
      <c r="B33" s="485">
        <v>45078</v>
      </c>
      <c r="C33" s="486">
        <f t="shared" si="0"/>
        <v>30</v>
      </c>
      <c r="D33" s="529">
        <f t="shared" si="4"/>
        <v>22</v>
      </c>
      <c r="E33" s="467">
        <f t="shared" si="1"/>
        <v>4</v>
      </c>
      <c r="F33" s="539">
        <f t="shared" si="2"/>
        <v>4</v>
      </c>
      <c r="G33" s="495">
        <v>1</v>
      </c>
      <c r="H33" s="493">
        <f t="shared" si="3"/>
        <v>21</v>
      </c>
      <c r="I33" s="489"/>
    </row>
    <row r="34" spans="2:13">
      <c r="B34" s="485">
        <v>45108</v>
      </c>
      <c r="C34" s="486">
        <f t="shared" si="0"/>
        <v>31</v>
      </c>
      <c r="D34" s="529">
        <f t="shared" si="4"/>
        <v>21</v>
      </c>
      <c r="E34" s="467">
        <f t="shared" si="1"/>
        <v>5</v>
      </c>
      <c r="F34" s="539">
        <f t="shared" si="2"/>
        <v>5</v>
      </c>
      <c r="G34" s="495">
        <v>0</v>
      </c>
      <c r="H34" s="493">
        <f t="shared" si="3"/>
        <v>21</v>
      </c>
      <c r="I34" s="489"/>
    </row>
    <row r="35" spans="2:13">
      <c r="B35" s="485">
        <v>45139</v>
      </c>
      <c r="C35" s="486">
        <f t="shared" si="0"/>
        <v>31</v>
      </c>
      <c r="D35" s="529">
        <f t="shared" si="4"/>
        <v>23</v>
      </c>
      <c r="E35" s="467">
        <f t="shared" si="1"/>
        <v>4</v>
      </c>
      <c r="F35" s="539">
        <f t="shared" si="2"/>
        <v>4</v>
      </c>
      <c r="G35" s="495">
        <v>1</v>
      </c>
      <c r="H35" s="493">
        <f t="shared" si="3"/>
        <v>22</v>
      </c>
      <c r="I35" s="489"/>
    </row>
    <row r="36" spans="2:13">
      <c r="B36" s="485">
        <v>45170</v>
      </c>
      <c r="C36" s="486">
        <f t="shared" si="0"/>
        <v>30</v>
      </c>
      <c r="D36" s="529">
        <f t="shared" si="4"/>
        <v>21</v>
      </c>
      <c r="E36" s="467">
        <f t="shared" si="1"/>
        <v>4</v>
      </c>
      <c r="F36" s="539">
        <f t="shared" si="2"/>
        <v>5</v>
      </c>
      <c r="G36" s="495">
        <v>2</v>
      </c>
      <c r="H36" s="493">
        <f t="shared" si="3"/>
        <v>19</v>
      </c>
      <c r="I36" s="489"/>
    </row>
    <row r="37" spans="2:13">
      <c r="B37" s="485">
        <v>45200</v>
      </c>
      <c r="C37" s="486">
        <f t="shared" si="0"/>
        <v>31</v>
      </c>
      <c r="D37" s="529">
        <f t="shared" si="4"/>
        <v>22</v>
      </c>
      <c r="E37" s="467">
        <f t="shared" si="1"/>
        <v>5</v>
      </c>
      <c r="F37" s="539">
        <f t="shared" si="2"/>
        <v>4</v>
      </c>
      <c r="G37" s="495">
        <v>2</v>
      </c>
      <c r="H37" s="493">
        <f t="shared" si="3"/>
        <v>20</v>
      </c>
      <c r="I37" s="489"/>
    </row>
    <row r="38" spans="2:13">
      <c r="B38" s="485">
        <v>45231</v>
      </c>
      <c r="C38" s="486">
        <f t="shared" si="0"/>
        <v>30</v>
      </c>
      <c r="D38" s="529">
        <f t="shared" si="4"/>
        <v>22</v>
      </c>
      <c r="E38" s="467">
        <f t="shared" si="1"/>
        <v>4</v>
      </c>
      <c r="F38" s="539">
        <f t="shared" si="2"/>
        <v>4</v>
      </c>
      <c r="G38" s="495">
        <v>0</v>
      </c>
      <c r="H38" s="493">
        <f t="shared" si="3"/>
        <v>22</v>
      </c>
      <c r="I38" s="489"/>
    </row>
    <row r="39" spans="2:13" ht="17.25" thickBot="1">
      <c r="B39" s="691">
        <v>45261</v>
      </c>
      <c r="C39" s="692">
        <f t="shared" si="0"/>
        <v>31</v>
      </c>
      <c r="D39" s="337">
        <f t="shared" si="4"/>
        <v>21</v>
      </c>
      <c r="E39" s="337">
        <f t="shared" si="1"/>
        <v>5</v>
      </c>
      <c r="F39" s="693">
        <f t="shared" si="2"/>
        <v>5</v>
      </c>
      <c r="G39" s="694">
        <v>1</v>
      </c>
      <c r="H39" s="695">
        <f t="shared" si="3"/>
        <v>20</v>
      </c>
      <c r="I39" s="489"/>
    </row>
    <row r="40" spans="2:13">
      <c r="B40" s="487">
        <v>45292</v>
      </c>
      <c r="C40" s="488">
        <f t="shared" si="0"/>
        <v>31</v>
      </c>
      <c r="D40" s="689">
        <f t="shared" si="4"/>
        <v>23</v>
      </c>
      <c r="E40" s="689">
        <f t="shared" si="1"/>
        <v>4</v>
      </c>
      <c r="F40" s="538">
        <f t="shared" si="2"/>
        <v>4</v>
      </c>
      <c r="G40" s="690">
        <v>1</v>
      </c>
      <c r="H40" s="492">
        <f t="shared" si="3"/>
        <v>22</v>
      </c>
      <c r="I40" s="489"/>
    </row>
    <row r="41" spans="2:13">
      <c r="B41" s="485">
        <v>45323</v>
      </c>
      <c r="C41" s="486">
        <f t="shared" si="0"/>
        <v>29</v>
      </c>
      <c r="D41" s="529">
        <f t="shared" si="4"/>
        <v>21</v>
      </c>
      <c r="E41" s="467">
        <f t="shared" si="1"/>
        <v>4</v>
      </c>
      <c r="F41" s="539">
        <f t="shared" si="2"/>
        <v>4</v>
      </c>
      <c r="G41" s="495">
        <v>2</v>
      </c>
      <c r="H41" s="493">
        <f t="shared" si="3"/>
        <v>19</v>
      </c>
      <c r="I41" s="489"/>
    </row>
    <row r="42" spans="2:13">
      <c r="B42" s="485">
        <v>45352</v>
      </c>
      <c r="C42" s="486">
        <f t="shared" si="0"/>
        <v>31</v>
      </c>
      <c r="D42" s="529">
        <f t="shared" si="4"/>
        <v>21</v>
      </c>
      <c r="E42" s="467">
        <f t="shared" si="1"/>
        <v>5</v>
      </c>
      <c r="F42" s="539">
        <f t="shared" si="2"/>
        <v>5</v>
      </c>
      <c r="G42" s="495">
        <v>1</v>
      </c>
      <c r="H42" s="493">
        <f t="shared" si="3"/>
        <v>20</v>
      </c>
      <c r="I42" s="489"/>
    </row>
    <row r="43" spans="2:13">
      <c r="B43" s="485">
        <v>45383</v>
      </c>
      <c r="C43" s="486">
        <f t="shared" si="0"/>
        <v>30</v>
      </c>
      <c r="D43" s="529">
        <f t="shared" si="4"/>
        <v>22</v>
      </c>
      <c r="E43" s="467">
        <f t="shared" si="1"/>
        <v>4</v>
      </c>
      <c r="F43" s="539">
        <f t="shared" si="2"/>
        <v>4</v>
      </c>
      <c r="G43" s="495">
        <v>0</v>
      </c>
      <c r="H43" s="493">
        <f t="shared" si="3"/>
        <v>22</v>
      </c>
      <c r="I43" s="489"/>
    </row>
    <row r="44" spans="2:13">
      <c r="B44" s="696">
        <v>45413</v>
      </c>
      <c r="C44" s="486">
        <f t="shared" si="0"/>
        <v>31</v>
      </c>
      <c r="D44" s="529">
        <f t="shared" si="4"/>
        <v>23</v>
      </c>
      <c r="E44" s="467">
        <f t="shared" si="1"/>
        <v>4</v>
      </c>
      <c r="F44" s="539">
        <f t="shared" si="2"/>
        <v>4</v>
      </c>
      <c r="G44" s="495">
        <f>2+1</f>
        <v>3</v>
      </c>
      <c r="H44" s="493">
        <f t="shared" si="3"/>
        <v>20</v>
      </c>
      <c r="I44" s="489" t="str">
        <f>TEXT(EOMONTH(B44,-1)+1,"aaaa")</f>
        <v>수요일</v>
      </c>
    </row>
    <row r="45" spans="2:13">
      <c r="B45" s="485">
        <v>45444</v>
      </c>
      <c r="C45" s="486">
        <f t="shared" si="0"/>
        <v>30</v>
      </c>
      <c r="D45" s="529">
        <f t="shared" si="4"/>
        <v>20</v>
      </c>
      <c r="E45" s="467">
        <f t="shared" si="1"/>
        <v>5</v>
      </c>
      <c r="F45" s="539">
        <f t="shared" si="2"/>
        <v>5</v>
      </c>
      <c r="G45" s="495">
        <v>1</v>
      </c>
      <c r="H45" s="493">
        <f t="shared" si="3"/>
        <v>19</v>
      </c>
      <c r="I45" s="489"/>
    </row>
    <row r="46" spans="2:13">
      <c r="B46" s="485">
        <v>45474</v>
      </c>
      <c r="C46" s="486">
        <f t="shared" si="0"/>
        <v>31</v>
      </c>
      <c r="D46" s="529">
        <f t="shared" si="4"/>
        <v>23</v>
      </c>
      <c r="E46" s="467">
        <f t="shared" si="1"/>
        <v>4</v>
      </c>
      <c r="F46" s="539">
        <f t="shared" si="2"/>
        <v>4</v>
      </c>
      <c r="G46" s="495">
        <v>0</v>
      </c>
      <c r="H46" s="493">
        <f t="shared" si="3"/>
        <v>23</v>
      </c>
      <c r="I46" s="489"/>
      <c r="M46" s="31" t="s">
        <v>1657</v>
      </c>
    </row>
    <row r="47" spans="2:13">
      <c r="B47" s="485">
        <v>45505</v>
      </c>
      <c r="C47" s="486">
        <f t="shared" si="0"/>
        <v>31</v>
      </c>
      <c r="D47" s="529">
        <f t="shared" si="4"/>
        <v>22</v>
      </c>
      <c r="E47" s="467">
        <f t="shared" si="1"/>
        <v>4</v>
      </c>
      <c r="F47" s="539">
        <f t="shared" si="2"/>
        <v>5</v>
      </c>
      <c r="G47" s="495">
        <v>1</v>
      </c>
      <c r="H47" s="493">
        <f t="shared" si="3"/>
        <v>21</v>
      </c>
      <c r="I47" s="489"/>
      <c r="M47" s="75" t="s">
        <v>1699</v>
      </c>
    </row>
    <row r="48" spans="2:13">
      <c r="B48" s="485">
        <v>45536</v>
      </c>
      <c r="C48" s="486">
        <f t="shared" si="0"/>
        <v>30</v>
      </c>
      <c r="D48" s="529">
        <f t="shared" si="4"/>
        <v>21</v>
      </c>
      <c r="E48" s="467">
        <f t="shared" si="1"/>
        <v>5</v>
      </c>
      <c r="F48" s="539">
        <f t="shared" si="2"/>
        <v>4</v>
      </c>
      <c r="G48" s="495">
        <v>3</v>
      </c>
      <c r="H48" s="493">
        <f t="shared" si="3"/>
        <v>18</v>
      </c>
      <c r="I48" s="489"/>
    </row>
    <row r="49" spans="2:13">
      <c r="B49" s="485">
        <v>45566</v>
      </c>
      <c r="C49" s="486">
        <f t="shared" si="0"/>
        <v>31</v>
      </c>
      <c r="D49" s="529">
        <f t="shared" si="4"/>
        <v>23</v>
      </c>
      <c r="E49" s="467">
        <f t="shared" si="1"/>
        <v>4</v>
      </c>
      <c r="F49" s="539">
        <f t="shared" si="2"/>
        <v>4</v>
      </c>
      <c r="G49" s="495">
        <v>2</v>
      </c>
      <c r="H49" s="493">
        <f t="shared" si="3"/>
        <v>21</v>
      </c>
      <c r="I49" s="489"/>
    </row>
    <row r="50" spans="2:13">
      <c r="B50" s="485">
        <v>45597</v>
      </c>
      <c r="C50" s="486">
        <f t="shared" si="0"/>
        <v>30</v>
      </c>
      <c r="D50" s="529">
        <f t="shared" si="4"/>
        <v>21</v>
      </c>
      <c r="E50" s="467">
        <f t="shared" si="1"/>
        <v>4</v>
      </c>
      <c r="F50" s="539">
        <f t="shared" si="2"/>
        <v>5</v>
      </c>
      <c r="G50" s="495">
        <v>0</v>
      </c>
      <c r="H50" s="493">
        <f t="shared" si="3"/>
        <v>21</v>
      </c>
      <c r="I50" s="489"/>
      <c r="M50" t="s">
        <v>1663</v>
      </c>
    </row>
    <row r="51" spans="2:13" ht="17.25" thickBot="1">
      <c r="B51" s="691">
        <v>45627</v>
      </c>
      <c r="C51" s="692">
        <f t="shared" si="0"/>
        <v>31</v>
      </c>
      <c r="D51" s="337">
        <f t="shared" si="4"/>
        <v>22</v>
      </c>
      <c r="E51" s="337">
        <f t="shared" si="1"/>
        <v>5</v>
      </c>
      <c r="F51" s="693">
        <f t="shared" si="2"/>
        <v>4</v>
      </c>
      <c r="G51" s="694">
        <v>1</v>
      </c>
      <c r="H51" s="695">
        <f t="shared" si="3"/>
        <v>21</v>
      </c>
      <c r="I51" s="489"/>
      <c r="M51" t="s">
        <v>1664</v>
      </c>
    </row>
    <row r="52" spans="2:13">
      <c r="B52" s="487">
        <v>45658</v>
      </c>
      <c r="C52" s="488">
        <f t="shared" si="0"/>
        <v>31</v>
      </c>
      <c r="D52" s="689">
        <f t="shared" si="4"/>
        <v>23</v>
      </c>
      <c r="E52" s="689">
        <f t="shared" si="1"/>
        <v>4</v>
      </c>
      <c r="F52" s="538">
        <f t="shared" si="2"/>
        <v>4</v>
      </c>
      <c r="G52" s="690"/>
      <c r="H52" s="492">
        <f t="shared" si="3"/>
        <v>23</v>
      </c>
      <c r="I52" s="489"/>
      <c r="M52" t="s">
        <v>1658</v>
      </c>
    </row>
    <row r="53" spans="2:13">
      <c r="B53" s="485">
        <v>45689</v>
      </c>
      <c r="C53" s="486">
        <f t="shared" si="0"/>
        <v>28</v>
      </c>
      <c r="D53" s="529">
        <f t="shared" si="4"/>
        <v>20</v>
      </c>
      <c r="E53" s="467">
        <f t="shared" si="1"/>
        <v>4</v>
      </c>
      <c r="F53" s="539">
        <f t="shared" si="2"/>
        <v>4</v>
      </c>
      <c r="G53" s="495"/>
      <c r="H53" s="493">
        <f t="shared" si="3"/>
        <v>20</v>
      </c>
      <c r="I53" s="489"/>
      <c r="M53" t="s">
        <v>1660</v>
      </c>
    </row>
    <row r="54" spans="2:13">
      <c r="B54" s="485">
        <v>45717</v>
      </c>
      <c r="C54" s="486">
        <f t="shared" si="0"/>
        <v>31</v>
      </c>
      <c r="D54" s="529">
        <f t="shared" si="4"/>
        <v>21</v>
      </c>
      <c r="E54" s="467">
        <f t="shared" si="1"/>
        <v>5</v>
      </c>
      <c r="F54" s="539">
        <f t="shared" si="2"/>
        <v>5</v>
      </c>
      <c r="G54" s="495"/>
      <c r="H54" s="493">
        <f t="shared" si="3"/>
        <v>21</v>
      </c>
      <c r="I54" s="489"/>
      <c r="M54" t="s">
        <v>1659</v>
      </c>
    </row>
    <row r="55" spans="2:13">
      <c r="B55" s="485">
        <v>45748</v>
      </c>
      <c r="C55" s="486">
        <f t="shared" si="0"/>
        <v>30</v>
      </c>
      <c r="D55" s="529">
        <f t="shared" si="4"/>
        <v>22</v>
      </c>
      <c r="E55" s="467">
        <f t="shared" si="1"/>
        <v>4</v>
      </c>
      <c r="F55" s="539">
        <f t="shared" si="2"/>
        <v>4</v>
      </c>
      <c r="G55" s="495"/>
      <c r="H55" s="493">
        <f t="shared" si="3"/>
        <v>22</v>
      </c>
      <c r="I55" s="489"/>
    </row>
    <row r="56" spans="2:13">
      <c r="B56" s="696">
        <v>45778</v>
      </c>
      <c r="C56" s="486">
        <f t="shared" si="0"/>
        <v>31</v>
      </c>
      <c r="D56" s="529">
        <f t="shared" si="4"/>
        <v>22</v>
      </c>
      <c r="E56" s="467">
        <f t="shared" si="1"/>
        <v>4</v>
      </c>
      <c r="F56" s="539">
        <f t="shared" si="2"/>
        <v>5</v>
      </c>
      <c r="G56" s="495"/>
      <c r="H56" s="493">
        <f t="shared" si="3"/>
        <v>22</v>
      </c>
      <c r="I56" s="489" t="str">
        <f>TEXT(EOMONTH(B56,-1)+1,"aaaa")</f>
        <v>목요일</v>
      </c>
      <c r="M56" t="s">
        <v>1661</v>
      </c>
    </row>
    <row r="57" spans="2:13">
      <c r="B57" s="485">
        <v>45809</v>
      </c>
      <c r="C57" s="486">
        <f t="shared" si="0"/>
        <v>30</v>
      </c>
      <c r="D57" s="529">
        <f t="shared" si="4"/>
        <v>21</v>
      </c>
      <c r="E57" s="467">
        <f t="shared" si="1"/>
        <v>5</v>
      </c>
      <c r="F57" s="539">
        <f t="shared" si="2"/>
        <v>4</v>
      </c>
      <c r="G57" s="495"/>
      <c r="H57" s="493">
        <f t="shared" si="3"/>
        <v>21</v>
      </c>
      <c r="I57" s="489"/>
      <c r="M57" t="s">
        <v>1662</v>
      </c>
    </row>
    <row r="58" spans="2:13">
      <c r="B58" s="485">
        <v>45839</v>
      </c>
      <c r="C58" s="486">
        <f t="shared" si="0"/>
        <v>31</v>
      </c>
      <c r="D58" s="529">
        <f t="shared" si="4"/>
        <v>23</v>
      </c>
      <c r="E58" s="467">
        <f t="shared" si="1"/>
        <v>4</v>
      </c>
      <c r="F58" s="539">
        <f t="shared" si="2"/>
        <v>4</v>
      </c>
      <c r="G58" s="495"/>
      <c r="H58" s="493">
        <f t="shared" si="3"/>
        <v>23</v>
      </c>
      <c r="I58" s="489"/>
    </row>
    <row r="59" spans="2:13">
      <c r="B59" s="485">
        <v>45870</v>
      </c>
      <c r="C59" s="486">
        <f t="shared" si="0"/>
        <v>31</v>
      </c>
      <c r="D59" s="529">
        <f t="shared" si="4"/>
        <v>21</v>
      </c>
      <c r="E59" s="467">
        <f t="shared" si="1"/>
        <v>5</v>
      </c>
      <c r="F59" s="539">
        <f t="shared" si="2"/>
        <v>5</v>
      </c>
      <c r="G59" s="495"/>
      <c r="H59" s="493">
        <f t="shared" si="3"/>
        <v>21</v>
      </c>
      <c r="I59" s="489"/>
    </row>
    <row r="60" spans="2:13">
      <c r="B60" s="485">
        <v>45901</v>
      </c>
      <c r="C60" s="486">
        <f t="shared" si="0"/>
        <v>30</v>
      </c>
      <c r="D60" s="529">
        <f t="shared" si="4"/>
        <v>22</v>
      </c>
      <c r="E60" s="467">
        <f t="shared" si="1"/>
        <v>4</v>
      </c>
      <c r="F60" s="539">
        <f t="shared" si="2"/>
        <v>4</v>
      </c>
      <c r="G60" s="495"/>
      <c r="H60" s="493">
        <f t="shared" si="3"/>
        <v>22</v>
      </c>
      <c r="I60" s="489"/>
      <c r="M60" s="31" t="s">
        <v>1665</v>
      </c>
    </row>
    <row r="61" spans="2:13">
      <c r="B61" s="485">
        <v>45931</v>
      </c>
      <c r="C61" s="486">
        <f t="shared" si="0"/>
        <v>31</v>
      </c>
      <c r="D61" s="529">
        <f t="shared" si="4"/>
        <v>23</v>
      </c>
      <c r="E61" s="467">
        <f t="shared" si="1"/>
        <v>4</v>
      </c>
      <c r="F61" s="539">
        <f t="shared" si="2"/>
        <v>4</v>
      </c>
      <c r="G61" s="495"/>
      <c r="H61" s="493">
        <f t="shared" si="3"/>
        <v>23</v>
      </c>
      <c r="I61" s="489"/>
      <c r="M61" t="s">
        <v>1666</v>
      </c>
    </row>
    <row r="62" spans="2:13">
      <c r="B62" s="485">
        <v>45962</v>
      </c>
      <c r="C62" s="486">
        <f t="shared" si="0"/>
        <v>30</v>
      </c>
      <c r="D62" s="688">
        <f t="shared" si="4"/>
        <v>20</v>
      </c>
      <c r="E62" s="688">
        <f t="shared" si="1"/>
        <v>5</v>
      </c>
      <c r="F62" s="539">
        <f t="shared" si="2"/>
        <v>5</v>
      </c>
      <c r="G62" s="495"/>
      <c r="H62" s="493">
        <f t="shared" si="3"/>
        <v>20</v>
      </c>
      <c r="I62" s="489"/>
      <c r="M62" t="s">
        <v>1667</v>
      </c>
    </row>
    <row r="63" spans="2:13" ht="17.25" thickBot="1">
      <c r="B63" s="691">
        <v>45992</v>
      </c>
      <c r="C63" s="692">
        <f t="shared" si="0"/>
        <v>31</v>
      </c>
      <c r="D63" s="337">
        <f t="shared" si="4"/>
        <v>23</v>
      </c>
      <c r="E63" s="337">
        <f t="shared" si="1"/>
        <v>4</v>
      </c>
      <c r="F63" s="693">
        <f t="shared" si="2"/>
        <v>4</v>
      </c>
      <c r="G63" s="694"/>
      <c r="H63" s="695">
        <f t="shared" si="3"/>
        <v>23</v>
      </c>
      <c r="I63" s="489"/>
      <c r="M63" t="s">
        <v>1668</v>
      </c>
    </row>
    <row r="64" spans="2:13">
      <c r="B64" s="487">
        <v>46023</v>
      </c>
      <c r="C64" s="488">
        <f t="shared" si="0"/>
        <v>31</v>
      </c>
      <c r="D64" s="689">
        <f t="shared" si="4"/>
        <v>22</v>
      </c>
      <c r="E64" s="689">
        <f t="shared" si="1"/>
        <v>4</v>
      </c>
      <c r="F64" s="538">
        <f t="shared" si="2"/>
        <v>5</v>
      </c>
      <c r="G64" s="690"/>
      <c r="H64" s="492">
        <f t="shared" si="3"/>
        <v>22</v>
      </c>
      <c r="I64" s="489"/>
    </row>
    <row r="65" spans="2:14">
      <c r="B65" s="485">
        <v>46054</v>
      </c>
      <c r="C65" s="486">
        <f t="shared" si="0"/>
        <v>28</v>
      </c>
      <c r="D65" s="529">
        <f t="shared" si="4"/>
        <v>20</v>
      </c>
      <c r="E65" s="467">
        <f t="shared" si="1"/>
        <v>4</v>
      </c>
      <c r="F65" s="539">
        <f t="shared" si="2"/>
        <v>4</v>
      </c>
      <c r="G65" s="495"/>
      <c r="H65" s="493">
        <f t="shared" si="3"/>
        <v>20</v>
      </c>
      <c r="I65" s="489"/>
      <c r="M65" s="31" t="s">
        <v>1669</v>
      </c>
    </row>
    <row r="66" spans="2:14">
      <c r="B66" s="485">
        <v>46082</v>
      </c>
      <c r="C66" s="486">
        <f t="shared" si="0"/>
        <v>31</v>
      </c>
      <c r="D66" s="529">
        <f t="shared" si="4"/>
        <v>22</v>
      </c>
      <c r="E66" s="467">
        <f t="shared" si="1"/>
        <v>5</v>
      </c>
      <c r="F66" s="539">
        <f t="shared" si="2"/>
        <v>4</v>
      </c>
      <c r="G66" s="495"/>
      <c r="H66" s="493">
        <f t="shared" si="3"/>
        <v>22</v>
      </c>
      <c r="I66" s="489"/>
      <c r="M66" t="s">
        <v>1670</v>
      </c>
    </row>
    <row r="67" spans="2:14">
      <c r="B67" s="485">
        <v>46113</v>
      </c>
      <c r="C67" s="486">
        <f t="shared" si="0"/>
        <v>30</v>
      </c>
      <c r="D67" s="529">
        <f t="shared" si="4"/>
        <v>22</v>
      </c>
      <c r="E67" s="467">
        <f t="shared" si="1"/>
        <v>4</v>
      </c>
      <c r="F67" s="539">
        <f t="shared" si="2"/>
        <v>4</v>
      </c>
      <c r="G67" s="495"/>
      <c r="H67" s="493">
        <f t="shared" si="3"/>
        <v>22</v>
      </c>
      <c r="I67" s="489"/>
      <c r="M67" t="s">
        <v>1672</v>
      </c>
    </row>
    <row r="68" spans="2:14">
      <c r="B68" s="696">
        <v>46143</v>
      </c>
      <c r="C68" s="486">
        <f t="shared" si="0"/>
        <v>31</v>
      </c>
      <c r="D68" s="529">
        <f t="shared" si="4"/>
        <v>21</v>
      </c>
      <c r="E68" s="467">
        <f t="shared" si="1"/>
        <v>5</v>
      </c>
      <c r="F68" s="539">
        <f t="shared" si="2"/>
        <v>5</v>
      </c>
      <c r="G68" s="495"/>
      <c r="H68" s="493">
        <f t="shared" si="3"/>
        <v>21</v>
      </c>
      <c r="I68" s="489" t="str">
        <f>TEXT(EOMONTH(B68,-1)+1,"aaaa")</f>
        <v>금요일</v>
      </c>
      <c r="M68" t="s">
        <v>1673</v>
      </c>
    </row>
    <row r="69" spans="2:14">
      <c r="B69" s="485">
        <v>46174</v>
      </c>
      <c r="C69" s="486">
        <f t="shared" ref="C69:C132" si="5">EOMONTH(B69,0)-EOMONTH(B69,-1)</f>
        <v>30</v>
      </c>
      <c r="D69" s="529">
        <f t="shared" si="4"/>
        <v>22</v>
      </c>
      <c r="E69" s="467">
        <f t="shared" ref="E69:E132" si="6">CEILING((DAY(EOMONTH(B69,0))-MOD(8-WEEKDAY(B69),7))/7,1)</f>
        <v>4</v>
      </c>
      <c r="F69" s="539">
        <f t="shared" ref="F69:F132" si="7">C69-D69-E69</f>
        <v>4</v>
      </c>
      <c r="G69" s="495"/>
      <c r="H69" s="493">
        <f t="shared" ref="H69:H132" si="8">D69-G69</f>
        <v>22</v>
      </c>
      <c r="I69" s="489"/>
      <c r="M69" t="s">
        <v>1688</v>
      </c>
    </row>
    <row r="70" spans="2:14">
      <c r="B70" s="485">
        <v>46204</v>
      </c>
      <c r="C70" s="486">
        <f t="shared" si="5"/>
        <v>31</v>
      </c>
      <c r="D70" s="529">
        <f t="shared" ref="D70:D133" si="9">NETWORKDAYS(EOMONTH(B70,-1)+1,EOMONTH(B70,0))</f>
        <v>23</v>
      </c>
      <c r="E70" s="467">
        <f t="shared" si="6"/>
        <v>4</v>
      </c>
      <c r="F70" s="539">
        <f t="shared" si="7"/>
        <v>4</v>
      </c>
      <c r="G70" s="495"/>
      <c r="H70" s="493">
        <f t="shared" si="8"/>
        <v>23</v>
      </c>
      <c r="I70" s="489"/>
    </row>
    <row r="71" spans="2:14">
      <c r="B71" s="485">
        <v>46235</v>
      </c>
      <c r="C71" s="486">
        <f t="shared" si="5"/>
        <v>31</v>
      </c>
      <c r="D71" s="529">
        <f t="shared" si="9"/>
        <v>21</v>
      </c>
      <c r="E71" s="467">
        <f t="shared" si="6"/>
        <v>5</v>
      </c>
      <c r="F71" s="539">
        <f t="shared" si="7"/>
        <v>5</v>
      </c>
      <c r="G71" s="495"/>
      <c r="H71" s="493">
        <f t="shared" si="8"/>
        <v>21</v>
      </c>
      <c r="I71" s="489"/>
    </row>
    <row r="72" spans="2:14">
      <c r="B72" s="485">
        <v>46266</v>
      </c>
      <c r="C72" s="486">
        <f t="shared" si="5"/>
        <v>30</v>
      </c>
      <c r="D72" s="529">
        <f t="shared" si="9"/>
        <v>22</v>
      </c>
      <c r="E72" s="467">
        <f t="shared" si="6"/>
        <v>4</v>
      </c>
      <c r="F72" s="539">
        <f t="shared" si="7"/>
        <v>4</v>
      </c>
      <c r="G72" s="495"/>
      <c r="H72" s="493">
        <f t="shared" si="8"/>
        <v>22</v>
      </c>
      <c r="I72" s="489"/>
      <c r="M72" s="31" t="s">
        <v>1671</v>
      </c>
    </row>
    <row r="73" spans="2:14">
      <c r="B73" s="485">
        <v>46296</v>
      </c>
      <c r="C73" s="486">
        <f t="shared" si="5"/>
        <v>31</v>
      </c>
      <c r="D73" s="529">
        <f t="shared" si="9"/>
        <v>22</v>
      </c>
      <c r="E73" s="467">
        <f t="shared" si="6"/>
        <v>4</v>
      </c>
      <c r="F73" s="539">
        <f t="shared" si="7"/>
        <v>5</v>
      </c>
      <c r="G73" s="495"/>
      <c r="H73" s="493">
        <f t="shared" si="8"/>
        <v>22</v>
      </c>
      <c r="I73" s="489"/>
      <c r="M73" s="287" t="s">
        <v>1674</v>
      </c>
    </row>
    <row r="74" spans="2:14">
      <c r="B74" s="485">
        <v>46327</v>
      </c>
      <c r="C74" s="486">
        <f t="shared" si="5"/>
        <v>30</v>
      </c>
      <c r="D74" s="688">
        <f t="shared" si="9"/>
        <v>21</v>
      </c>
      <c r="E74" s="688">
        <f t="shared" si="6"/>
        <v>5</v>
      </c>
      <c r="F74" s="539">
        <f t="shared" si="7"/>
        <v>4</v>
      </c>
      <c r="G74" s="495"/>
      <c r="H74" s="493">
        <f t="shared" si="8"/>
        <v>21</v>
      </c>
      <c r="I74" s="489"/>
      <c r="M74" t="s">
        <v>1675</v>
      </c>
    </row>
    <row r="75" spans="2:14" ht="17.25" thickBot="1">
      <c r="B75" s="691">
        <v>46357</v>
      </c>
      <c r="C75" s="692">
        <f t="shared" si="5"/>
        <v>31</v>
      </c>
      <c r="D75" s="337">
        <f t="shared" si="9"/>
        <v>23</v>
      </c>
      <c r="E75" s="337">
        <f t="shared" si="6"/>
        <v>4</v>
      </c>
      <c r="F75" s="693">
        <f t="shared" si="7"/>
        <v>4</v>
      </c>
      <c r="G75" s="694"/>
      <c r="H75" s="695">
        <f t="shared" si="8"/>
        <v>23</v>
      </c>
      <c r="I75" s="489"/>
      <c r="M75" t="s">
        <v>1676</v>
      </c>
    </row>
    <row r="76" spans="2:14">
      <c r="B76" s="487">
        <v>46388</v>
      </c>
      <c r="C76" s="488">
        <f t="shared" si="5"/>
        <v>31</v>
      </c>
      <c r="D76" s="689">
        <f t="shared" si="9"/>
        <v>21</v>
      </c>
      <c r="E76" s="689">
        <f t="shared" si="6"/>
        <v>5</v>
      </c>
      <c r="F76" s="538">
        <f t="shared" si="7"/>
        <v>5</v>
      </c>
      <c r="G76" s="690"/>
      <c r="H76" s="492">
        <f t="shared" si="8"/>
        <v>21</v>
      </c>
      <c r="I76" s="489"/>
    </row>
    <row r="77" spans="2:14">
      <c r="B77" s="485">
        <v>46419</v>
      </c>
      <c r="C77" s="486">
        <f t="shared" si="5"/>
        <v>28</v>
      </c>
      <c r="D77" s="529">
        <f t="shared" si="9"/>
        <v>20</v>
      </c>
      <c r="E77" s="467">
        <f t="shared" si="6"/>
        <v>4</v>
      </c>
      <c r="F77" s="539">
        <f t="shared" si="7"/>
        <v>4</v>
      </c>
      <c r="G77" s="495"/>
      <c r="H77" s="493">
        <f t="shared" si="8"/>
        <v>20</v>
      </c>
      <c r="I77" s="489"/>
      <c r="M77" s="32" t="s">
        <v>1677</v>
      </c>
      <c r="N77" s="32"/>
    </row>
    <row r="78" spans="2:14">
      <c r="B78" s="485">
        <v>46447</v>
      </c>
      <c r="C78" s="486">
        <f t="shared" si="5"/>
        <v>31</v>
      </c>
      <c r="D78" s="529">
        <f t="shared" si="9"/>
        <v>23</v>
      </c>
      <c r="E78" s="467">
        <f t="shared" si="6"/>
        <v>4</v>
      </c>
      <c r="F78" s="539">
        <f t="shared" si="7"/>
        <v>4</v>
      </c>
      <c r="G78" s="495"/>
      <c r="H78" s="493">
        <f t="shared" si="8"/>
        <v>23</v>
      </c>
      <c r="I78" s="489"/>
      <c r="M78" s="32" t="s">
        <v>1678</v>
      </c>
      <c r="N78" s="32"/>
    </row>
    <row r="79" spans="2:14">
      <c r="B79" s="485">
        <v>46478</v>
      </c>
      <c r="C79" s="486">
        <f t="shared" si="5"/>
        <v>30</v>
      </c>
      <c r="D79" s="529">
        <f t="shared" si="9"/>
        <v>22</v>
      </c>
      <c r="E79" s="467">
        <f t="shared" si="6"/>
        <v>4</v>
      </c>
      <c r="F79" s="539">
        <f t="shared" si="7"/>
        <v>4</v>
      </c>
      <c r="G79" s="495"/>
      <c r="H79" s="493">
        <f t="shared" si="8"/>
        <v>22</v>
      </c>
      <c r="I79" s="489"/>
      <c r="M79" s="32" t="s">
        <v>1679</v>
      </c>
      <c r="N79" s="32"/>
    </row>
    <row r="80" spans="2:14">
      <c r="B80" s="696">
        <v>46508</v>
      </c>
      <c r="C80" s="486">
        <f t="shared" si="5"/>
        <v>31</v>
      </c>
      <c r="D80" s="529">
        <f t="shared" si="9"/>
        <v>21</v>
      </c>
      <c r="E80" s="467">
        <f t="shared" si="6"/>
        <v>5</v>
      </c>
      <c r="F80" s="539">
        <f t="shared" si="7"/>
        <v>5</v>
      </c>
      <c r="G80" s="495"/>
      <c r="H80" s="493">
        <f t="shared" si="8"/>
        <v>21</v>
      </c>
      <c r="I80" s="489" t="str">
        <f>TEXT(EOMONTH(B80,-1)+1,"aaaa")</f>
        <v>토요일</v>
      </c>
      <c r="M80" s="32" t="s">
        <v>1680</v>
      </c>
      <c r="N80" s="32"/>
    </row>
    <row r="81" spans="2:14">
      <c r="B81" s="485">
        <v>46539</v>
      </c>
      <c r="C81" s="486">
        <f t="shared" si="5"/>
        <v>30</v>
      </c>
      <c r="D81" s="529">
        <f t="shared" si="9"/>
        <v>22</v>
      </c>
      <c r="E81" s="467">
        <f t="shared" si="6"/>
        <v>4</v>
      </c>
      <c r="F81" s="539">
        <f t="shared" si="7"/>
        <v>4</v>
      </c>
      <c r="G81" s="495"/>
      <c r="H81" s="493">
        <f t="shared" si="8"/>
        <v>22</v>
      </c>
      <c r="I81" s="489"/>
      <c r="M81" s="263" t="s">
        <v>1681</v>
      </c>
    </row>
    <row r="82" spans="2:14">
      <c r="B82" s="485">
        <v>46569</v>
      </c>
      <c r="C82" s="486">
        <f t="shared" si="5"/>
        <v>31</v>
      </c>
      <c r="D82" s="529">
        <f t="shared" si="9"/>
        <v>22</v>
      </c>
      <c r="E82" s="467">
        <f t="shared" si="6"/>
        <v>4</v>
      </c>
      <c r="F82" s="539">
        <f t="shared" si="7"/>
        <v>5</v>
      </c>
      <c r="G82" s="495"/>
      <c r="H82" s="493">
        <f t="shared" si="8"/>
        <v>22</v>
      </c>
      <c r="I82" s="489"/>
      <c r="M82" s="32" t="s">
        <v>1682</v>
      </c>
      <c r="N82" s="32"/>
    </row>
    <row r="83" spans="2:14">
      <c r="B83" s="485">
        <v>46600</v>
      </c>
      <c r="C83" s="486">
        <f t="shared" si="5"/>
        <v>31</v>
      </c>
      <c r="D83" s="529">
        <f t="shared" si="9"/>
        <v>22</v>
      </c>
      <c r="E83" s="467">
        <f t="shared" si="6"/>
        <v>5</v>
      </c>
      <c r="F83" s="539">
        <f t="shared" si="7"/>
        <v>4</v>
      </c>
      <c r="G83" s="495"/>
      <c r="H83" s="493">
        <f t="shared" si="8"/>
        <v>22</v>
      </c>
      <c r="I83" s="489"/>
      <c r="M83" s="32" t="s">
        <v>1683</v>
      </c>
      <c r="N83" s="32"/>
    </row>
    <row r="84" spans="2:14">
      <c r="B84" s="485">
        <v>46631</v>
      </c>
      <c r="C84" s="486">
        <f t="shared" si="5"/>
        <v>30</v>
      </c>
      <c r="D84" s="529">
        <f t="shared" si="9"/>
        <v>22</v>
      </c>
      <c r="E84" s="467">
        <f t="shared" si="6"/>
        <v>4</v>
      </c>
      <c r="F84" s="539">
        <f t="shared" si="7"/>
        <v>4</v>
      </c>
      <c r="G84" s="495"/>
      <c r="H84" s="493">
        <f t="shared" si="8"/>
        <v>22</v>
      </c>
      <c r="I84" s="489"/>
      <c r="M84" s="32" t="s">
        <v>1684</v>
      </c>
      <c r="N84" s="32"/>
    </row>
    <row r="85" spans="2:14">
      <c r="B85" s="485">
        <v>46661</v>
      </c>
      <c r="C85" s="486">
        <f t="shared" si="5"/>
        <v>31</v>
      </c>
      <c r="D85" s="529">
        <f t="shared" si="9"/>
        <v>21</v>
      </c>
      <c r="E85" s="467">
        <f t="shared" si="6"/>
        <v>5</v>
      </c>
      <c r="F85" s="539">
        <f t="shared" si="7"/>
        <v>5</v>
      </c>
      <c r="G85" s="495"/>
      <c r="H85" s="493">
        <f t="shared" si="8"/>
        <v>21</v>
      </c>
      <c r="I85" s="489"/>
      <c r="M85" s="32" t="s">
        <v>1685</v>
      </c>
      <c r="N85" s="32"/>
    </row>
    <row r="86" spans="2:14">
      <c r="B86" s="485">
        <v>46692</v>
      </c>
      <c r="C86" s="486">
        <f t="shared" si="5"/>
        <v>30</v>
      </c>
      <c r="D86" s="529">
        <f t="shared" si="9"/>
        <v>22</v>
      </c>
      <c r="E86" s="467">
        <f t="shared" si="6"/>
        <v>4</v>
      </c>
      <c r="F86" s="539">
        <f t="shared" si="7"/>
        <v>4</v>
      </c>
      <c r="G86" s="495"/>
      <c r="H86" s="493">
        <f t="shared" si="8"/>
        <v>22</v>
      </c>
      <c r="I86" s="489"/>
      <c r="M86" s="32" t="s">
        <v>1686</v>
      </c>
      <c r="N86" s="32"/>
    </row>
    <row r="87" spans="2:14" ht="17.25" thickBot="1">
      <c r="B87" s="691">
        <v>46722</v>
      </c>
      <c r="C87" s="692">
        <f t="shared" si="5"/>
        <v>31</v>
      </c>
      <c r="D87" s="337">
        <f t="shared" si="9"/>
        <v>23</v>
      </c>
      <c r="E87" s="337">
        <f t="shared" si="6"/>
        <v>4</v>
      </c>
      <c r="F87" s="693">
        <f t="shared" si="7"/>
        <v>4</v>
      </c>
      <c r="G87" s="694"/>
      <c r="H87" s="695">
        <f t="shared" si="8"/>
        <v>23</v>
      </c>
      <c r="I87" s="489"/>
      <c r="M87" s="29" t="s">
        <v>1700</v>
      </c>
    </row>
    <row r="88" spans="2:14">
      <c r="B88" s="487">
        <v>46753</v>
      </c>
      <c r="C88" s="488">
        <f t="shared" si="5"/>
        <v>31</v>
      </c>
      <c r="D88" s="689">
        <f t="shared" si="9"/>
        <v>21</v>
      </c>
      <c r="E88" s="689">
        <f t="shared" si="6"/>
        <v>5</v>
      </c>
      <c r="F88" s="538">
        <f t="shared" si="7"/>
        <v>5</v>
      </c>
      <c r="G88" s="690"/>
      <c r="H88" s="492">
        <f t="shared" si="8"/>
        <v>21</v>
      </c>
      <c r="I88" s="489"/>
      <c r="M88" t="s">
        <v>1687</v>
      </c>
    </row>
    <row r="89" spans="2:14">
      <c r="B89" s="485">
        <v>46784</v>
      </c>
      <c r="C89" s="486">
        <f t="shared" si="5"/>
        <v>29</v>
      </c>
      <c r="D89" s="529">
        <f t="shared" si="9"/>
        <v>21</v>
      </c>
      <c r="E89" s="467">
        <f t="shared" si="6"/>
        <v>4</v>
      </c>
      <c r="F89" s="539">
        <f t="shared" si="7"/>
        <v>4</v>
      </c>
      <c r="G89" s="495"/>
      <c r="H89" s="493">
        <f t="shared" si="8"/>
        <v>21</v>
      </c>
      <c r="I89" s="489"/>
    </row>
    <row r="90" spans="2:14">
      <c r="B90" s="485">
        <v>46813</v>
      </c>
      <c r="C90" s="486">
        <f t="shared" si="5"/>
        <v>31</v>
      </c>
      <c r="D90" s="529">
        <f t="shared" si="9"/>
        <v>23</v>
      </c>
      <c r="E90" s="467">
        <f t="shared" si="6"/>
        <v>4</v>
      </c>
      <c r="F90" s="539">
        <f t="shared" si="7"/>
        <v>4</v>
      </c>
      <c r="G90" s="495"/>
      <c r="H90" s="493">
        <f t="shared" si="8"/>
        <v>23</v>
      </c>
      <c r="I90" s="489"/>
      <c r="M90" s="31" t="s">
        <v>1671</v>
      </c>
    </row>
    <row r="91" spans="2:14">
      <c r="B91" s="485">
        <v>46844</v>
      </c>
      <c r="C91" s="486">
        <f t="shared" si="5"/>
        <v>30</v>
      </c>
      <c r="D91" s="529">
        <f t="shared" si="9"/>
        <v>20</v>
      </c>
      <c r="E91" s="467">
        <f t="shared" si="6"/>
        <v>5</v>
      </c>
      <c r="F91" s="539">
        <f t="shared" si="7"/>
        <v>5</v>
      </c>
      <c r="G91" s="495"/>
      <c r="H91" s="493">
        <f t="shared" si="8"/>
        <v>20</v>
      </c>
      <c r="I91" s="489"/>
      <c r="M91" s="287" t="s">
        <v>1689</v>
      </c>
    </row>
    <row r="92" spans="2:14">
      <c r="B92" s="696">
        <v>46874</v>
      </c>
      <c r="C92" s="486">
        <f t="shared" si="5"/>
        <v>31</v>
      </c>
      <c r="D92" s="529">
        <f t="shared" si="9"/>
        <v>23</v>
      </c>
      <c r="E92" s="467">
        <f t="shared" si="6"/>
        <v>4</v>
      </c>
      <c r="F92" s="539">
        <f t="shared" si="7"/>
        <v>4</v>
      </c>
      <c r="G92" s="495"/>
      <c r="H92" s="493">
        <f t="shared" si="8"/>
        <v>23</v>
      </c>
      <c r="I92" s="489" t="str">
        <f>TEXT(EOMONTH(B92,-1)+1,"aaaa")</f>
        <v>월요일</v>
      </c>
    </row>
    <row r="93" spans="2:14">
      <c r="B93" s="485">
        <v>46905</v>
      </c>
      <c r="C93" s="486">
        <f t="shared" si="5"/>
        <v>30</v>
      </c>
      <c r="D93" s="529">
        <f t="shared" si="9"/>
        <v>22</v>
      </c>
      <c r="E93" s="467">
        <f t="shared" si="6"/>
        <v>4</v>
      </c>
      <c r="F93" s="539">
        <f t="shared" si="7"/>
        <v>4</v>
      </c>
      <c r="G93" s="495"/>
      <c r="H93" s="493">
        <f t="shared" si="8"/>
        <v>22</v>
      </c>
      <c r="I93" s="489"/>
      <c r="M93" t="s">
        <v>1690</v>
      </c>
    </row>
    <row r="94" spans="2:14">
      <c r="B94" s="485">
        <v>46935</v>
      </c>
      <c r="C94" s="486">
        <f t="shared" si="5"/>
        <v>31</v>
      </c>
      <c r="D94" s="529">
        <f t="shared" si="9"/>
        <v>21</v>
      </c>
      <c r="E94" s="467">
        <f t="shared" si="6"/>
        <v>5</v>
      </c>
      <c r="F94" s="539">
        <f t="shared" si="7"/>
        <v>5</v>
      </c>
      <c r="G94" s="495"/>
      <c r="H94" s="493">
        <f t="shared" si="8"/>
        <v>21</v>
      </c>
      <c r="I94" s="489"/>
      <c r="M94" t="s">
        <v>1691</v>
      </c>
    </row>
    <row r="95" spans="2:14">
      <c r="B95" s="485">
        <v>46966</v>
      </c>
      <c r="C95" s="486">
        <f t="shared" si="5"/>
        <v>31</v>
      </c>
      <c r="D95" s="529">
        <f t="shared" si="9"/>
        <v>23</v>
      </c>
      <c r="E95" s="467">
        <f t="shared" si="6"/>
        <v>4</v>
      </c>
      <c r="F95" s="539">
        <f t="shared" si="7"/>
        <v>4</v>
      </c>
      <c r="G95" s="495"/>
      <c r="H95" s="493">
        <f t="shared" si="8"/>
        <v>23</v>
      </c>
      <c r="I95" s="489"/>
    </row>
    <row r="96" spans="2:14">
      <c r="B96" s="485">
        <v>46997</v>
      </c>
      <c r="C96" s="486">
        <f t="shared" si="5"/>
        <v>30</v>
      </c>
      <c r="D96" s="529">
        <f t="shared" si="9"/>
        <v>21</v>
      </c>
      <c r="E96" s="467">
        <f t="shared" si="6"/>
        <v>4</v>
      </c>
      <c r="F96" s="539">
        <f t="shared" si="7"/>
        <v>5</v>
      </c>
      <c r="G96" s="495"/>
      <c r="H96" s="493">
        <f t="shared" si="8"/>
        <v>21</v>
      </c>
      <c r="I96" s="489"/>
      <c r="M96" t="s">
        <v>1693</v>
      </c>
    </row>
    <row r="97" spans="2:13">
      <c r="B97" s="485">
        <v>47027</v>
      </c>
      <c r="C97" s="486">
        <f t="shared" si="5"/>
        <v>31</v>
      </c>
      <c r="D97" s="529">
        <f t="shared" si="9"/>
        <v>22</v>
      </c>
      <c r="E97" s="467">
        <f t="shared" si="6"/>
        <v>5</v>
      </c>
      <c r="F97" s="539">
        <f t="shared" si="7"/>
        <v>4</v>
      </c>
      <c r="G97" s="495"/>
      <c r="H97" s="493">
        <f t="shared" si="8"/>
        <v>22</v>
      </c>
      <c r="I97" s="489"/>
      <c r="M97" t="s">
        <v>1694</v>
      </c>
    </row>
    <row r="98" spans="2:13">
      <c r="B98" s="485">
        <v>47058</v>
      </c>
      <c r="C98" s="486">
        <f t="shared" si="5"/>
        <v>30</v>
      </c>
      <c r="D98" s="529">
        <f t="shared" si="9"/>
        <v>22</v>
      </c>
      <c r="E98" s="467">
        <f t="shared" si="6"/>
        <v>4</v>
      </c>
      <c r="F98" s="539">
        <f t="shared" si="7"/>
        <v>4</v>
      </c>
      <c r="G98" s="495"/>
      <c r="H98" s="493">
        <f t="shared" si="8"/>
        <v>22</v>
      </c>
      <c r="I98" s="489"/>
      <c r="M98" t="s">
        <v>1695</v>
      </c>
    </row>
    <row r="99" spans="2:13" ht="17.25" thickBot="1">
      <c r="B99" s="691">
        <v>47088</v>
      </c>
      <c r="C99" s="692">
        <f t="shared" si="5"/>
        <v>31</v>
      </c>
      <c r="D99" s="337">
        <f t="shared" si="9"/>
        <v>21</v>
      </c>
      <c r="E99" s="337">
        <f t="shared" si="6"/>
        <v>5</v>
      </c>
      <c r="F99" s="693">
        <f t="shared" si="7"/>
        <v>5</v>
      </c>
      <c r="G99" s="694"/>
      <c r="H99" s="695">
        <f t="shared" si="8"/>
        <v>21</v>
      </c>
      <c r="I99" s="489"/>
      <c r="M99" t="s">
        <v>1696</v>
      </c>
    </row>
    <row r="100" spans="2:13">
      <c r="B100" s="487">
        <v>47119</v>
      </c>
      <c r="C100" s="488">
        <f t="shared" si="5"/>
        <v>31</v>
      </c>
      <c r="D100" s="689">
        <f t="shared" si="9"/>
        <v>23</v>
      </c>
      <c r="E100" s="689">
        <f t="shared" si="6"/>
        <v>4</v>
      </c>
      <c r="F100" s="538">
        <f t="shared" si="7"/>
        <v>4</v>
      </c>
      <c r="G100" s="690"/>
      <c r="H100" s="492">
        <f t="shared" si="8"/>
        <v>23</v>
      </c>
      <c r="I100" s="489"/>
    </row>
    <row r="101" spans="2:13">
      <c r="B101" s="485">
        <v>47150</v>
      </c>
      <c r="C101" s="486">
        <f t="shared" si="5"/>
        <v>28</v>
      </c>
      <c r="D101" s="529">
        <f t="shared" si="9"/>
        <v>20</v>
      </c>
      <c r="E101" s="467">
        <f t="shared" si="6"/>
        <v>4</v>
      </c>
      <c r="F101" s="539">
        <f t="shared" si="7"/>
        <v>4</v>
      </c>
      <c r="G101" s="495"/>
      <c r="H101" s="493">
        <f t="shared" si="8"/>
        <v>20</v>
      </c>
      <c r="I101" s="489"/>
      <c r="M101" t="s">
        <v>1692</v>
      </c>
    </row>
    <row r="102" spans="2:13">
      <c r="B102" s="485">
        <v>47178</v>
      </c>
      <c r="C102" s="486">
        <f t="shared" si="5"/>
        <v>31</v>
      </c>
      <c r="D102" s="529">
        <f t="shared" si="9"/>
        <v>22</v>
      </c>
      <c r="E102" s="467">
        <f t="shared" si="6"/>
        <v>4</v>
      </c>
      <c r="F102" s="539">
        <f t="shared" si="7"/>
        <v>5</v>
      </c>
      <c r="G102" s="495"/>
      <c r="H102" s="493">
        <f t="shared" si="8"/>
        <v>22</v>
      </c>
      <c r="I102" s="489"/>
    </row>
    <row r="103" spans="2:13">
      <c r="B103" s="485">
        <v>47209</v>
      </c>
      <c r="C103" s="486">
        <f t="shared" si="5"/>
        <v>30</v>
      </c>
      <c r="D103" s="529">
        <f t="shared" si="9"/>
        <v>21</v>
      </c>
      <c r="E103" s="467">
        <f t="shared" si="6"/>
        <v>5</v>
      </c>
      <c r="F103" s="539">
        <f t="shared" si="7"/>
        <v>4</v>
      </c>
      <c r="G103" s="495"/>
      <c r="H103" s="493">
        <f t="shared" si="8"/>
        <v>21</v>
      </c>
      <c r="I103" s="489"/>
      <c r="M103" t="s">
        <v>1697</v>
      </c>
    </row>
    <row r="104" spans="2:13">
      <c r="B104" s="696">
        <v>47239</v>
      </c>
      <c r="C104" s="486">
        <f t="shared" si="5"/>
        <v>31</v>
      </c>
      <c r="D104" s="529">
        <f t="shared" si="9"/>
        <v>23</v>
      </c>
      <c r="E104" s="467">
        <f t="shared" si="6"/>
        <v>4</v>
      </c>
      <c r="F104" s="539">
        <f t="shared" si="7"/>
        <v>4</v>
      </c>
      <c r="G104" s="495"/>
      <c r="H104" s="493">
        <f t="shared" si="8"/>
        <v>23</v>
      </c>
      <c r="I104" s="489" t="str">
        <f>TEXT(EOMONTH(B104,-1)+1,"aaaa")</f>
        <v>화요일</v>
      </c>
      <c r="M104" s="29" t="s">
        <v>1698</v>
      </c>
    </row>
    <row r="105" spans="2:13">
      <c r="B105" s="485">
        <v>47270</v>
      </c>
      <c r="C105" s="486">
        <f t="shared" si="5"/>
        <v>30</v>
      </c>
      <c r="D105" s="529">
        <f t="shared" si="9"/>
        <v>21</v>
      </c>
      <c r="E105" s="467">
        <f t="shared" si="6"/>
        <v>4</v>
      </c>
      <c r="F105" s="539">
        <f t="shared" si="7"/>
        <v>5</v>
      </c>
      <c r="G105" s="495"/>
      <c r="H105" s="493">
        <f t="shared" si="8"/>
        <v>21</v>
      </c>
      <c r="I105" s="489"/>
    </row>
    <row r="106" spans="2:13">
      <c r="B106" s="485">
        <v>47300</v>
      </c>
      <c r="C106" s="486">
        <f t="shared" si="5"/>
        <v>31</v>
      </c>
      <c r="D106" s="529">
        <f t="shared" si="9"/>
        <v>22</v>
      </c>
      <c r="E106" s="467">
        <f t="shared" si="6"/>
        <v>5</v>
      </c>
      <c r="F106" s="539">
        <f t="shared" si="7"/>
        <v>4</v>
      </c>
      <c r="G106" s="495"/>
      <c r="H106" s="493">
        <f t="shared" si="8"/>
        <v>22</v>
      </c>
      <c r="I106" s="489"/>
      <c r="M106" t="s">
        <v>1701</v>
      </c>
    </row>
    <row r="107" spans="2:13">
      <c r="B107" s="485">
        <v>47331</v>
      </c>
      <c r="C107" s="486">
        <f t="shared" si="5"/>
        <v>31</v>
      </c>
      <c r="D107" s="529">
        <f t="shared" si="9"/>
        <v>23</v>
      </c>
      <c r="E107" s="467">
        <f t="shared" si="6"/>
        <v>4</v>
      </c>
      <c r="F107" s="539">
        <f t="shared" si="7"/>
        <v>4</v>
      </c>
      <c r="G107" s="495"/>
      <c r="H107" s="493">
        <f t="shared" si="8"/>
        <v>23</v>
      </c>
      <c r="I107" s="489"/>
      <c r="M107" t="s">
        <v>1702</v>
      </c>
    </row>
    <row r="108" spans="2:13">
      <c r="B108" s="485">
        <v>47362</v>
      </c>
      <c r="C108" s="486">
        <f t="shared" si="5"/>
        <v>30</v>
      </c>
      <c r="D108" s="529">
        <f t="shared" si="9"/>
        <v>20</v>
      </c>
      <c r="E108" s="467">
        <f t="shared" si="6"/>
        <v>5</v>
      </c>
      <c r="F108" s="539">
        <f t="shared" si="7"/>
        <v>5</v>
      </c>
      <c r="G108" s="495"/>
      <c r="H108" s="493">
        <f t="shared" si="8"/>
        <v>20</v>
      </c>
      <c r="I108" s="489"/>
      <c r="M108" t="s">
        <v>1703</v>
      </c>
    </row>
    <row r="109" spans="2:13">
      <c r="B109" s="485">
        <v>47392</v>
      </c>
      <c r="C109" s="486">
        <f t="shared" si="5"/>
        <v>31</v>
      </c>
      <c r="D109" s="529">
        <f t="shared" si="9"/>
        <v>23</v>
      </c>
      <c r="E109" s="467">
        <f t="shared" si="6"/>
        <v>4</v>
      </c>
      <c r="F109" s="539">
        <f t="shared" si="7"/>
        <v>4</v>
      </c>
      <c r="G109" s="495"/>
      <c r="H109" s="493">
        <f t="shared" si="8"/>
        <v>23</v>
      </c>
      <c r="I109" s="489"/>
      <c r="M109" t="s">
        <v>1704</v>
      </c>
    </row>
    <row r="110" spans="2:13">
      <c r="B110" s="485">
        <v>47423</v>
      </c>
      <c r="C110" s="486">
        <f t="shared" si="5"/>
        <v>30</v>
      </c>
      <c r="D110" s="529">
        <f t="shared" si="9"/>
        <v>22</v>
      </c>
      <c r="E110" s="467">
        <f t="shared" si="6"/>
        <v>4</v>
      </c>
      <c r="F110" s="539">
        <f t="shared" si="7"/>
        <v>4</v>
      </c>
      <c r="G110" s="495"/>
      <c r="H110" s="493">
        <f t="shared" si="8"/>
        <v>22</v>
      </c>
      <c r="I110" s="489"/>
      <c r="M110" t="s">
        <v>1705</v>
      </c>
    </row>
    <row r="111" spans="2:13" ht="17.25" thickBot="1">
      <c r="B111" s="691">
        <v>47453</v>
      </c>
      <c r="C111" s="692">
        <f t="shared" si="5"/>
        <v>31</v>
      </c>
      <c r="D111" s="337">
        <f t="shared" si="9"/>
        <v>21</v>
      </c>
      <c r="E111" s="337">
        <f t="shared" si="6"/>
        <v>5</v>
      </c>
      <c r="F111" s="693">
        <f t="shared" si="7"/>
        <v>5</v>
      </c>
      <c r="G111" s="694"/>
      <c r="H111" s="695">
        <f t="shared" si="8"/>
        <v>21</v>
      </c>
      <c r="I111" s="489"/>
    </row>
    <row r="112" spans="2:13">
      <c r="B112" s="487">
        <v>47484</v>
      </c>
      <c r="C112" s="488">
        <f t="shared" si="5"/>
        <v>31</v>
      </c>
      <c r="D112" s="689">
        <f t="shared" si="9"/>
        <v>23</v>
      </c>
      <c r="E112" s="689">
        <f t="shared" si="6"/>
        <v>4</v>
      </c>
      <c r="F112" s="538">
        <f t="shared" si="7"/>
        <v>4</v>
      </c>
      <c r="G112" s="690"/>
      <c r="H112" s="492">
        <f t="shared" si="8"/>
        <v>23</v>
      </c>
      <c r="I112" s="489"/>
      <c r="M112" t="s">
        <v>1706</v>
      </c>
    </row>
    <row r="113" spans="2:9">
      <c r="B113" s="485">
        <v>47515</v>
      </c>
      <c r="C113" s="486">
        <f t="shared" si="5"/>
        <v>28</v>
      </c>
      <c r="D113" s="529">
        <f t="shared" si="9"/>
        <v>20</v>
      </c>
      <c r="E113" s="467">
        <f t="shared" si="6"/>
        <v>4</v>
      </c>
      <c r="F113" s="539">
        <f t="shared" si="7"/>
        <v>4</v>
      </c>
      <c r="G113" s="495"/>
      <c r="H113" s="493">
        <f t="shared" si="8"/>
        <v>20</v>
      </c>
      <c r="I113" s="489"/>
    </row>
    <row r="114" spans="2:9">
      <c r="B114" s="485">
        <v>47543</v>
      </c>
      <c r="C114" s="486">
        <f t="shared" si="5"/>
        <v>31</v>
      </c>
      <c r="D114" s="529">
        <f t="shared" si="9"/>
        <v>21</v>
      </c>
      <c r="E114" s="467">
        <f t="shared" si="6"/>
        <v>5</v>
      </c>
      <c r="F114" s="539">
        <f t="shared" si="7"/>
        <v>5</v>
      </c>
      <c r="G114" s="495"/>
      <c r="H114" s="493">
        <f t="shared" si="8"/>
        <v>21</v>
      </c>
      <c r="I114" s="489"/>
    </row>
    <row r="115" spans="2:9">
      <c r="B115" s="485">
        <v>47574</v>
      </c>
      <c r="C115" s="486">
        <f t="shared" si="5"/>
        <v>30</v>
      </c>
      <c r="D115" s="529">
        <f t="shared" si="9"/>
        <v>22</v>
      </c>
      <c r="E115" s="467">
        <f t="shared" si="6"/>
        <v>4</v>
      </c>
      <c r="F115" s="539">
        <f t="shared" si="7"/>
        <v>4</v>
      </c>
      <c r="G115" s="495"/>
      <c r="H115" s="493">
        <f t="shared" si="8"/>
        <v>22</v>
      </c>
      <c r="I115" s="489"/>
    </row>
    <row r="116" spans="2:9">
      <c r="B116" s="696">
        <v>47604</v>
      </c>
      <c r="C116" s="486">
        <f t="shared" si="5"/>
        <v>31</v>
      </c>
      <c r="D116" s="529">
        <f t="shared" si="9"/>
        <v>23</v>
      </c>
      <c r="E116" s="467">
        <f t="shared" si="6"/>
        <v>4</v>
      </c>
      <c r="F116" s="539">
        <f t="shared" si="7"/>
        <v>4</v>
      </c>
      <c r="G116" s="495"/>
      <c r="H116" s="493">
        <f t="shared" si="8"/>
        <v>23</v>
      </c>
      <c r="I116" s="489" t="str">
        <f>TEXT(EOMONTH(B116,-1)+1,"aaaa")</f>
        <v>수요일</v>
      </c>
    </row>
    <row r="117" spans="2:9">
      <c r="B117" s="485">
        <v>47635</v>
      </c>
      <c r="C117" s="486">
        <f t="shared" si="5"/>
        <v>30</v>
      </c>
      <c r="D117" s="529">
        <f t="shared" si="9"/>
        <v>20</v>
      </c>
      <c r="E117" s="467">
        <f t="shared" si="6"/>
        <v>5</v>
      </c>
      <c r="F117" s="539">
        <f t="shared" si="7"/>
        <v>5</v>
      </c>
      <c r="G117" s="495"/>
      <c r="H117" s="493">
        <f t="shared" si="8"/>
        <v>20</v>
      </c>
      <c r="I117" s="489"/>
    </row>
    <row r="118" spans="2:9">
      <c r="B118" s="485">
        <v>47665</v>
      </c>
      <c r="C118" s="486">
        <f t="shared" si="5"/>
        <v>31</v>
      </c>
      <c r="D118" s="529">
        <f t="shared" si="9"/>
        <v>23</v>
      </c>
      <c r="E118" s="467">
        <f t="shared" si="6"/>
        <v>4</v>
      </c>
      <c r="F118" s="539">
        <f t="shared" si="7"/>
        <v>4</v>
      </c>
      <c r="G118" s="495"/>
      <c r="H118" s="493">
        <f t="shared" si="8"/>
        <v>23</v>
      </c>
      <c r="I118" s="489"/>
    </row>
    <row r="119" spans="2:9">
      <c r="B119" s="485">
        <v>47696</v>
      </c>
      <c r="C119" s="486">
        <f t="shared" si="5"/>
        <v>31</v>
      </c>
      <c r="D119" s="529">
        <f t="shared" si="9"/>
        <v>22</v>
      </c>
      <c r="E119" s="467">
        <f t="shared" si="6"/>
        <v>4</v>
      </c>
      <c r="F119" s="539">
        <f t="shared" si="7"/>
        <v>5</v>
      </c>
      <c r="G119" s="495"/>
      <c r="H119" s="493">
        <f t="shared" si="8"/>
        <v>22</v>
      </c>
      <c r="I119" s="489"/>
    </row>
    <row r="120" spans="2:9">
      <c r="B120" s="485">
        <v>47727</v>
      </c>
      <c r="C120" s="486">
        <f t="shared" si="5"/>
        <v>30</v>
      </c>
      <c r="D120" s="529">
        <f t="shared" si="9"/>
        <v>21</v>
      </c>
      <c r="E120" s="467">
        <f t="shared" si="6"/>
        <v>5</v>
      </c>
      <c r="F120" s="539">
        <f t="shared" si="7"/>
        <v>4</v>
      </c>
      <c r="G120" s="495"/>
      <c r="H120" s="493">
        <f t="shared" si="8"/>
        <v>21</v>
      </c>
      <c r="I120" s="489"/>
    </row>
    <row r="121" spans="2:9">
      <c r="B121" s="485">
        <v>47757</v>
      </c>
      <c r="C121" s="486">
        <f t="shared" si="5"/>
        <v>31</v>
      </c>
      <c r="D121" s="529">
        <f t="shared" si="9"/>
        <v>23</v>
      </c>
      <c r="E121" s="467">
        <f t="shared" si="6"/>
        <v>4</v>
      </c>
      <c r="F121" s="539">
        <f t="shared" si="7"/>
        <v>4</v>
      </c>
      <c r="G121" s="495"/>
      <c r="H121" s="493">
        <f t="shared" si="8"/>
        <v>23</v>
      </c>
      <c r="I121" s="489"/>
    </row>
    <row r="122" spans="2:9">
      <c r="B122" s="485">
        <v>47788</v>
      </c>
      <c r="C122" s="486">
        <f t="shared" si="5"/>
        <v>30</v>
      </c>
      <c r="D122" s="529">
        <f t="shared" si="9"/>
        <v>21</v>
      </c>
      <c r="E122" s="467">
        <f t="shared" si="6"/>
        <v>4</v>
      </c>
      <c r="F122" s="539">
        <f t="shared" si="7"/>
        <v>5</v>
      </c>
      <c r="G122" s="495"/>
      <c r="H122" s="493">
        <f t="shared" si="8"/>
        <v>21</v>
      </c>
      <c r="I122" s="489"/>
    </row>
    <row r="123" spans="2:9" ht="17.25" thickBot="1">
      <c r="B123" s="691">
        <v>47818</v>
      </c>
      <c r="C123" s="692">
        <f t="shared" si="5"/>
        <v>31</v>
      </c>
      <c r="D123" s="337">
        <f t="shared" si="9"/>
        <v>22</v>
      </c>
      <c r="E123" s="337">
        <f t="shared" si="6"/>
        <v>5</v>
      </c>
      <c r="F123" s="693">
        <f t="shared" si="7"/>
        <v>4</v>
      </c>
      <c r="G123" s="694"/>
      <c r="H123" s="695">
        <f t="shared" si="8"/>
        <v>22</v>
      </c>
      <c r="I123" s="489"/>
    </row>
    <row r="124" spans="2:9">
      <c r="B124" s="487">
        <v>47849</v>
      </c>
      <c r="C124" s="488">
        <f t="shared" si="5"/>
        <v>31</v>
      </c>
      <c r="D124" s="689">
        <f t="shared" si="9"/>
        <v>23</v>
      </c>
      <c r="E124" s="689">
        <f t="shared" si="6"/>
        <v>4</v>
      </c>
      <c r="F124" s="538">
        <f t="shared" si="7"/>
        <v>4</v>
      </c>
      <c r="G124" s="690"/>
      <c r="H124" s="492">
        <f t="shared" si="8"/>
        <v>23</v>
      </c>
      <c r="I124" s="489"/>
    </row>
    <row r="125" spans="2:9">
      <c r="B125" s="485">
        <v>47880</v>
      </c>
      <c r="C125" s="486">
        <f t="shared" si="5"/>
        <v>28</v>
      </c>
      <c r="D125" s="529">
        <f t="shared" si="9"/>
        <v>20</v>
      </c>
      <c r="E125" s="467">
        <f t="shared" si="6"/>
        <v>4</v>
      </c>
      <c r="F125" s="539">
        <f t="shared" si="7"/>
        <v>4</v>
      </c>
      <c r="G125" s="495"/>
      <c r="H125" s="493">
        <f t="shared" si="8"/>
        <v>20</v>
      </c>
      <c r="I125" s="489"/>
    </row>
    <row r="126" spans="2:9">
      <c r="B126" s="485">
        <v>47908</v>
      </c>
      <c r="C126" s="486">
        <f t="shared" si="5"/>
        <v>31</v>
      </c>
      <c r="D126" s="529">
        <f t="shared" si="9"/>
        <v>21</v>
      </c>
      <c r="E126" s="467">
        <f t="shared" si="6"/>
        <v>5</v>
      </c>
      <c r="F126" s="539">
        <f t="shared" si="7"/>
        <v>5</v>
      </c>
      <c r="G126" s="495"/>
      <c r="H126" s="493">
        <f t="shared" si="8"/>
        <v>21</v>
      </c>
      <c r="I126" s="489"/>
    </row>
    <row r="127" spans="2:9">
      <c r="B127" s="485">
        <v>47939</v>
      </c>
      <c r="C127" s="486">
        <f t="shared" si="5"/>
        <v>30</v>
      </c>
      <c r="D127" s="529">
        <f t="shared" si="9"/>
        <v>22</v>
      </c>
      <c r="E127" s="467">
        <f t="shared" si="6"/>
        <v>4</v>
      </c>
      <c r="F127" s="539">
        <f t="shared" si="7"/>
        <v>4</v>
      </c>
      <c r="G127" s="495"/>
      <c r="H127" s="493">
        <f t="shared" si="8"/>
        <v>22</v>
      </c>
      <c r="I127" s="489"/>
    </row>
    <row r="128" spans="2:9">
      <c r="B128" s="696">
        <v>47969</v>
      </c>
      <c r="C128" s="486">
        <f t="shared" si="5"/>
        <v>31</v>
      </c>
      <c r="D128" s="529">
        <f t="shared" si="9"/>
        <v>22</v>
      </c>
      <c r="E128" s="467">
        <f t="shared" si="6"/>
        <v>4</v>
      </c>
      <c r="F128" s="539">
        <f t="shared" si="7"/>
        <v>5</v>
      </c>
      <c r="G128" s="495"/>
      <c r="H128" s="493">
        <f t="shared" si="8"/>
        <v>22</v>
      </c>
      <c r="I128" s="489" t="str">
        <f>TEXT(EOMONTH(B128,-1)+1,"aaaa")</f>
        <v>목요일</v>
      </c>
    </row>
    <row r="129" spans="2:9">
      <c r="B129" s="485">
        <v>48000</v>
      </c>
      <c r="C129" s="486">
        <f t="shared" si="5"/>
        <v>30</v>
      </c>
      <c r="D129" s="529">
        <f t="shared" si="9"/>
        <v>21</v>
      </c>
      <c r="E129" s="467">
        <f t="shared" si="6"/>
        <v>5</v>
      </c>
      <c r="F129" s="539">
        <f t="shared" si="7"/>
        <v>4</v>
      </c>
      <c r="G129" s="495"/>
      <c r="H129" s="493">
        <f t="shared" si="8"/>
        <v>21</v>
      </c>
      <c r="I129" s="489"/>
    </row>
    <row r="130" spans="2:9">
      <c r="B130" s="485">
        <v>48030</v>
      </c>
      <c r="C130" s="486">
        <f t="shared" si="5"/>
        <v>31</v>
      </c>
      <c r="D130" s="529">
        <f t="shared" si="9"/>
        <v>23</v>
      </c>
      <c r="E130" s="467">
        <f t="shared" si="6"/>
        <v>4</v>
      </c>
      <c r="F130" s="539">
        <f t="shared" si="7"/>
        <v>4</v>
      </c>
      <c r="G130" s="495"/>
      <c r="H130" s="493">
        <f t="shared" si="8"/>
        <v>23</v>
      </c>
      <c r="I130" s="489"/>
    </row>
    <row r="131" spans="2:9">
      <c r="B131" s="485">
        <v>48061</v>
      </c>
      <c r="C131" s="486">
        <f t="shared" si="5"/>
        <v>31</v>
      </c>
      <c r="D131" s="529">
        <f t="shared" si="9"/>
        <v>21</v>
      </c>
      <c r="E131" s="467">
        <f t="shared" si="6"/>
        <v>5</v>
      </c>
      <c r="F131" s="539">
        <f t="shared" si="7"/>
        <v>5</v>
      </c>
      <c r="G131" s="495"/>
      <c r="H131" s="493">
        <f t="shared" si="8"/>
        <v>21</v>
      </c>
      <c r="I131" s="489"/>
    </row>
    <row r="132" spans="2:9">
      <c r="B132" s="485">
        <v>48092</v>
      </c>
      <c r="C132" s="486">
        <f t="shared" si="5"/>
        <v>30</v>
      </c>
      <c r="D132" s="529">
        <f t="shared" si="9"/>
        <v>22</v>
      </c>
      <c r="E132" s="467">
        <f t="shared" si="6"/>
        <v>4</v>
      </c>
      <c r="F132" s="539">
        <f t="shared" si="7"/>
        <v>4</v>
      </c>
      <c r="G132" s="495"/>
      <c r="H132" s="493">
        <f t="shared" si="8"/>
        <v>22</v>
      </c>
      <c r="I132" s="489"/>
    </row>
    <row r="133" spans="2:9">
      <c r="B133" s="485">
        <v>48122</v>
      </c>
      <c r="C133" s="486">
        <f t="shared" ref="C133:C196" si="10">EOMONTH(B133,0)-EOMONTH(B133,-1)</f>
        <v>31</v>
      </c>
      <c r="D133" s="529">
        <f t="shared" si="9"/>
        <v>23</v>
      </c>
      <c r="E133" s="467">
        <f t="shared" ref="E133:E196" si="11">CEILING((DAY(EOMONTH(B133,0))-MOD(8-WEEKDAY(B133),7))/7,1)</f>
        <v>4</v>
      </c>
      <c r="F133" s="539">
        <f t="shared" ref="F133:F196" si="12">C133-D133-E133</f>
        <v>4</v>
      </c>
      <c r="G133" s="495"/>
      <c r="H133" s="493">
        <f t="shared" ref="H133:H196" si="13">D133-G133</f>
        <v>23</v>
      </c>
      <c r="I133" s="489"/>
    </row>
    <row r="134" spans="2:9">
      <c r="B134" s="485">
        <v>48153</v>
      </c>
      <c r="C134" s="486">
        <f t="shared" si="10"/>
        <v>30</v>
      </c>
      <c r="D134" s="529">
        <f t="shared" ref="D134:D197" si="14">NETWORKDAYS(EOMONTH(B134,-1)+1,EOMONTH(B134,0))</f>
        <v>20</v>
      </c>
      <c r="E134" s="467">
        <f t="shared" si="11"/>
        <v>5</v>
      </c>
      <c r="F134" s="539">
        <f t="shared" si="12"/>
        <v>5</v>
      </c>
      <c r="G134" s="495"/>
      <c r="H134" s="493">
        <f t="shared" si="13"/>
        <v>20</v>
      </c>
      <c r="I134" s="489"/>
    </row>
    <row r="135" spans="2:9" ht="17.25" thickBot="1">
      <c r="B135" s="691">
        <v>48183</v>
      </c>
      <c r="C135" s="692">
        <f t="shared" si="10"/>
        <v>31</v>
      </c>
      <c r="D135" s="337">
        <f t="shared" si="14"/>
        <v>23</v>
      </c>
      <c r="E135" s="337">
        <f t="shared" si="11"/>
        <v>4</v>
      </c>
      <c r="F135" s="693">
        <f t="shared" si="12"/>
        <v>4</v>
      </c>
      <c r="G135" s="694"/>
      <c r="H135" s="695">
        <f t="shared" si="13"/>
        <v>23</v>
      </c>
      <c r="I135" s="489"/>
    </row>
    <row r="136" spans="2:9">
      <c r="B136" s="487">
        <v>48214</v>
      </c>
      <c r="C136" s="488">
        <f t="shared" si="10"/>
        <v>31</v>
      </c>
      <c r="D136" s="689">
        <f t="shared" si="14"/>
        <v>22</v>
      </c>
      <c r="E136" s="689">
        <f t="shared" si="11"/>
        <v>4</v>
      </c>
      <c r="F136" s="538">
        <f t="shared" si="12"/>
        <v>5</v>
      </c>
      <c r="G136" s="690"/>
      <c r="H136" s="492">
        <f t="shared" si="13"/>
        <v>22</v>
      </c>
      <c r="I136" s="489"/>
    </row>
    <row r="137" spans="2:9">
      <c r="B137" s="485">
        <v>48245</v>
      </c>
      <c r="C137" s="486">
        <f t="shared" si="10"/>
        <v>29</v>
      </c>
      <c r="D137" s="529">
        <f t="shared" si="14"/>
        <v>20</v>
      </c>
      <c r="E137" s="467">
        <f t="shared" si="11"/>
        <v>5</v>
      </c>
      <c r="F137" s="539">
        <f t="shared" si="12"/>
        <v>4</v>
      </c>
      <c r="G137" s="495"/>
      <c r="H137" s="493">
        <f t="shared" si="13"/>
        <v>20</v>
      </c>
      <c r="I137" s="489"/>
    </row>
    <row r="138" spans="2:9">
      <c r="B138" s="485">
        <v>48274</v>
      </c>
      <c r="C138" s="486">
        <f t="shared" si="10"/>
        <v>31</v>
      </c>
      <c r="D138" s="529">
        <f t="shared" si="14"/>
        <v>23</v>
      </c>
      <c r="E138" s="467">
        <f t="shared" si="11"/>
        <v>4</v>
      </c>
      <c r="F138" s="539">
        <f t="shared" si="12"/>
        <v>4</v>
      </c>
      <c r="G138" s="495"/>
      <c r="H138" s="493">
        <f t="shared" si="13"/>
        <v>23</v>
      </c>
      <c r="I138" s="489"/>
    </row>
    <row r="139" spans="2:9">
      <c r="B139" s="485">
        <v>48305</v>
      </c>
      <c r="C139" s="486">
        <f t="shared" si="10"/>
        <v>30</v>
      </c>
      <c r="D139" s="529">
        <f t="shared" si="14"/>
        <v>22</v>
      </c>
      <c r="E139" s="467">
        <f t="shared" si="11"/>
        <v>4</v>
      </c>
      <c r="F139" s="539">
        <f t="shared" si="12"/>
        <v>4</v>
      </c>
      <c r="G139" s="495"/>
      <c r="H139" s="493">
        <f t="shared" si="13"/>
        <v>22</v>
      </c>
      <c r="I139" s="489"/>
    </row>
    <row r="140" spans="2:9">
      <c r="B140" s="696">
        <v>48335</v>
      </c>
      <c r="C140" s="486">
        <f t="shared" si="10"/>
        <v>31</v>
      </c>
      <c r="D140" s="529">
        <f t="shared" si="14"/>
        <v>21</v>
      </c>
      <c r="E140" s="467">
        <f t="shared" si="11"/>
        <v>5</v>
      </c>
      <c r="F140" s="539">
        <f t="shared" si="12"/>
        <v>5</v>
      </c>
      <c r="G140" s="495"/>
      <c r="H140" s="493">
        <f t="shared" si="13"/>
        <v>21</v>
      </c>
      <c r="I140" s="489" t="str">
        <f>TEXT(EOMONTH(B140,-1)+1,"aaaa")</f>
        <v>토요일</v>
      </c>
    </row>
    <row r="141" spans="2:9">
      <c r="B141" s="485">
        <v>48366</v>
      </c>
      <c r="C141" s="486">
        <f t="shared" si="10"/>
        <v>30</v>
      </c>
      <c r="D141" s="529">
        <f t="shared" si="14"/>
        <v>22</v>
      </c>
      <c r="E141" s="467">
        <f t="shared" si="11"/>
        <v>4</v>
      </c>
      <c r="F141" s="539">
        <f t="shared" si="12"/>
        <v>4</v>
      </c>
      <c r="G141" s="495"/>
      <c r="H141" s="493">
        <f t="shared" si="13"/>
        <v>22</v>
      </c>
      <c r="I141" s="489"/>
    </row>
    <row r="142" spans="2:9">
      <c r="B142" s="485">
        <v>48396</v>
      </c>
      <c r="C142" s="486">
        <f t="shared" si="10"/>
        <v>31</v>
      </c>
      <c r="D142" s="529">
        <f t="shared" si="14"/>
        <v>22</v>
      </c>
      <c r="E142" s="467">
        <f t="shared" si="11"/>
        <v>4</v>
      </c>
      <c r="F142" s="539">
        <f t="shared" si="12"/>
        <v>5</v>
      </c>
      <c r="G142" s="495"/>
      <c r="H142" s="493">
        <f t="shared" si="13"/>
        <v>22</v>
      </c>
      <c r="I142" s="489"/>
    </row>
    <row r="143" spans="2:9">
      <c r="B143" s="485">
        <v>48427</v>
      </c>
      <c r="C143" s="486">
        <f t="shared" si="10"/>
        <v>31</v>
      </c>
      <c r="D143" s="529">
        <f t="shared" si="14"/>
        <v>22</v>
      </c>
      <c r="E143" s="467">
        <f t="shared" si="11"/>
        <v>5</v>
      </c>
      <c r="F143" s="539">
        <f t="shared" si="12"/>
        <v>4</v>
      </c>
      <c r="G143" s="495"/>
      <c r="H143" s="493">
        <f t="shared" si="13"/>
        <v>22</v>
      </c>
      <c r="I143" s="489"/>
    </row>
    <row r="144" spans="2:9">
      <c r="B144" s="485">
        <v>48458</v>
      </c>
      <c r="C144" s="486">
        <f t="shared" si="10"/>
        <v>30</v>
      </c>
      <c r="D144" s="529">
        <f t="shared" si="14"/>
        <v>22</v>
      </c>
      <c r="E144" s="467">
        <f t="shared" si="11"/>
        <v>4</v>
      </c>
      <c r="F144" s="539">
        <f t="shared" si="12"/>
        <v>4</v>
      </c>
      <c r="G144" s="495"/>
      <c r="H144" s="493">
        <f t="shared" si="13"/>
        <v>22</v>
      </c>
      <c r="I144" s="489"/>
    </row>
    <row r="145" spans="2:9">
      <c r="B145" s="485">
        <v>48488</v>
      </c>
      <c r="C145" s="486">
        <f t="shared" si="10"/>
        <v>31</v>
      </c>
      <c r="D145" s="529">
        <f t="shared" si="14"/>
        <v>21</v>
      </c>
      <c r="E145" s="467">
        <f t="shared" si="11"/>
        <v>5</v>
      </c>
      <c r="F145" s="539">
        <f t="shared" si="12"/>
        <v>5</v>
      </c>
      <c r="G145" s="495"/>
      <c r="H145" s="493">
        <f t="shared" si="13"/>
        <v>21</v>
      </c>
      <c r="I145" s="489"/>
    </row>
    <row r="146" spans="2:9">
      <c r="B146" s="485">
        <v>48519</v>
      </c>
      <c r="C146" s="486">
        <f t="shared" si="10"/>
        <v>30</v>
      </c>
      <c r="D146" s="529">
        <f t="shared" si="14"/>
        <v>22</v>
      </c>
      <c r="E146" s="467">
        <f t="shared" si="11"/>
        <v>4</v>
      </c>
      <c r="F146" s="539">
        <f t="shared" si="12"/>
        <v>4</v>
      </c>
      <c r="G146" s="495"/>
      <c r="H146" s="493">
        <f t="shared" si="13"/>
        <v>22</v>
      </c>
      <c r="I146" s="489"/>
    </row>
    <row r="147" spans="2:9" ht="17.25" thickBot="1">
      <c r="B147" s="691">
        <v>48549</v>
      </c>
      <c r="C147" s="692">
        <f t="shared" si="10"/>
        <v>31</v>
      </c>
      <c r="D147" s="337">
        <f t="shared" si="14"/>
        <v>23</v>
      </c>
      <c r="E147" s="337">
        <f t="shared" si="11"/>
        <v>4</v>
      </c>
      <c r="F147" s="693">
        <f t="shared" si="12"/>
        <v>4</v>
      </c>
      <c r="G147" s="694"/>
      <c r="H147" s="695">
        <f t="shared" si="13"/>
        <v>23</v>
      </c>
      <c r="I147" s="489"/>
    </row>
    <row r="148" spans="2:9">
      <c r="B148" s="487">
        <v>48580</v>
      </c>
      <c r="C148" s="488">
        <f t="shared" si="10"/>
        <v>31</v>
      </c>
      <c r="D148" s="689">
        <f t="shared" si="14"/>
        <v>21</v>
      </c>
      <c r="E148" s="689">
        <f t="shared" si="11"/>
        <v>5</v>
      </c>
      <c r="F148" s="538">
        <f t="shared" si="12"/>
        <v>5</v>
      </c>
      <c r="G148" s="690"/>
      <c r="H148" s="492">
        <f t="shared" si="13"/>
        <v>21</v>
      </c>
      <c r="I148" s="489"/>
    </row>
    <row r="149" spans="2:9">
      <c r="B149" s="485">
        <v>48611</v>
      </c>
      <c r="C149" s="486">
        <f t="shared" si="10"/>
        <v>28</v>
      </c>
      <c r="D149" s="529">
        <f t="shared" si="14"/>
        <v>20</v>
      </c>
      <c r="E149" s="467">
        <f t="shared" si="11"/>
        <v>4</v>
      </c>
      <c r="F149" s="539">
        <f t="shared" si="12"/>
        <v>4</v>
      </c>
      <c r="G149" s="495"/>
      <c r="H149" s="493">
        <f t="shared" si="13"/>
        <v>20</v>
      </c>
      <c r="I149" s="489"/>
    </row>
    <row r="150" spans="2:9">
      <c r="B150" s="485">
        <v>48639</v>
      </c>
      <c r="C150" s="486">
        <f t="shared" si="10"/>
        <v>31</v>
      </c>
      <c r="D150" s="529">
        <f t="shared" si="14"/>
        <v>23</v>
      </c>
      <c r="E150" s="467">
        <f t="shared" si="11"/>
        <v>4</v>
      </c>
      <c r="F150" s="539">
        <f t="shared" si="12"/>
        <v>4</v>
      </c>
      <c r="G150" s="495"/>
      <c r="H150" s="493">
        <f t="shared" si="13"/>
        <v>23</v>
      </c>
      <c r="I150" s="489"/>
    </row>
    <row r="151" spans="2:9">
      <c r="B151" s="485">
        <v>48670</v>
      </c>
      <c r="C151" s="486">
        <f t="shared" si="10"/>
        <v>30</v>
      </c>
      <c r="D151" s="529">
        <f t="shared" si="14"/>
        <v>21</v>
      </c>
      <c r="E151" s="467">
        <f t="shared" si="11"/>
        <v>4</v>
      </c>
      <c r="F151" s="539">
        <f t="shared" si="12"/>
        <v>5</v>
      </c>
      <c r="G151" s="495"/>
      <c r="H151" s="493">
        <f t="shared" si="13"/>
        <v>21</v>
      </c>
      <c r="I151" s="489"/>
    </row>
    <row r="152" spans="2:9">
      <c r="B152" s="696">
        <v>48700</v>
      </c>
      <c r="C152" s="486">
        <f t="shared" si="10"/>
        <v>31</v>
      </c>
      <c r="D152" s="529">
        <f t="shared" si="14"/>
        <v>22</v>
      </c>
      <c r="E152" s="467">
        <f t="shared" si="11"/>
        <v>5</v>
      </c>
      <c r="F152" s="539">
        <f t="shared" si="12"/>
        <v>4</v>
      </c>
      <c r="G152" s="495"/>
      <c r="H152" s="493">
        <f t="shared" si="13"/>
        <v>22</v>
      </c>
      <c r="I152" s="489" t="str">
        <f>TEXT(EOMONTH(B152,-1)+1,"aaaa")</f>
        <v>일요일</v>
      </c>
    </row>
    <row r="153" spans="2:9">
      <c r="B153" s="485">
        <v>48731</v>
      </c>
      <c r="C153" s="486">
        <f t="shared" si="10"/>
        <v>30</v>
      </c>
      <c r="D153" s="529">
        <f t="shared" si="14"/>
        <v>22</v>
      </c>
      <c r="E153" s="467">
        <f t="shared" si="11"/>
        <v>4</v>
      </c>
      <c r="F153" s="539">
        <f t="shared" si="12"/>
        <v>4</v>
      </c>
      <c r="G153" s="495"/>
      <c r="H153" s="493">
        <f t="shared" si="13"/>
        <v>22</v>
      </c>
      <c r="I153" s="489"/>
    </row>
    <row r="154" spans="2:9">
      <c r="B154" s="485">
        <v>48761</v>
      </c>
      <c r="C154" s="486">
        <f t="shared" si="10"/>
        <v>31</v>
      </c>
      <c r="D154" s="529">
        <f t="shared" si="14"/>
        <v>21</v>
      </c>
      <c r="E154" s="467">
        <f t="shared" si="11"/>
        <v>5</v>
      </c>
      <c r="F154" s="539">
        <f t="shared" si="12"/>
        <v>5</v>
      </c>
      <c r="G154" s="495"/>
      <c r="H154" s="493">
        <f t="shared" si="13"/>
        <v>21</v>
      </c>
      <c r="I154" s="489"/>
    </row>
    <row r="155" spans="2:9">
      <c r="B155" s="485">
        <v>48792</v>
      </c>
      <c r="C155" s="486">
        <f t="shared" si="10"/>
        <v>31</v>
      </c>
      <c r="D155" s="529">
        <f t="shared" si="14"/>
        <v>23</v>
      </c>
      <c r="E155" s="467">
        <f t="shared" si="11"/>
        <v>4</v>
      </c>
      <c r="F155" s="539">
        <f t="shared" si="12"/>
        <v>4</v>
      </c>
      <c r="G155" s="495"/>
      <c r="H155" s="493">
        <f t="shared" si="13"/>
        <v>23</v>
      </c>
      <c r="I155" s="489"/>
    </row>
    <row r="156" spans="2:9">
      <c r="B156" s="485">
        <v>48823</v>
      </c>
      <c r="C156" s="486">
        <f t="shared" si="10"/>
        <v>30</v>
      </c>
      <c r="D156" s="529">
        <f t="shared" si="14"/>
        <v>22</v>
      </c>
      <c r="E156" s="467">
        <f t="shared" si="11"/>
        <v>4</v>
      </c>
      <c r="F156" s="539">
        <f t="shared" si="12"/>
        <v>4</v>
      </c>
      <c r="G156" s="495"/>
      <c r="H156" s="493">
        <f t="shared" si="13"/>
        <v>22</v>
      </c>
      <c r="I156" s="489"/>
    </row>
    <row r="157" spans="2:9">
      <c r="B157" s="485">
        <v>48853</v>
      </c>
      <c r="C157" s="486">
        <f t="shared" si="10"/>
        <v>31</v>
      </c>
      <c r="D157" s="529">
        <f t="shared" si="14"/>
        <v>21</v>
      </c>
      <c r="E157" s="467">
        <f t="shared" si="11"/>
        <v>5</v>
      </c>
      <c r="F157" s="539">
        <f t="shared" si="12"/>
        <v>5</v>
      </c>
      <c r="G157" s="495"/>
      <c r="H157" s="493">
        <f t="shared" si="13"/>
        <v>21</v>
      </c>
      <c r="I157" s="489"/>
    </row>
    <row r="158" spans="2:9">
      <c r="B158" s="485">
        <v>48884</v>
      </c>
      <c r="C158" s="486">
        <f t="shared" si="10"/>
        <v>30</v>
      </c>
      <c r="D158" s="529">
        <f t="shared" si="14"/>
        <v>22</v>
      </c>
      <c r="E158" s="467">
        <f t="shared" si="11"/>
        <v>4</v>
      </c>
      <c r="F158" s="539">
        <f t="shared" si="12"/>
        <v>4</v>
      </c>
      <c r="G158" s="495"/>
      <c r="H158" s="493">
        <f t="shared" si="13"/>
        <v>22</v>
      </c>
      <c r="I158" s="489"/>
    </row>
    <row r="159" spans="2:9" ht="17.25" thickBot="1">
      <c r="B159" s="691">
        <v>48914</v>
      </c>
      <c r="C159" s="692">
        <f t="shared" si="10"/>
        <v>31</v>
      </c>
      <c r="D159" s="337">
        <f t="shared" si="14"/>
        <v>22</v>
      </c>
      <c r="E159" s="337">
        <f t="shared" si="11"/>
        <v>4</v>
      </c>
      <c r="F159" s="693">
        <f t="shared" si="12"/>
        <v>5</v>
      </c>
      <c r="G159" s="694"/>
      <c r="H159" s="695">
        <f t="shared" si="13"/>
        <v>22</v>
      </c>
      <c r="I159" s="489"/>
    </row>
    <row r="160" spans="2:9">
      <c r="B160" s="487">
        <v>48945</v>
      </c>
      <c r="C160" s="488">
        <f t="shared" si="10"/>
        <v>31</v>
      </c>
      <c r="D160" s="689">
        <f t="shared" si="14"/>
        <v>22</v>
      </c>
      <c r="E160" s="689">
        <f t="shared" si="11"/>
        <v>5</v>
      </c>
      <c r="F160" s="538">
        <f t="shared" si="12"/>
        <v>4</v>
      </c>
      <c r="G160" s="690"/>
      <c r="H160" s="492">
        <f t="shared" si="13"/>
        <v>22</v>
      </c>
      <c r="I160" s="489"/>
    </row>
    <row r="161" spans="2:9">
      <c r="B161" s="485">
        <v>48976</v>
      </c>
      <c r="C161" s="486">
        <f t="shared" si="10"/>
        <v>28</v>
      </c>
      <c r="D161" s="529">
        <f t="shared" si="14"/>
        <v>20</v>
      </c>
      <c r="E161" s="467">
        <f t="shared" si="11"/>
        <v>4</v>
      </c>
      <c r="F161" s="539">
        <f t="shared" si="12"/>
        <v>4</v>
      </c>
      <c r="G161" s="495"/>
      <c r="H161" s="493">
        <f t="shared" si="13"/>
        <v>20</v>
      </c>
      <c r="I161" s="489"/>
    </row>
    <row r="162" spans="2:9">
      <c r="B162" s="485">
        <v>49004</v>
      </c>
      <c r="C162" s="486">
        <f t="shared" si="10"/>
        <v>31</v>
      </c>
      <c r="D162" s="529">
        <f t="shared" si="14"/>
        <v>23</v>
      </c>
      <c r="E162" s="467">
        <f t="shared" si="11"/>
        <v>4</v>
      </c>
      <c r="F162" s="539">
        <f t="shared" si="12"/>
        <v>4</v>
      </c>
      <c r="G162" s="495"/>
      <c r="H162" s="493">
        <f t="shared" si="13"/>
        <v>23</v>
      </c>
      <c r="I162" s="489"/>
    </row>
    <row r="163" spans="2:9">
      <c r="B163" s="485">
        <v>49035</v>
      </c>
      <c r="C163" s="486">
        <f t="shared" si="10"/>
        <v>30</v>
      </c>
      <c r="D163" s="529">
        <f t="shared" si="14"/>
        <v>20</v>
      </c>
      <c r="E163" s="467">
        <f t="shared" si="11"/>
        <v>5</v>
      </c>
      <c r="F163" s="539">
        <f t="shared" si="12"/>
        <v>5</v>
      </c>
      <c r="G163" s="495"/>
      <c r="H163" s="493">
        <f t="shared" si="13"/>
        <v>20</v>
      </c>
      <c r="I163" s="489"/>
    </row>
    <row r="164" spans="2:9">
      <c r="B164" s="696">
        <v>49065</v>
      </c>
      <c r="C164" s="486">
        <f t="shared" si="10"/>
        <v>31</v>
      </c>
      <c r="D164" s="529">
        <f t="shared" si="14"/>
        <v>23</v>
      </c>
      <c r="E164" s="467">
        <f t="shared" si="11"/>
        <v>4</v>
      </c>
      <c r="F164" s="539">
        <f t="shared" si="12"/>
        <v>4</v>
      </c>
      <c r="G164" s="495"/>
      <c r="H164" s="493">
        <f t="shared" si="13"/>
        <v>23</v>
      </c>
      <c r="I164" s="489" t="str">
        <f>TEXT(EOMONTH(B164,-1)+1,"aaaa")</f>
        <v>월요일</v>
      </c>
    </row>
    <row r="165" spans="2:9">
      <c r="B165" s="485">
        <v>49096</v>
      </c>
      <c r="C165" s="486">
        <f t="shared" si="10"/>
        <v>30</v>
      </c>
      <c r="D165" s="529">
        <f t="shared" si="14"/>
        <v>22</v>
      </c>
      <c r="E165" s="467">
        <f t="shared" si="11"/>
        <v>4</v>
      </c>
      <c r="F165" s="539">
        <f t="shared" si="12"/>
        <v>4</v>
      </c>
      <c r="G165" s="495"/>
      <c r="H165" s="493">
        <f t="shared" si="13"/>
        <v>22</v>
      </c>
      <c r="I165" s="489"/>
    </row>
    <row r="166" spans="2:9">
      <c r="B166" s="485">
        <v>49126</v>
      </c>
      <c r="C166" s="486">
        <f t="shared" si="10"/>
        <v>31</v>
      </c>
      <c r="D166" s="529">
        <f t="shared" si="14"/>
        <v>21</v>
      </c>
      <c r="E166" s="467">
        <f t="shared" si="11"/>
        <v>5</v>
      </c>
      <c r="F166" s="539">
        <f t="shared" si="12"/>
        <v>5</v>
      </c>
      <c r="G166" s="495"/>
      <c r="H166" s="493">
        <f t="shared" si="13"/>
        <v>21</v>
      </c>
      <c r="I166" s="489"/>
    </row>
    <row r="167" spans="2:9">
      <c r="B167" s="485">
        <v>49157</v>
      </c>
      <c r="C167" s="486">
        <f t="shared" si="10"/>
        <v>31</v>
      </c>
      <c r="D167" s="529">
        <f t="shared" si="14"/>
        <v>23</v>
      </c>
      <c r="E167" s="467">
        <f t="shared" si="11"/>
        <v>4</v>
      </c>
      <c r="F167" s="539">
        <f t="shared" si="12"/>
        <v>4</v>
      </c>
      <c r="G167" s="495"/>
      <c r="H167" s="493">
        <f t="shared" si="13"/>
        <v>23</v>
      </c>
      <c r="I167" s="489"/>
    </row>
    <row r="168" spans="2:9">
      <c r="B168" s="485">
        <v>49188</v>
      </c>
      <c r="C168" s="486">
        <f t="shared" si="10"/>
        <v>30</v>
      </c>
      <c r="D168" s="529">
        <f t="shared" si="14"/>
        <v>21</v>
      </c>
      <c r="E168" s="467">
        <f t="shared" si="11"/>
        <v>4</v>
      </c>
      <c r="F168" s="539">
        <f t="shared" si="12"/>
        <v>5</v>
      </c>
      <c r="G168" s="495"/>
      <c r="H168" s="493">
        <f t="shared" si="13"/>
        <v>21</v>
      </c>
      <c r="I168" s="489"/>
    </row>
    <row r="169" spans="2:9">
      <c r="B169" s="485">
        <v>49218</v>
      </c>
      <c r="C169" s="486">
        <f t="shared" si="10"/>
        <v>31</v>
      </c>
      <c r="D169" s="529">
        <f t="shared" si="14"/>
        <v>22</v>
      </c>
      <c r="E169" s="467">
        <f t="shared" si="11"/>
        <v>5</v>
      </c>
      <c r="F169" s="539">
        <f t="shared" si="12"/>
        <v>4</v>
      </c>
      <c r="G169" s="495"/>
      <c r="H169" s="493">
        <f t="shared" si="13"/>
        <v>22</v>
      </c>
      <c r="I169" s="489"/>
    </row>
    <row r="170" spans="2:9">
      <c r="B170" s="485">
        <v>49249</v>
      </c>
      <c r="C170" s="486">
        <f t="shared" si="10"/>
        <v>30</v>
      </c>
      <c r="D170" s="529">
        <f t="shared" si="14"/>
        <v>22</v>
      </c>
      <c r="E170" s="467">
        <f t="shared" si="11"/>
        <v>4</v>
      </c>
      <c r="F170" s="539">
        <f t="shared" si="12"/>
        <v>4</v>
      </c>
      <c r="G170" s="495"/>
      <c r="H170" s="493">
        <f t="shared" si="13"/>
        <v>22</v>
      </c>
      <c r="I170" s="489"/>
    </row>
    <row r="171" spans="2:9" ht="17.25" thickBot="1">
      <c r="B171" s="691">
        <v>49279</v>
      </c>
      <c r="C171" s="692">
        <f t="shared" si="10"/>
        <v>31</v>
      </c>
      <c r="D171" s="337">
        <f t="shared" si="14"/>
        <v>21</v>
      </c>
      <c r="E171" s="337">
        <f t="shared" si="11"/>
        <v>5</v>
      </c>
      <c r="F171" s="693">
        <f t="shared" si="12"/>
        <v>5</v>
      </c>
      <c r="G171" s="694"/>
      <c r="H171" s="695">
        <f t="shared" si="13"/>
        <v>21</v>
      </c>
      <c r="I171" s="489"/>
    </row>
    <row r="172" spans="2:9">
      <c r="B172" s="487">
        <v>49310</v>
      </c>
      <c r="C172" s="488">
        <f t="shared" si="10"/>
        <v>31</v>
      </c>
      <c r="D172" s="689">
        <f t="shared" si="14"/>
        <v>23</v>
      </c>
      <c r="E172" s="689">
        <f t="shared" si="11"/>
        <v>4</v>
      </c>
      <c r="F172" s="538">
        <f t="shared" si="12"/>
        <v>4</v>
      </c>
      <c r="G172" s="690"/>
      <c r="H172" s="492">
        <f t="shared" si="13"/>
        <v>23</v>
      </c>
      <c r="I172" s="489"/>
    </row>
    <row r="173" spans="2:9">
      <c r="B173" s="485">
        <v>49341</v>
      </c>
      <c r="C173" s="486">
        <f t="shared" si="10"/>
        <v>28</v>
      </c>
      <c r="D173" s="529">
        <f t="shared" si="14"/>
        <v>20</v>
      </c>
      <c r="E173" s="467">
        <f t="shared" si="11"/>
        <v>4</v>
      </c>
      <c r="F173" s="539">
        <f t="shared" si="12"/>
        <v>4</v>
      </c>
      <c r="G173" s="495"/>
      <c r="H173" s="493">
        <f t="shared" si="13"/>
        <v>20</v>
      </c>
      <c r="I173" s="489"/>
    </row>
    <row r="174" spans="2:9">
      <c r="B174" s="485">
        <v>49369</v>
      </c>
      <c r="C174" s="486">
        <f t="shared" si="10"/>
        <v>31</v>
      </c>
      <c r="D174" s="529">
        <f t="shared" si="14"/>
        <v>22</v>
      </c>
      <c r="E174" s="467">
        <f t="shared" si="11"/>
        <v>4</v>
      </c>
      <c r="F174" s="539">
        <f t="shared" si="12"/>
        <v>5</v>
      </c>
      <c r="G174" s="495"/>
      <c r="H174" s="493">
        <f t="shared" si="13"/>
        <v>22</v>
      </c>
      <c r="I174" s="489"/>
    </row>
    <row r="175" spans="2:9">
      <c r="B175" s="485">
        <v>49400</v>
      </c>
      <c r="C175" s="486">
        <f t="shared" si="10"/>
        <v>30</v>
      </c>
      <c r="D175" s="529">
        <f t="shared" si="14"/>
        <v>21</v>
      </c>
      <c r="E175" s="467">
        <f t="shared" si="11"/>
        <v>5</v>
      </c>
      <c r="F175" s="539">
        <f t="shared" si="12"/>
        <v>4</v>
      </c>
      <c r="G175" s="495"/>
      <c r="H175" s="493">
        <f t="shared" si="13"/>
        <v>21</v>
      </c>
      <c r="I175" s="489"/>
    </row>
    <row r="176" spans="2:9">
      <c r="B176" s="696">
        <v>49430</v>
      </c>
      <c r="C176" s="486">
        <f t="shared" si="10"/>
        <v>31</v>
      </c>
      <c r="D176" s="529">
        <f t="shared" si="14"/>
        <v>23</v>
      </c>
      <c r="E176" s="467">
        <f t="shared" si="11"/>
        <v>4</v>
      </c>
      <c r="F176" s="539">
        <f t="shared" si="12"/>
        <v>4</v>
      </c>
      <c r="G176" s="495"/>
      <c r="H176" s="493">
        <f t="shared" si="13"/>
        <v>23</v>
      </c>
      <c r="I176" s="489" t="str">
        <f>TEXT(EOMONTH(B176,-1)+1,"aaaa")</f>
        <v>화요일</v>
      </c>
    </row>
    <row r="177" spans="2:9">
      <c r="B177" s="485">
        <v>49461</v>
      </c>
      <c r="C177" s="486">
        <f t="shared" si="10"/>
        <v>30</v>
      </c>
      <c r="D177" s="529">
        <f t="shared" si="14"/>
        <v>21</v>
      </c>
      <c r="E177" s="467">
        <f t="shared" si="11"/>
        <v>4</v>
      </c>
      <c r="F177" s="539">
        <f t="shared" si="12"/>
        <v>5</v>
      </c>
      <c r="G177" s="495"/>
      <c r="H177" s="493">
        <f t="shared" si="13"/>
        <v>21</v>
      </c>
      <c r="I177" s="489"/>
    </row>
    <row r="178" spans="2:9">
      <c r="B178" s="485">
        <v>49491</v>
      </c>
      <c r="C178" s="486">
        <f t="shared" si="10"/>
        <v>31</v>
      </c>
      <c r="D178" s="529">
        <f t="shared" si="14"/>
        <v>22</v>
      </c>
      <c r="E178" s="467">
        <f t="shared" si="11"/>
        <v>5</v>
      </c>
      <c r="F178" s="539">
        <f t="shared" si="12"/>
        <v>4</v>
      </c>
      <c r="G178" s="495"/>
      <c r="H178" s="493">
        <f t="shared" si="13"/>
        <v>22</v>
      </c>
      <c r="I178" s="489"/>
    </row>
    <row r="179" spans="2:9">
      <c r="B179" s="485">
        <v>49522</v>
      </c>
      <c r="C179" s="486">
        <f t="shared" si="10"/>
        <v>31</v>
      </c>
      <c r="D179" s="529">
        <f t="shared" si="14"/>
        <v>23</v>
      </c>
      <c r="E179" s="467">
        <f t="shared" si="11"/>
        <v>4</v>
      </c>
      <c r="F179" s="539">
        <f t="shared" si="12"/>
        <v>4</v>
      </c>
      <c r="G179" s="495"/>
      <c r="H179" s="493">
        <f t="shared" si="13"/>
        <v>23</v>
      </c>
      <c r="I179" s="489"/>
    </row>
    <row r="180" spans="2:9">
      <c r="B180" s="485">
        <v>49553</v>
      </c>
      <c r="C180" s="486">
        <f t="shared" si="10"/>
        <v>30</v>
      </c>
      <c r="D180" s="529">
        <f t="shared" si="14"/>
        <v>20</v>
      </c>
      <c r="E180" s="467">
        <f t="shared" si="11"/>
        <v>5</v>
      </c>
      <c r="F180" s="539">
        <f t="shared" si="12"/>
        <v>5</v>
      </c>
      <c r="G180" s="495"/>
      <c r="H180" s="493">
        <f t="shared" si="13"/>
        <v>20</v>
      </c>
      <c r="I180" s="489"/>
    </row>
    <row r="181" spans="2:9">
      <c r="B181" s="485">
        <v>49583</v>
      </c>
      <c r="C181" s="486">
        <f t="shared" si="10"/>
        <v>31</v>
      </c>
      <c r="D181" s="529">
        <f t="shared" si="14"/>
        <v>23</v>
      </c>
      <c r="E181" s="467">
        <f t="shared" si="11"/>
        <v>4</v>
      </c>
      <c r="F181" s="539">
        <f t="shared" si="12"/>
        <v>4</v>
      </c>
      <c r="G181" s="495"/>
      <c r="H181" s="493">
        <f t="shared" si="13"/>
        <v>23</v>
      </c>
      <c r="I181" s="489"/>
    </row>
    <row r="182" spans="2:9">
      <c r="B182" s="485">
        <v>49614</v>
      </c>
      <c r="C182" s="486">
        <f t="shared" si="10"/>
        <v>30</v>
      </c>
      <c r="D182" s="529">
        <f t="shared" si="14"/>
        <v>22</v>
      </c>
      <c r="E182" s="467">
        <f t="shared" si="11"/>
        <v>4</v>
      </c>
      <c r="F182" s="539">
        <f t="shared" si="12"/>
        <v>4</v>
      </c>
      <c r="G182" s="495"/>
      <c r="H182" s="493">
        <f t="shared" si="13"/>
        <v>22</v>
      </c>
      <c r="I182" s="489"/>
    </row>
    <row r="183" spans="2:9" ht="17.25" thickBot="1">
      <c r="B183" s="691">
        <v>49644</v>
      </c>
      <c r="C183" s="692">
        <f t="shared" si="10"/>
        <v>31</v>
      </c>
      <c r="D183" s="337">
        <f t="shared" si="14"/>
        <v>21</v>
      </c>
      <c r="E183" s="337">
        <f t="shared" si="11"/>
        <v>5</v>
      </c>
      <c r="F183" s="693">
        <f t="shared" si="12"/>
        <v>5</v>
      </c>
      <c r="G183" s="694"/>
      <c r="H183" s="695">
        <f t="shared" si="13"/>
        <v>21</v>
      </c>
      <c r="I183" s="489"/>
    </row>
    <row r="184" spans="2:9">
      <c r="B184" s="487">
        <v>49675</v>
      </c>
      <c r="C184" s="488">
        <f t="shared" si="10"/>
        <v>31</v>
      </c>
      <c r="D184" s="689">
        <f t="shared" si="14"/>
        <v>23</v>
      </c>
      <c r="E184" s="689">
        <f t="shared" si="11"/>
        <v>4</v>
      </c>
      <c r="F184" s="538">
        <f t="shared" si="12"/>
        <v>4</v>
      </c>
      <c r="G184" s="690"/>
      <c r="H184" s="492">
        <f t="shared" si="13"/>
        <v>23</v>
      </c>
      <c r="I184" s="489"/>
    </row>
    <row r="185" spans="2:9">
      <c r="B185" s="485">
        <v>49706</v>
      </c>
      <c r="C185" s="486">
        <f t="shared" si="10"/>
        <v>29</v>
      </c>
      <c r="D185" s="529">
        <f t="shared" si="14"/>
        <v>21</v>
      </c>
      <c r="E185" s="467">
        <f t="shared" si="11"/>
        <v>4</v>
      </c>
      <c r="F185" s="539">
        <f t="shared" si="12"/>
        <v>4</v>
      </c>
      <c r="G185" s="495"/>
      <c r="H185" s="493">
        <f t="shared" si="13"/>
        <v>21</v>
      </c>
      <c r="I185" s="489"/>
    </row>
    <row r="186" spans="2:9">
      <c r="B186" s="485">
        <v>49735</v>
      </c>
      <c r="C186" s="486">
        <f t="shared" si="10"/>
        <v>31</v>
      </c>
      <c r="D186" s="529">
        <f t="shared" si="14"/>
        <v>21</v>
      </c>
      <c r="E186" s="467">
        <f t="shared" si="11"/>
        <v>5</v>
      </c>
      <c r="F186" s="539">
        <f t="shared" si="12"/>
        <v>5</v>
      </c>
      <c r="G186" s="495"/>
      <c r="H186" s="493">
        <f t="shared" si="13"/>
        <v>21</v>
      </c>
      <c r="I186" s="489"/>
    </row>
    <row r="187" spans="2:9">
      <c r="B187" s="485">
        <v>49766</v>
      </c>
      <c r="C187" s="486">
        <f t="shared" si="10"/>
        <v>30</v>
      </c>
      <c r="D187" s="529">
        <f t="shared" si="14"/>
        <v>22</v>
      </c>
      <c r="E187" s="467">
        <f t="shared" si="11"/>
        <v>4</v>
      </c>
      <c r="F187" s="539">
        <f t="shared" si="12"/>
        <v>4</v>
      </c>
      <c r="G187" s="495"/>
      <c r="H187" s="493">
        <f t="shared" si="13"/>
        <v>22</v>
      </c>
      <c r="I187" s="489"/>
    </row>
    <row r="188" spans="2:9">
      <c r="B188" s="696">
        <v>49796</v>
      </c>
      <c r="C188" s="486">
        <f t="shared" si="10"/>
        <v>31</v>
      </c>
      <c r="D188" s="529">
        <f t="shared" si="14"/>
        <v>22</v>
      </c>
      <c r="E188" s="467">
        <f t="shared" si="11"/>
        <v>4</v>
      </c>
      <c r="F188" s="539">
        <f t="shared" si="12"/>
        <v>5</v>
      </c>
      <c r="G188" s="495"/>
      <c r="H188" s="493">
        <f t="shared" si="13"/>
        <v>22</v>
      </c>
      <c r="I188" s="489" t="str">
        <f>TEXT(EOMONTH(B188,-1)+1,"aaaa")</f>
        <v>목요일</v>
      </c>
    </row>
    <row r="189" spans="2:9">
      <c r="B189" s="485">
        <v>49827</v>
      </c>
      <c r="C189" s="486">
        <f t="shared" si="10"/>
        <v>30</v>
      </c>
      <c r="D189" s="529">
        <f t="shared" si="14"/>
        <v>21</v>
      </c>
      <c r="E189" s="467">
        <f t="shared" si="11"/>
        <v>5</v>
      </c>
      <c r="F189" s="539">
        <f t="shared" si="12"/>
        <v>4</v>
      </c>
      <c r="G189" s="495"/>
      <c r="H189" s="493">
        <f t="shared" si="13"/>
        <v>21</v>
      </c>
      <c r="I189" s="489"/>
    </row>
    <row r="190" spans="2:9">
      <c r="B190" s="485">
        <v>49857</v>
      </c>
      <c r="C190" s="486">
        <f t="shared" si="10"/>
        <v>31</v>
      </c>
      <c r="D190" s="529">
        <f t="shared" si="14"/>
        <v>23</v>
      </c>
      <c r="E190" s="467">
        <f t="shared" si="11"/>
        <v>4</v>
      </c>
      <c r="F190" s="539">
        <f t="shared" si="12"/>
        <v>4</v>
      </c>
      <c r="G190" s="495"/>
      <c r="H190" s="493">
        <f t="shared" si="13"/>
        <v>23</v>
      </c>
      <c r="I190" s="489"/>
    </row>
    <row r="191" spans="2:9">
      <c r="B191" s="485">
        <v>49888</v>
      </c>
      <c r="C191" s="486">
        <f t="shared" si="10"/>
        <v>31</v>
      </c>
      <c r="D191" s="529">
        <f t="shared" si="14"/>
        <v>21</v>
      </c>
      <c r="E191" s="467">
        <f t="shared" si="11"/>
        <v>5</v>
      </c>
      <c r="F191" s="539">
        <f t="shared" si="12"/>
        <v>5</v>
      </c>
      <c r="G191" s="495"/>
      <c r="H191" s="493">
        <f t="shared" si="13"/>
        <v>21</v>
      </c>
      <c r="I191" s="489"/>
    </row>
    <row r="192" spans="2:9">
      <c r="B192" s="485">
        <v>49919</v>
      </c>
      <c r="C192" s="486">
        <f t="shared" si="10"/>
        <v>30</v>
      </c>
      <c r="D192" s="529">
        <f t="shared" si="14"/>
        <v>22</v>
      </c>
      <c r="E192" s="467">
        <f t="shared" si="11"/>
        <v>4</v>
      </c>
      <c r="F192" s="539">
        <f t="shared" si="12"/>
        <v>4</v>
      </c>
      <c r="G192" s="495"/>
      <c r="H192" s="493">
        <f t="shared" si="13"/>
        <v>22</v>
      </c>
      <c r="I192" s="489"/>
    </row>
    <row r="193" spans="2:9">
      <c r="B193" s="485">
        <v>49949</v>
      </c>
      <c r="C193" s="486">
        <f t="shared" si="10"/>
        <v>31</v>
      </c>
      <c r="D193" s="529">
        <f t="shared" si="14"/>
        <v>23</v>
      </c>
      <c r="E193" s="467">
        <f t="shared" si="11"/>
        <v>4</v>
      </c>
      <c r="F193" s="539">
        <f t="shared" si="12"/>
        <v>4</v>
      </c>
      <c r="G193" s="495"/>
      <c r="H193" s="493">
        <f t="shared" si="13"/>
        <v>23</v>
      </c>
      <c r="I193" s="489"/>
    </row>
    <row r="194" spans="2:9">
      <c r="B194" s="485">
        <v>49980</v>
      </c>
      <c r="C194" s="486">
        <f t="shared" si="10"/>
        <v>30</v>
      </c>
      <c r="D194" s="529">
        <f t="shared" si="14"/>
        <v>20</v>
      </c>
      <c r="E194" s="467">
        <f t="shared" si="11"/>
        <v>5</v>
      </c>
      <c r="F194" s="539">
        <f t="shared" si="12"/>
        <v>5</v>
      </c>
      <c r="G194" s="495"/>
      <c r="H194" s="493">
        <f t="shared" si="13"/>
        <v>20</v>
      </c>
      <c r="I194" s="489"/>
    </row>
    <row r="195" spans="2:9" ht="17.25" thickBot="1">
      <c r="B195" s="691">
        <v>50010</v>
      </c>
      <c r="C195" s="692">
        <f t="shared" si="10"/>
        <v>31</v>
      </c>
      <c r="D195" s="337">
        <f t="shared" si="14"/>
        <v>23</v>
      </c>
      <c r="E195" s="337">
        <f t="shared" si="11"/>
        <v>4</v>
      </c>
      <c r="F195" s="693">
        <f t="shared" si="12"/>
        <v>4</v>
      </c>
      <c r="G195" s="694"/>
      <c r="H195" s="695">
        <f t="shared" si="13"/>
        <v>23</v>
      </c>
      <c r="I195" s="489"/>
    </row>
    <row r="196" spans="2:9">
      <c r="B196" s="487">
        <v>50041</v>
      </c>
      <c r="C196" s="488">
        <f t="shared" si="10"/>
        <v>31</v>
      </c>
      <c r="D196" s="689">
        <f t="shared" si="14"/>
        <v>22</v>
      </c>
      <c r="E196" s="689">
        <f t="shared" si="11"/>
        <v>4</v>
      </c>
      <c r="F196" s="538">
        <f t="shared" si="12"/>
        <v>5</v>
      </c>
      <c r="G196" s="690"/>
      <c r="H196" s="492">
        <f t="shared" si="13"/>
        <v>22</v>
      </c>
      <c r="I196" s="489"/>
    </row>
    <row r="197" spans="2:9">
      <c r="B197" s="485">
        <v>50072</v>
      </c>
      <c r="C197" s="486">
        <f t="shared" ref="C197:C260" si="15">EOMONTH(B197,0)-EOMONTH(B197,-1)</f>
        <v>28</v>
      </c>
      <c r="D197" s="529">
        <f t="shared" si="14"/>
        <v>20</v>
      </c>
      <c r="E197" s="467">
        <f t="shared" ref="E197:E260" si="16">CEILING((DAY(EOMONTH(B197,0))-MOD(8-WEEKDAY(B197),7))/7,1)</f>
        <v>4</v>
      </c>
      <c r="F197" s="539">
        <f t="shared" ref="F197:F260" si="17">C197-D197-E197</f>
        <v>4</v>
      </c>
      <c r="G197" s="495"/>
      <c r="H197" s="493">
        <f t="shared" ref="H197:H260" si="18">D197-G197</f>
        <v>20</v>
      </c>
      <c r="I197" s="489"/>
    </row>
    <row r="198" spans="2:9">
      <c r="B198" s="485">
        <v>50100</v>
      </c>
      <c r="C198" s="486">
        <f t="shared" si="15"/>
        <v>31</v>
      </c>
      <c r="D198" s="529">
        <f t="shared" ref="D198:D261" si="19">NETWORKDAYS(EOMONTH(B198,-1)+1,EOMONTH(B198,0))</f>
        <v>22</v>
      </c>
      <c r="E198" s="467">
        <f t="shared" si="16"/>
        <v>5</v>
      </c>
      <c r="F198" s="539">
        <f t="shared" si="17"/>
        <v>4</v>
      </c>
      <c r="G198" s="495"/>
      <c r="H198" s="493">
        <f t="shared" si="18"/>
        <v>22</v>
      </c>
      <c r="I198" s="489"/>
    </row>
    <row r="199" spans="2:9">
      <c r="B199" s="485">
        <v>50131</v>
      </c>
      <c r="C199" s="486">
        <f t="shared" si="15"/>
        <v>30</v>
      </c>
      <c r="D199" s="529">
        <f t="shared" si="19"/>
        <v>22</v>
      </c>
      <c r="E199" s="467">
        <f t="shared" si="16"/>
        <v>4</v>
      </c>
      <c r="F199" s="539">
        <f t="shared" si="17"/>
        <v>4</v>
      </c>
      <c r="G199" s="495"/>
      <c r="H199" s="493">
        <f t="shared" si="18"/>
        <v>22</v>
      </c>
      <c r="I199" s="489"/>
    </row>
    <row r="200" spans="2:9">
      <c r="B200" s="696">
        <v>50161</v>
      </c>
      <c r="C200" s="486">
        <f t="shared" si="15"/>
        <v>31</v>
      </c>
      <c r="D200" s="529">
        <f t="shared" si="19"/>
        <v>21</v>
      </c>
      <c r="E200" s="467">
        <f t="shared" si="16"/>
        <v>5</v>
      </c>
      <c r="F200" s="539">
        <f t="shared" si="17"/>
        <v>5</v>
      </c>
      <c r="G200" s="495"/>
      <c r="H200" s="493">
        <f t="shared" si="18"/>
        <v>21</v>
      </c>
      <c r="I200" s="489" t="str">
        <f>TEXT(EOMONTH(B200,-1)+1,"aaaa")</f>
        <v>금요일</v>
      </c>
    </row>
    <row r="201" spans="2:9">
      <c r="B201" s="485">
        <v>50192</v>
      </c>
      <c r="C201" s="486">
        <f t="shared" si="15"/>
        <v>30</v>
      </c>
      <c r="D201" s="529">
        <f t="shared" si="19"/>
        <v>22</v>
      </c>
      <c r="E201" s="467">
        <f t="shared" si="16"/>
        <v>4</v>
      </c>
      <c r="F201" s="539">
        <f t="shared" si="17"/>
        <v>4</v>
      </c>
      <c r="G201" s="495"/>
      <c r="H201" s="493">
        <f t="shared" si="18"/>
        <v>22</v>
      </c>
      <c r="I201" s="489"/>
    </row>
    <row r="202" spans="2:9">
      <c r="B202" s="485">
        <v>50222</v>
      </c>
      <c r="C202" s="486">
        <f t="shared" si="15"/>
        <v>31</v>
      </c>
      <c r="D202" s="529">
        <f t="shared" si="19"/>
        <v>23</v>
      </c>
      <c r="E202" s="467">
        <f t="shared" si="16"/>
        <v>4</v>
      </c>
      <c r="F202" s="539">
        <f t="shared" si="17"/>
        <v>4</v>
      </c>
      <c r="G202" s="495"/>
      <c r="H202" s="493">
        <f t="shared" si="18"/>
        <v>23</v>
      </c>
      <c r="I202" s="489"/>
    </row>
    <row r="203" spans="2:9">
      <c r="B203" s="485">
        <v>50253</v>
      </c>
      <c r="C203" s="486">
        <f t="shared" si="15"/>
        <v>31</v>
      </c>
      <c r="D203" s="529">
        <f t="shared" si="19"/>
        <v>21</v>
      </c>
      <c r="E203" s="467">
        <f t="shared" si="16"/>
        <v>5</v>
      </c>
      <c r="F203" s="539">
        <f t="shared" si="17"/>
        <v>5</v>
      </c>
      <c r="G203" s="495"/>
      <c r="H203" s="493">
        <f t="shared" si="18"/>
        <v>21</v>
      </c>
      <c r="I203" s="489"/>
    </row>
    <row r="204" spans="2:9">
      <c r="B204" s="485">
        <v>50284</v>
      </c>
      <c r="C204" s="486">
        <f t="shared" si="15"/>
        <v>30</v>
      </c>
      <c r="D204" s="529">
        <f t="shared" si="19"/>
        <v>22</v>
      </c>
      <c r="E204" s="467">
        <f t="shared" si="16"/>
        <v>4</v>
      </c>
      <c r="F204" s="539">
        <f t="shared" si="17"/>
        <v>4</v>
      </c>
      <c r="G204" s="495"/>
      <c r="H204" s="493">
        <f t="shared" si="18"/>
        <v>22</v>
      </c>
      <c r="I204" s="489"/>
    </row>
    <row r="205" spans="2:9">
      <c r="B205" s="485">
        <v>50314</v>
      </c>
      <c r="C205" s="486">
        <f t="shared" si="15"/>
        <v>31</v>
      </c>
      <c r="D205" s="529">
        <f t="shared" si="19"/>
        <v>22</v>
      </c>
      <c r="E205" s="467">
        <f t="shared" si="16"/>
        <v>4</v>
      </c>
      <c r="F205" s="539">
        <f t="shared" si="17"/>
        <v>5</v>
      </c>
      <c r="G205" s="495"/>
      <c r="H205" s="493">
        <f t="shared" si="18"/>
        <v>22</v>
      </c>
      <c r="I205" s="489"/>
    </row>
    <row r="206" spans="2:9">
      <c r="B206" s="485">
        <v>50345</v>
      </c>
      <c r="C206" s="486">
        <f t="shared" si="15"/>
        <v>30</v>
      </c>
      <c r="D206" s="529">
        <f t="shared" si="19"/>
        <v>21</v>
      </c>
      <c r="E206" s="467">
        <f t="shared" si="16"/>
        <v>5</v>
      </c>
      <c r="F206" s="539">
        <f t="shared" si="17"/>
        <v>4</v>
      </c>
      <c r="G206" s="495"/>
      <c r="H206" s="493">
        <f t="shared" si="18"/>
        <v>21</v>
      </c>
      <c r="I206" s="489"/>
    </row>
    <row r="207" spans="2:9" ht="17.25" thickBot="1">
      <c r="B207" s="691">
        <v>50375</v>
      </c>
      <c r="C207" s="692">
        <f t="shared" si="15"/>
        <v>31</v>
      </c>
      <c r="D207" s="337">
        <f t="shared" si="19"/>
        <v>23</v>
      </c>
      <c r="E207" s="337">
        <f t="shared" si="16"/>
        <v>4</v>
      </c>
      <c r="F207" s="693">
        <f t="shared" si="17"/>
        <v>4</v>
      </c>
      <c r="G207" s="694"/>
      <c r="H207" s="695">
        <f t="shared" si="18"/>
        <v>23</v>
      </c>
      <c r="I207" s="489"/>
    </row>
    <row r="208" spans="2:9">
      <c r="B208" s="487">
        <v>50406</v>
      </c>
      <c r="C208" s="488">
        <f t="shared" si="15"/>
        <v>31</v>
      </c>
      <c r="D208" s="689">
        <f t="shared" si="19"/>
        <v>21</v>
      </c>
      <c r="E208" s="689">
        <f t="shared" si="16"/>
        <v>5</v>
      </c>
      <c r="F208" s="538">
        <f t="shared" si="17"/>
        <v>5</v>
      </c>
      <c r="G208" s="690"/>
      <c r="H208" s="492">
        <f t="shared" si="18"/>
        <v>21</v>
      </c>
      <c r="I208" s="489"/>
    </row>
    <row r="209" spans="2:9">
      <c r="B209" s="485">
        <v>50437</v>
      </c>
      <c r="C209" s="486">
        <f t="shared" si="15"/>
        <v>28</v>
      </c>
      <c r="D209" s="529">
        <f t="shared" si="19"/>
        <v>20</v>
      </c>
      <c r="E209" s="467">
        <f t="shared" si="16"/>
        <v>4</v>
      </c>
      <c r="F209" s="539">
        <f t="shared" si="17"/>
        <v>4</v>
      </c>
      <c r="G209" s="495"/>
      <c r="H209" s="493">
        <f t="shared" si="18"/>
        <v>20</v>
      </c>
      <c r="I209" s="489"/>
    </row>
    <row r="210" spans="2:9">
      <c r="B210" s="485">
        <v>50465</v>
      </c>
      <c r="C210" s="486">
        <f t="shared" si="15"/>
        <v>31</v>
      </c>
      <c r="D210" s="529">
        <f t="shared" si="19"/>
        <v>23</v>
      </c>
      <c r="E210" s="467">
        <f t="shared" si="16"/>
        <v>4</v>
      </c>
      <c r="F210" s="539">
        <f t="shared" si="17"/>
        <v>4</v>
      </c>
      <c r="G210" s="495"/>
      <c r="H210" s="493">
        <f t="shared" si="18"/>
        <v>23</v>
      </c>
      <c r="I210" s="489"/>
    </row>
    <row r="211" spans="2:9">
      <c r="B211" s="485">
        <v>50496</v>
      </c>
      <c r="C211" s="486">
        <f t="shared" si="15"/>
        <v>30</v>
      </c>
      <c r="D211" s="529">
        <f t="shared" si="19"/>
        <v>22</v>
      </c>
      <c r="E211" s="467">
        <f t="shared" si="16"/>
        <v>4</v>
      </c>
      <c r="F211" s="539">
        <f t="shared" si="17"/>
        <v>4</v>
      </c>
      <c r="G211" s="495"/>
      <c r="H211" s="493">
        <f t="shared" si="18"/>
        <v>22</v>
      </c>
      <c r="I211" s="489"/>
    </row>
    <row r="212" spans="2:9">
      <c r="B212" s="696">
        <v>50526</v>
      </c>
      <c r="C212" s="486">
        <f t="shared" si="15"/>
        <v>31</v>
      </c>
      <c r="D212" s="529">
        <f t="shared" si="19"/>
        <v>21</v>
      </c>
      <c r="E212" s="467">
        <f t="shared" si="16"/>
        <v>5</v>
      </c>
      <c r="F212" s="539">
        <f t="shared" si="17"/>
        <v>5</v>
      </c>
      <c r="G212" s="495"/>
      <c r="H212" s="493">
        <f t="shared" si="18"/>
        <v>21</v>
      </c>
      <c r="I212" s="489" t="str">
        <f>TEXT(EOMONTH(B212,-1)+1,"aaaa")</f>
        <v>토요일</v>
      </c>
    </row>
    <row r="213" spans="2:9">
      <c r="B213" s="485">
        <v>50557</v>
      </c>
      <c r="C213" s="486">
        <f t="shared" si="15"/>
        <v>30</v>
      </c>
      <c r="D213" s="529">
        <f t="shared" si="19"/>
        <v>22</v>
      </c>
      <c r="E213" s="467">
        <f t="shared" si="16"/>
        <v>4</v>
      </c>
      <c r="F213" s="539">
        <f t="shared" si="17"/>
        <v>4</v>
      </c>
      <c r="G213" s="495"/>
      <c r="H213" s="493">
        <f t="shared" si="18"/>
        <v>22</v>
      </c>
      <c r="I213" s="489"/>
    </row>
    <row r="214" spans="2:9">
      <c r="B214" s="485">
        <v>50587</v>
      </c>
      <c r="C214" s="486">
        <f t="shared" si="15"/>
        <v>31</v>
      </c>
      <c r="D214" s="529">
        <f t="shared" si="19"/>
        <v>22</v>
      </c>
      <c r="E214" s="467">
        <f t="shared" si="16"/>
        <v>4</v>
      </c>
      <c r="F214" s="539">
        <f t="shared" si="17"/>
        <v>5</v>
      </c>
      <c r="G214" s="495"/>
      <c r="H214" s="493">
        <f t="shared" si="18"/>
        <v>22</v>
      </c>
      <c r="I214" s="489"/>
    </row>
    <row r="215" spans="2:9">
      <c r="B215" s="485">
        <v>50618</v>
      </c>
      <c r="C215" s="486">
        <f t="shared" si="15"/>
        <v>31</v>
      </c>
      <c r="D215" s="529">
        <f t="shared" si="19"/>
        <v>22</v>
      </c>
      <c r="E215" s="467">
        <f t="shared" si="16"/>
        <v>5</v>
      </c>
      <c r="F215" s="539">
        <f t="shared" si="17"/>
        <v>4</v>
      </c>
      <c r="G215" s="495"/>
      <c r="H215" s="493">
        <f t="shared" si="18"/>
        <v>22</v>
      </c>
      <c r="I215" s="489"/>
    </row>
    <row r="216" spans="2:9">
      <c r="B216" s="485">
        <v>50649</v>
      </c>
      <c r="C216" s="486">
        <f t="shared" si="15"/>
        <v>30</v>
      </c>
      <c r="D216" s="529">
        <f t="shared" si="19"/>
        <v>22</v>
      </c>
      <c r="E216" s="467">
        <f t="shared" si="16"/>
        <v>4</v>
      </c>
      <c r="F216" s="539">
        <f t="shared" si="17"/>
        <v>4</v>
      </c>
      <c r="G216" s="495"/>
      <c r="H216" s="493">
        <f t="shared" si="18"/>
        <v>22</v>
      </c>
      <c r="I216" s="489"/>
    </row>
    <row r="217" spans="2:9">
      <c r="B217" s="485">
        <v>50679</v>
      </c>
      <c r="C217" s="486">
        <f t="shared" si="15"/>
        <v>31</v>
      </c>
      <c r="D217" s="529">
        <f t="shared" si="19"/>
        <v>21</v>
      </c>
      <c r="E217" s="467">
        <f t="shared" si="16"/>
        <v>5</v>
      </c>
      <c r="F217" s="539">
        <f t="shared" si="17"/>
        <v>5</v>
      </c>
      <c r="G217" s="495"/>
      <c r="H217" s="493">
        <f t="shared" si="18"/>
        <v>21</v>
      </c>
      <c r="I217" s="489"/>
    </row>
    <row r="218" spans="2:9">
      <c r="B218" s="485">
        <v>50710</v>
      </c>
      <c r="C218" s="486">
        <f t="shared" si="15"/>
        <v>30</v>
      </c>
      <c r="D218" s="529">
        <f t="shared" si="19"/>
        <v>22</v>
      </c>
      <c r="E218" s="467">
        <f t="shared" si="16"/>
        <v>4</v>
      </c>
      <c r="F218" s="539">
        <f t="shared" si="17"/>
        <v>4</v>
      </c>
      <c r="G218" s="495"/>
      <c r="H218" s="493">
        <f t="shared" si="18"/>
        <v>22</v>
      </c>
      <c r="I218" s="489"/>
    </row>
    <row r="219" spans="2:9" ht="17.25" thickBot="1">
      <c r="B219" s="691">
        <v>50740</v>
      </c>
      <c r="C219" s="692">
        <f t="shared" si="15"/>
        <v>31</v>
      </c>
      <c r="D219" s="337">
        <f t="shared" si="19"/>
        <v>23</v>
      </c>
      <c r="E219" s="337">
        <f t="shared" si="16"/>
        <v>4</v>
      </c>
      <c r="F219" s="693">
        <f t="shared" si="17"/>
        <v>4</v>
      </c>
      <c r="G219" s="694"/>
      <c r="H219" s="695">
        <f t="shared" si="18"/>
        <v>23</v>
      </c>
      <c r="I219" s="489"/>
    </row>
    <row r="220" spans="2:9">
      <c r="B220" s="487">
        <v>50771</v>
      </c>
      <c r="C220" s="488">
        <f t="shared" si="15"/>
        <v>31</v>
      </c>
      <c r="D220" s="689">
        <f t="shared" si="19"/>
        <v>21</v>
      </c>
      <c r="E220" s="689">
        <f t="shared" si="16"/>
        <v>5</v>
      </c>
      <c r="F220" s="538">
        <f t="shared" si="17"/>
        <v>5</v>
      </c>
      <c r="G220" s="690"/>
      <c r="H220" s="492">
        <f t="shared" si="18"/>
        <v>21</v>
      </c>
      <c r="I220" s="489"/>
    </row>
    <row r="221" spans="2:9">
      <c r="B221" s="485">
        <v>50802</v>
      </c>
      <c r="C221" s="486">
        <f t="shared" si="15"/>
        <v>28</v>
      </c>
      <c r="D221" s="529">
        <f t="shared" si="19"/>
        <v>20</v>
      </c>
      <c r="E221" s="467">
        <f t="shared" si="16"/>
        <v>4</v>
      </c>
      <c r="F221" s="539">
        <f t="shared" si="17"/>
        <v>4</v>
      </c>
      <c r="G221" s="495"/>
      <c r="H221" s="493">
        <f t="shared" si="18"/>
        <v>20</v>
      </c>
      <c r="I221" s="489"/>
    </row>
    <row r="222" spans="2:9">
      <c r="B222" s="485">
        <v>50830</v>
      </c>
      <c r="C222" s="486">
        <f t="shared" si="15"/>
        <v>31</v>
      </c>
      <c r="D222" s="529">
        <f t="shared" si="19"/>
        <v>23</v>
      </c>
      <c r="E222" s="467">
        <f t="shared" si="16"/>
        <v>4</v>
      </c>
      <c r="F222" s="539">
        <f t="shared" si="17"/>
        <v>4</v>
      </c>
      <c r="G222" s="495"/>
      <c r="H222" s="493">
        <f t="shared" si="18"/>
        <v>23</v>
      </c>
      <c r="I222" s="489"/>
    </row>
    <row r="223" spans="2:9">
      <c r="B223" s="485">
        <v>50861</v>
      </c>
      <c r="C223" s="486">
        <f t="shared" si="15"/>
        <v>30</v>
      </c>
      <c r="D223" s="529">
        <f t="shared" si="19"/>
        <v>21</v>
      </c>
      <c r="E223" s="467">
        <f t="shared" si="16"/>
        <v>4</v>
      </c>
      <c r="F223" s="539">
        <f t="shared" si="17"/>
        <v>5</v>
      </c>
      <c r="G223" s="495"/>
      <c r="H223" s="493">
        <f t="shared" si="18"/>
        <v>21</v>
      </c>
      <c r="I223" s="489"/>
    </row>
    <row r="224" spans="2:9">
      <c r="B224" s="696">
        <v>50891</v>
      </c>
      <c r="C224" s="486">
        <f t="shared" si="15"/>
        <v>31</v>
      </c>
      <c r="D224" s="529">
        <f t="shared" si="19"/>
        <v>22</v>
      </c>
      <c r="E224" s="467">
        <f t="shared" si="16"/>
        <v>5</v>
      </c>
      <c r="F224" s="539">
        <f t="shared" si="17"/>
        <v>4</v>
      </c>
      <c r="G224" s="495"/>
      <c r="H224" s="493">
        <f t="shared" si="18"/>
        <v>22</v>
      </c>
      <c r="I224" s="489" t="str">
        <f>TEXT(EOMONTH(B224,-1)+1,"aaaa")</f>
        <v>일요일</v>
      </c>
    </row>
    <row r="225" spans="2:9">
      <c r="B225" s="485">
        <v>50922</v>
      </c>
      <c r="C225" s="486">
        <f t="shared" si="15"/>
        <v>30</v>
      </c>
      <c r="D225" s="529">
        <f t="shared" si="19"/>
        <v>22</v>
      </c>
      <c r="E225" s="467">
        <f t="shared" si="16"/>
        <v>4</v>
      </c>
      <c r="F225" s="539">
        <f t="shared" si="17"/>
        <v>4</v>
      </c>
      <c r="G225" s="495"/>
      <c r="H225" s="493">
        <f t="shared" si="18"/>
        <v>22</v>
      </c>
      <c r="I225" s="489"/>
    </row>
    <row r="226" spans="2:9">
      <c r="B226" s="485">
        <v>50952</v>
      </c>
      <c r="C226" s="486">
        <f t="shared" si="15"/>
        <v>31</v>
      </c>
      <c r="D226" s="529">
        <f t="shared" si="19"/>
        <v>21</v>
      </c>
      <c r="E226" s="467">
        <f t="shared" si="16"/>
        <v>5</v>
      </c>
      <c r="F226" s="539">
        <f t="shared" si="17"/>
        <v>5</v>
      </c>
      <c r="G226" s="495"/>
      <c r="H226" s="493">
        <f t="shared" si="18"/>
        <v>21</v>
      </c>
      <c r="I226" s="489"/>
    </row>
    <row r="227" spans="2:9">
      <c r="B227" s="485">
        <v>50983</v>
      </c>
      <c r="C227" s="486">
        <f t="shared" si="15"/>
        <v>31</v>
      </c>
      <c r="D227" s="529">
        <f t="shared" si="19"/>
        <v>23</v>
      </c>
      <c r="E227" s="467">
        <f t="shared" si="16"/>
        <v>4</v>
      </c>
      <c r="F227" s="539">
        <f t="shared" si="17"/>
        <v>4</v>
      </c>
      <c r="G227" s="495"/>
      <c r="H227" s="493">
        <f t="shared" si="18"/>
        <v>23</v>
      </c>
      <c r="I227" s="489"/>
    </row>
    <row r="228" spans="2:9">
      <c r="B228" s="485">
        <v>51014</v>
      </c>
      <c r="C228" s="486">
        <f t="shared" si="15"/>
        <v>30</v>
      </c>
      <c r="D228" s="529">
        <f t="shared" si="19"/>
        <v>22</v>
      </c>
      <c r="E228" s="467">
        <f t="shared" si="16"/>
        <v>4</v>
      </c>
      <c r="F228" s="539">
        <f t="shared" si="17"/>
        <v>4</v>
      </c>
      <c r="G228" s="495"/>
      <c r="H228" s="493">
        <f t="shared" si="18"/>
        <v>22</v>
      </c>
      <c r="I228" s="489"/>
    </row>
    <row r="229" spans="2:9">
      <c r="B229" s="485">
        <v>51044</v>
      </c>
      <c r="C229" s="486">
        <f t="shared" si="15"/>
        <v>31</v>
      </c>
      <c r="D229" s="529">
        <f t="shared" si="19"/>
        <v>21</v>
      </c>
      <c r="E229" s="467">
        <f t="shared" si="16"/>
        <v>5</v>
      </c>
      <c r="F229" s="539">
        <f t="shared" si="17"/>
        <v>5</v>
      </c>
      <c r="G229" s="495"/>
      <c r="H229" s="493">
        <f t="shared" si="18"/>
        <v>21</v>
      </c>
      <c r="I229" s="489"/>
    </row>
    <row r="230" spans="2:9">
      <c r="B230" s="485">
        <v>51075</v>
      </c>
      <c r="C230" s="486">
        <f t="shared" si="15"/>
        <v>30</v>
      </c>
      <c r="D230" s="688">
        <f t="shared" si="19"/>
        <v>22</v>
      </c>
      <c r="E230" s="688">
        <f t="shared" si="16"/>
        <v>4</v>
      </c>
      <c r="F230" s="539">
        <f t="shared" si="17"/>
        <v>4</v>
      </c>
      <c r="G230" s="495"/>
      <c r="H230" s="493">
        <f t="shared" si="18"/>
        <v>22</v>
      </c>
      <c r="I230" s="489"/>
    </row>
    <row r="231" spans="2:9" ht="17.25" thickBot="1">
      <c r="B231" s="691">
        <v>51105</v>
      </c>
      <c r="C231" s="692">
        <f t="shared" si="15"/>
        <v>31</v>
      </c>
      <c r="D231" s="337">
        <f t="shared" si="19"/>
        <v>22</v>
      </c>
      <c r="E231" s="337">
        <f t="shared" si="16"/>
        <v>4</v>
      </c>
      <c r="F231" s="693">
        <f t="shared" si="17"/>
        <v>5</v>
      </c>
      <c r="G231" s="694"/>
      <c r="H231" s="695">
        <f t="shared" si="18"/>
        <v>22</v>
      </c>
      <c r="I231" s="489"/>
    </row>
    <row r="232" spans="2:9">
      <c r="B232" s="487">
        <v>51136</v>
      </c>
      <c r="C232" s="488">
        <f t="shared" si="15"/>
        <v>31</v>
      </c>
      <c r="D232" s="689">
        <f t="shared" si="19"/>
        <v>22</v>
      </c>
      <c r="E232" s="689">
        <f t="shared" si="16"/>
        <v>5</v>
      </c>
      <c r="F232" s="538">
        <f t="shared" si="17"/>
        <v>4</v>
      </c>
      <c r="G232" s="690"/>
      <c r="H232" s="492">
        <f t="shared" si="18"/>
        <v>22</v>
      </c>
      <c r="I232" s="489"/>
    </row>
    <row r="233" spans="2:9">
      <c r="B233" s="485">
        <v>51167</v>
      </c>
      <c r="C233" s="486">
        <f t="shared" si="15"/>
        <v>29</v>
      </c>
      <c r="D233" s="529">
        <f t="shared" si="19"/>
        <v>21</v>
      </c>
      <c r="E233" s="467">
        <f t="shared" si="16"/>
        <v>4</v>
      </c>
      <c r="F233" s="539">
        <f t="shared" si="17"/>
        <v>4</v>
      </c>
      <c r="G233" s="495"/>
      <c r="H233" s="493">
        <f t="shared" si="18"/>
        <v>21</v>
      </c>
      <c r="I233" s="489"/>
    </row>
    <row r="234" spans="2:9">
      <c r="B234" s="485">
        <v>51196</v>
      </c>
      <c r="C234" s="486">
        <f t="shared" si="15"/>
        <v>31</v>
      </c>
      <c r="D234" s="529">
        <f t="shared" si="19"/>
        <v>22</v>
      </c>
      <c r="E234" s="467">
        <f t="shared" si="16"/>
        <v>4</v>
      </c>
      <c r="F234" s="539">
        <f t="shared" si="17"/>
        <v>5</v>
      </c>
      <c r="G234" s="495"/>
      <c r="H234" s="493">
        <f t="shared" si="18"/>
        <v>22</v>
      </c>
      <c r="I234" s="489"/>
    </row>
    <row r="235" spans="2:9">
      <c r="B235" s="485">
        <v>51227</v>
      </c>
      <c r="C235" s="486">
        <f t="shared" si="15"/>
        <v>30</v>
      </c>
      <c r="D235" s="529">
        <f t="shared" si="19"/>
        <v>21</v>
      </c>
      <c r="E235" s="467">
        <f t="shared" si="16"/>
        <v>5</v>
      </c>
      <c r="F235" s="539">
        <f t="shared" si="17"/>
        <v>4</v>
      </c>
      <c r="G235" s="495"/>
      <c r="H235" s="493">
        <f t="shared" si="18"/>
        <v>21</v>
      </c>
      <c r="I235" s="489"/>
    </row>
    <row r="236" spans="2:9">
      <c r="B236" s="696">
        <v>51257</v>
      </c>
      <c r="C236" s="486">
        <f t="shared" si="15"/>
        <v>31</v>
      </c>
      <c r="D236" s="529">
        <f t="shared" si="19"/>
        <v>23</v>
      </c>
      <c r="E236" s="467">
        <f t="shared" si="16"/>
        <v>4</v>
      </c>
      <c r="F236" s="539">
        <f t="shared" si="17"/>
        <v>4</v>
      </c>
      <c r="G236" s="495"/>
      <c r="H236" s="493">
        <f t="shared" si="18"/>
        <v>23</v>
      </c>
      <c r="I236" s="489" t="str">
        <f>TEXT(EOMONTH(B236,-1)+1,"aaaa")</f>
        <v>화요일</v>
      </c>
    </row>
    <row r="237" spans="2:9">
      <c r="B237" s="485">
        <v>51288</v>
      </c>
      <c r="C237" s="486">
        <f t="shared" si="15"/>
        <v>30</v>
      </c>
      <c r="D237" s="529">
        <f t="shared" si="19"/>
        <v>21</v>
      </c>
      <c r="E237" s="467">
        <f t="shared" si="16"/>
        <v>4</v>
      </c>
      <c r="F237" s="539">
        <f t="shared" si="17"/>
        <v>5</v>
      </c>
      <c r="G237" s="495"/>
      <c r="H237" s="493">
        <f t="shared" si="18"/>
        <v>21</v>
      </c>
      <c r="I237" s="489"/>
    </row>
    <row r="238" spans="2:9">
      <c r="B238" s="485">
        <v>51318</v>
      </c>
      <c r="C238" s="486">
        <f t="shared" si="15"/>
        <v>31</v>
      </c>
      <c r="D238" s="529">
        <f t="shared" si="19"/>
        <v>22</v>
      </c>
      <c r="E238" s="467">
        <f t="shared" si="16"/>
        <v>5</v>
      </c>
      <c r="F238" s="539">
        <f t="shared" si="17"/>
        <v>4</v>
      </c>
      <c r="G238" s="495"/>
      <c r="H238" s="493">
        <f t="shared" si="18"/>
        <v>22</v>
      </c>
      <c r="I238" s="489"/>
    </row>
    <row r="239" spans="2:9">
      <c r="B239" s="485">
        <v>51349</v>
      </c>
      <c r="C239" s="486">
        <f t="shared" si="15"/>
        <v>31</v>
      </c>
      <c r="D239" s="529">
        <f t="shared" si="19"/>
        <v>23</v>
      </c>
      <c r="E239" s="467">
        <f t="shared" si="16"/>
        <v>4</v>
      </c>
      <c r="F239" s="539">
        <f t="shared" si="17"/>
        <v>4</v>
      </c>
      <c r="G239" s="495"/>
      <c r="H239" s="493">
        <f t="shared" si="18"/>
        <v>23</v>
      </c>
      <c r="I239" s="489"/>
    </row>
    <row r="240" spans="2:9">
      <c r="B240" s="485">
        <v>51380</v>
      </c>
      <c r="C240" s="486">
        <f t="shared" si="15"/>
        <v>30</v>
      </c>
      <c r="D240" s="529">
        <f t="shared" si="19"/>
        <v>20</v>
      </c>
      <c r="E240" s="467">
        <f t="shared" si="16"/>
        <v>5</v>
      </c>
      <c r="F240" s="539">
        <f t="shared" si="17"/>
        <v>5</v>
      </c>
      <c r="G240" s="495"/>
      <c r="H240" s="493">
        <f t="shared" si="18"/>
        <v>20</v>
      </c>
      <c r="I240" s="489"/>
    </row>
    <row r="241" spans="2:9">
      <c r="B241" s="485">
        <v>51410</v>
      </c>
      <c r="C241" s="486">
        <f t="shared" si="15"/>
        <v>31</v>
      </c>
      <c r="D241" s="529">
        <f t="shared" si="19"/>
        <v>23</v>
      </c>
      <c r="E241" s="467">
        <f t="shared" si="16"/>
        <v>4</v>
      </c>
      <c r="F241" s="539">
        <f t="shared" si="17"/>
        <v>4</v>
      </c>
      <c r="G241" s="495"/>
      <c r="H241" s="493">
        <f t="shared" si="18"/>
        <v>23</v>
      </c>
      <c r="I241" s="489"/>
    </row>
    <row r="242" spans="2:9">
      <c r="B242" s="485">
        <v>51441</v>
      </c>
      <c r="C242" s="486">
        <f t="shared" si="15"/>
        <v>30</v>
      </c>
      <c r="D242" s="529">
        <f t="shared" si="19"/>
        <v>22</v>
      </c>
      <c r="E242" s="467">
        <f t="shared" si="16"/>
        <v>4</v>
      </c>
      <c r="F242" s="539">
        <f t="shared" si="17"/>
        <v>4</v>
      </c>
      <c r="G242" s="495"/>
      <c r="H242" s="493">
        <f t="shared" si="18"/>
        <v>22</v>
      </c>
      <c r="I242" s="489"/>
    </row>
    <row r="243" spans="2:9" ht="17.25" thickBot="1">
      <c r="B243" s="691">
        <v>51471</v>
      </c>
      <c r="C243" s="692">
        <f t="shared" si="15"/>
        <v>31</v>
      </c>
      <c r="D243" s="337">
        <f t="shared" si="19"/>
        <v>21</v>
      </c>
      <c r="E243" s="337">
        <f t="shared" si="16"/>
        <v>5</v>
      </c>
      <c r="F243" s="693">
        <f t="shared" si="17"/>
        <v>5</v>
      </c>
      <c r="G243" s="694"/>
      <c r="H243" s="695">
        <f t="shared" si="18"/>
        <v>21</v>
      </c>
      <c r="I243" s="489"/>
    </row>
    <row r="244" spans="2:9">
      <c r="B244" s="487">
        <v>51502</v>
      </c>
      <c r="C244" s="488">
        <f t="shared" si="15"/>
        <v>31</v>
      </c>
      <c r="D244" s="689">
        <f t="shared" si="19"/>
        <v>23</v>
      </c>
      <c r="E244" s="689">
        <f t="shared" si="16"/>
        <v>4</v>
      </c>
      <c r="F244" s="538">
        <f t="shared" si="17"/>
        <v>4</v>
      </c>
      <c r="G244" s="690"/>
      <c r="H244" s="492">
        <f t="shared" si="18"/>
        <v>23</v>
      </c>
      <c r="I244" s="489"/>
    </row>
    <row r="245" spans="2:9">
      <c r="B245" s="485">
        <v>51533</v>
      </c>
      <c r="C245" s="486">
        <f t="shared" si="15"/>
        <v>28</v>
      </c>
      <c r="D245" s="529">
        <f t="shared" si="19"/>
        <v>20</v>
      </c>
      <c r="E245" s="467">
        <f t="shared" si="16"/>
        <v>4</v>
      </c>
      <c r="F245" s="539">
        <f t="shared" si="17"/>
        <v>4</v>
      </c>
      <c r="G245" s="495"/>
      <c r="H245" s="493">
        <f t="shared" si="18"/>
        <v>20</v>
      </c>
      <c r="I245" s="489"/>
    </row>
    <row r="246" spans="2:9">
      <c r="B246" s="485">
        <v>51561</v>
      </c>
      <c r="C246" s="486">
        <f t="shared" si="15"/>
        <v>31</v>
      </c>
      <c r="D246" s="529">
        <f t="shared" si="19"/>
        <v>21</v>
      </c>
      <c r="E246" s="467">
        <f t="shared" si="16"/>
        <v>5</v>
      </c>
      <c r="F246" s="539">
        <f t="shared" si="17"/>
        <v>5</v>
      </c>
      <c r="G246" s="495"/>
      <c r="H246" s="493">
        <f t="shared" si="18"/>
        <v>21</v>
      </c>
      <c r="I246" s="489"/>
    </row>
    <row r="247" spans="2:9">
      <c r="B247" s="485">
        <v>51592</v>
      </c>
      <c r="C247" s="486">
        <f t="shared" si="15"/>
        <v>30</v>
      </c>
      <c r="D247" s="529">
        <f t="shared" si="19"/>
        <v>22</v>
      </c>
      <c r="E247" s="467">
        <f t="shared" si="16"/>
        <v>4</v>
      </c>
      <c r="F247" s="539">
        <f t="shared" si="17"/>
        <v>4</v>
      </c>
      <c r="G247" s="495"/>
      <c r="H247" s="493">
        <f t="shared" si="18"/>
        <v>22</v>
      </c>
      <c r="I247" s="489"/>
    </row>
    <row r="248" spans="2:9">
      <c r="B248" s="696">
        <v>51622</v>
      </c>
      <c r="C248" s="486">
        <f t="shared" si="15"/>
        <v>31</v>
      </c>
      <c r="D248" s="529">
        <f t="shared" si="19"/>
        <v>23</v>
      </c>
      <c r="E248" s="467">
        <f t="shared" si="16"/>
        <v>4</v>
      </c>
      <c r="F248" s="539">
        <f t="shared" si="17"/>
        <v>4</v>
      </c>
      <c r="G248" s="495"/>
      <c r="H248" s="493">
        <f t="shared" si="18"/>
        <v>23</v>
      </c>
      <c r="I248" s="489" t="str">
        <f>TEXT(EOMONTH(B248,-1)+1,"aaaa")</f>
        <v>수요일</v>
      </c>
    </row>
    <row r="249" spans="2:9">
      <c r="B249" s="485">
        <v>51653</v>
      </c>
      <c r="C249" s="486">
        <f t="shared" si="15"/>
        <v>30</v>
      </c>
      <c r="D249" s="529">
        <f t="shared" si="19"/>
        <v>20</v>
      </c>
      <c r="E249" s="467">
        <f t="shared" si="16"/>
        <v>5</v>
      </c>
      <c r="F249" s="539">
        <f t="shared" si="17"/>
        <v>5</v>
      </c>
      <c r="G249" s="495"/>
      <c r="H249" s="493">
        <f t="shared" si="18"/>
        <v>20</v>
      </c>
      <c r="I249" s="489"/>
    </row>
    <row r="250" spans="2:9">
      <c r="B250" s="485">
        <v>51683</v>
      </c>
      <c r="C250" s="486">
        <f t="shared" si="15"/>
        <v>31</v>
      </c>
      <c r="D250" s="529">
        <f t="shared" si="19"/>
        <v>23</v>
      </c>
      <c r="E250" s="467">
        <f t="shared" si="16"/>
        <v>4</v>
      </c>
      <c r="F250" s="539">
        <f t="shared" si="17"/>
        <v>4</v>
      </c>
      <c r="G250" s="495"/>
      <c r="H250" s="493">
        <f t="shared" si="18"/>
        <v>23</v>
      </c>
      <c r="I250" s="489"/>
    </row>
    <row r="251" spans="2:9">
      <c r="B251" s="485">
        <v>51714</v>
      </c>
      <c r="C251" s="486">
        <f t="shared" si="15"/>
        <v>31</v>
      </c>
      <c r="D251" s="529">
        <f t="shared" si="19"/>
        <v>22</v>
      </c>
      <c r="E251" s="467">
        <f t="shared" si="16"/>
        <v>4</v>
      </c>
      <c r="F251" s="539">
        <f t="shared" si="17"/>
        <v>5</v>
      </c>
      <c r="G251" s="495"/>
      <c r="H251" s="493">
        <f t="shared" si="18"/>
        <v>22</v>
      </c>
      <c r="I251" s="489"/>
    </row>
    <row r="252" spans="2:9">
      <c r="B252" s="485">
        <v>51745</v>
      </c>
      <c r="C252" s="486">
        <f t="shared" si="15"/>
        <v>30</v>
      </c>
      <c r="D252" s="529">
        <f t="shared" si="19"/>
        <v>21</v>
      </c>
      <c r="E252" s="467">
        <f t="shared" si="16"/>
        <v>5</v>
      </c>
      <c r="F252" s="539">
        <f t="shared" si="17"/>
        <v>4</v>
      </c>
      <c r="G252" s="495"/>
      <c r="H252" s="493">
        <f t="shared" si="18"/>
        <v>21</v>
      </c>
      <c r="I252" s="489"/>
    </row>
    <row r="253" spans="2:9">
      <c r="B253" s="485">
        <v>51775</v>
      </c>
      <c r="C253" s="486">
        <f t="shared" si="15"/>
        <v>31</v>
      </c>
      <c r="D253" s="529">
        <f t="shared" si="19"/>
        <v>23</v>
      </c>
      <c r="E253" s="467">
        <f t="shared" si="16"/>
        <v>4</v>
      </c>
      <c r="F253" s="539">
        <f t="shared" si="17"/>
        <v>4</v>
      </c>
      <c r="G253" s="495"/>
      <c r="H253" s="493">
        <f t="shared" si="18"/>
        <v>23</v>
      </c>
      <c r="I253" s="489"/>
    </row>
    <row r="254" spans="2:9">
      <c r="B254" s="485">
        <v>51806</v>
      </c>
      <c r="C254" s="486">
        <f t="shared" si="15"/>
        <v>30</v>
      </c>
      <c r="D254" s="529">
        <f t="shared" si="19"/>
        <v>21</v>
      </c>
      <c r="E254" s="467">
        <f t="shared" si="16"/>
        <v>4</v>
      </c>
      <c r="F254" s="539">
        <f t="shared" si="17"/>
        <v>5</v>
      </c>
      <c r="G254" s="495"/>
      <c r="H254" s="493">
        <f t="shared" si="18"/>
        <v>21</v>
      </c>
      <c r="I254" s="489"/>
    </row>
    <row r="255" spans="2:9" ht="17.25" thickBot="1">
      <c r="B255" s="691">
        <v>51836</v>
      </c>
      <c r="C255" s="692">
        <f t="shared" si="15"/>
        <v>31</v>
      </c>
      <c r="D255" s="337">
        <f t="shared" si="19"/>
        <v>22</v>
      </c>
      <c r="E255" s="337">
        <f t="shared" si="16"/>
        <v>5</v>
      </c>
      <c r="F255" s="693">
        <f t="shared" si="17"/>
        <v>4</v>
      </c>
      <c r="G255" s="694"/>
      <c r="H255" s="695">
        <f t="shared" si="18"/>
        <v>22</v>
      </c>
      <c r="I255" s="489"/>
    </row>
    <row r="256" spans="2:9">
      <c r="B256" s="487">
        <v>51867</v>
      </c>
      <c r="C256" s="488">
        <f t="shared" si="15"/>
        <v>31</v>
      </c>
      <c r="D256" s="689">
        <f t="shared" si="19"/>
        <v>23</v>
      </c>
      <c r="E256" s="689">
        <f t="shared" si="16"/>
        <v>4</v>
      </c>
      <c r="F256" s="538">
        <f t="shared" si="17"/>
        <v>4</v>
      </c>
      <c r="G256" s="690"/>
      <c r="H256" s="492">
        <f t="shared" si="18"/>
        <v>23</v>
      </c>
      <c r="I256" s="489"/>
    </row>
    <row r="257" spans="2:9">
      <c r="B257" s="485">
        <v>51898</v>
      </c>
      <c r="C257" s="486">
        <f t="shared" si="15"/>
        <v>28</v>
      </c>
      <c r="D257" s="529">
        <f t="shared" si="19"/>
        <v>20</v>
      </c>
      <c r="E257" s="467">
        <f t="shared" si="16"/>
        <v>4</v>
      </c>
      <c r="F257" s="539">
        <f t="shared" si="17"/>
        <v>4</v>
      </c>
      <c r="G257" s="495"/>
      <c r="H257" s="493">
        <f t="shared" si="18"/>
        <v>20</v>
      </c>
      <c r="I257" s="489"/>
    </row>
    <row r="258" spans="2:9">
      <c r="B258" s="485">
        <v>51926</v>
      </c>
      <c r="C258" s="486">
        <f t="shared" si="15"/>
        <v>31</v>
      </c>
      <c r="D258" s="529">
        <f t="shared" si="19"/>
        <v>21</v>
      </c>
      <c r="E258" s="467">
        <f t="shared" si="16"/>
        <v>5</v>
      </c>
      <c r="F258" s="539">
        <f t="shared" si="17"/>
        <v>5</v>
      </c>
      <c r="G258" s="495"/>
      <c r="H258" s="493">
        <f t="shared" si="18"/>
        <v>21</v>
      </c>
      <c r="I258" s="489"/>
    </row>
    <row r="259" spans="2:9">
      <c r="B259" s="485">
        <v>51957</v>
      </c>
      <c r="C259" s="486">
        <f t="shared" si="15"/>
        <v>30</v>
      </c>
      <c r="D259" s="529">
        <f t="shared" si="19"/>
        <v>22</v>
      </c>
      <c r="E259" s="467">
        <f t="shared" si="16"/>
        <v>4</v>
      </c>
      <c r="F259" s="539">
        <f t="shared" si="17"/>
        <v>4</v>
      </c>
      <c r="G259" s="495"/>
      <c r="H259" s="493">
        <f t="shared" si="18"/>
        <v>22</v>
      </c>
      <c r="I259" s="489"/>
    </row>
    <row r="260" spans="2:9">
      <c r="B260" s="485">
        <v>51987</v>
      </c>
      <c r="C260" s="486">
        <f t="shared" si="15"/>
        <v>31</v>
      </c>
      <c r="D260" s="529">
        <f t="shared" si="19"/>
        <v>22</v>
      </c>
      <c r="E260" s="467">
        <f t="shared" si="16"/>
        <v>4</v>
      </c>
      <c r="F260" s="539">
        <f t="shared" si="17"/>
        <v>5</v>
      </c>
      <c r="G260" s="495"/>
      <c r="H260" s="493">
        <f t="shared" si="18"/>
        <v>22</v>
      </c>
      <c r="I260" s="489"/>
    </row>
    <row r="261" spans="2:9">
      <c r="B261" s="485">
        <v>52018</v>
      </c>
      <c r="C261" s="486">
        <f t="shared" ref="C261:C324" si="20">EOMONTH(B261,0)-EOMONTH(B261,-1)</f>
        <v>30</v>
      </c>
      <c r="D261" s="529">
        <f t="shared" si="19"/>
        <v>21</v>
      </c>
      <c r="E261" s="467">
        <f t="shared" ref="E261:E324" si="21">CEILING((DAY(EOMONTH(B261,0))-MOD(8-WEEKDAY(B261),7))/7,1)</f>
        <v>5</v>
      </c>
      <c r="F261" s="539">
        <f t="shared" ref="F261:F324" si="22">C261-D261-E261</f>
        <v>4</v>
      </c>
      <c r="G261" s="495"/>
      <c r="H261" s="493">
        <f t="shared" ref="H261:H324" si="23">D261-G261</f>
        <v>21</v>
      </c>
      <c r="I261" s="489"/>
    </row>
    <row r="262" spans="2:9">
      <c r="B262" s="485">
        <v>52048</v>
      </c>
      <c r="C262" s="486">
        <f t="shared" si="20"/>
        <v>31</v>
      </c>
      <c r="D262" s="529">
        <f t="shared" ref="D262:D325" si="24">NETWORKDAYS(EOMONTH(B262,-1)+1,EOMONTH(B262,0))</f>
        <v>23</v>
      </c>
      <c r="E262" s="467">
        <f t="shared" si="21"/>
        <v>4</v>
      </c>
      <c r="F262" s="539">
        <f t="shared" si="22"/>
        <v>4</v>
      </c>
      <c r="G262" s="495"/>
      <c r="H262" s="493">
        <f t="shared" si="23"/>
        <v>23</v>
      </c>
      <c r="I262" s="489"/>
    </row>
    <row r="263" spans="2:9">
      <c r="B263" s="485">
        <v>52079</v>
      </c>
      <c r="C263" s="486">
        <f t="shared" si="20"/>
        <v>31</v>
      </c>
      <c r="D263" s="529">
        <f t="shared" si="24"/>
        <v>21</v>
      </c>
      <c r="E263" s="467">
        <f t="shared" si="21"/>
        <v>5</v>
      </c>
      <c r="F263" s="539">
        <f t="shared" si="22"/>
        <v>5</v>
      </c>
      <c r="G263" s="495"/>
      <c r="H263" s="493">
        <f t="shared" si="23"/>
        <v>21</v>
      </c>
      <c r="I263" s="489"/>
    </row>
    <row r="264" spans="2:9">
      <c r="B264" s="485">
        <v>52110</v>
      </c>
      <c r="C264" s="486">
        <f t="shared" si="20"/>
        <v>30</v>
      </c>
      <c r="D264" s="529">
        <f t="shared" si="24"/>
        <v>22</v>
      </c>
      <c r="E264" s="467">
        <f t="shared" si="21"/>
        <v>4</v>
      </c>
      <c r="F264" s="539">
        <f t="shared" si="22"/>
        <v>4</v>
      </c>
      <c r="G264" s="495"/>
      <c r="H264" s="493">
        <f t="shared" si="23"/>
        <v>22</v>
      </c>
      <c r="I264" s="489"/>
    </row>
    <row r="265" spans="2:9">
      <c r="B265" s="485">
        <v>52140</v>
      </c>
      <c r="C265" s="486">
        <f t="shared" si="20"/>
        <v>31</v>
      </c>
      <c r="D265" s="529">
        <f t="shared" si="24"/>
        <v>23</v>
      </c>
      <c r="E265" s="467">
        <f t="shared" si="21"/>
        <v>4</v>
      </c>
      <c r="F265" s="539">
        <f t="shared" si="22"/>
        <v>4</v>
      </c>
      <c r="G265" s="495"/>
      <c r="H265" s="493">
        <f t="shared" si="23"/>
        <v>23</v>
      </c>
      <c r="I265" s="489"/>
    </row>
    <row r="266" spans="2:9">
      <c r="B266" s="485">
        <v>52171</v>
      </c>
      <c r="C266" s="486">
        <f t="shared" si="20"/>
        <v>30</v>
      </c>
      <c r="D266" s="529">
        <f t="shared" si="24"/>
        <v>20</v>
      </c>
      <c r="E266" s="467">
        <f t="shared" si="21"/>
        <v>5</v>
      </c>
      <c r="F266" s="539">
        <f t="shared" si="22"/>
        <v>5</v>
      </c>
      <c r="G266" s="495"/>
      <c r="H266" s="493">
        <f t="shared" si="23"/>
        <v>20</v>
      </c>
      <c r="I266" s="489"/>
    </row>
    <row r="267" spans="2:9">
      <c r="B267" s="485">
        <v>52201</v>
      </c>
      <c r="C267" s="486">
        <f t="shared" si="20"/>
        <v>31</v>
      </c>
      <c r="D267" s="529">
        <f t="shared" si="24"/>
        <v>23</v>
      </c>
      <c r="E267" s="467">
        <f t="shared" si="21"/>
        <v>4</v>
      </c>
      <c r="F267" s="539">
        <f t="shared" si="22"/>
        <v>4</v>
      </c>
      <c r="G267" s="495"/>
      <c r="H267" s="493">
        <f t="shared" si="23"/>
        <v>23</v>
      </c>
      <c r="I267" s="489"/>
    </row>
    <row r="268" spans="2:9">
      <c r="B268" s="485">
        <v>52232</v>
      </c>
      <c r="C268" s="486">
        <f t="shared" si="20"/>
        <v>31</v>
      </c>
      <c r="D268" s="529">
        <f t="shared" si="24"/>
        <v>22</v>
      </c>
      <c r="E268" s="467">
        <f t="shared" si="21"/>
        <v>4</v>
      </c>
      <c r="F268" s="539">
        <f t="shared" si="22"/>
        <v>5</v>
      </c>
      <c r="G268" s="495"/>
      <c r="H268" s="493">
        <f t="shared" si="23"/>
        <v>22</v>
      </c>
      <c r="I268" s="489"/>
    </row>
    <row r="269" spans="2:9">
      <c r="B269" s="485">
        <v>52263</v>
      </c>
      <c r="C269" s="486">
        <f t="shared" si="20"/>
        <v>28</v>
      </c>
      <c r="D269" s="529">
        <f t="shared" si="24"/>
        <v>20</v>
      </c>
      <c r="E269" s="467">
        <f t="shared" si="21"/>
        <v>4</v>
      </c>
      <c r="F269" s="539">
        <f t="shared" si="22"/>
        <v>4</v>
      </c>
      <c r="G269" s="495"/>
      <c r="H269" s="493">
        <f t="shared" si="23"/>
        <v>20</v>
      </c>
      <c r="I269" s="489"/>
    </row>
    <row r="270" spans="2:9">
      <c r="B270" s="485">
        <v>52291</v>
      </c>
      <c r="C270" s="486">
        <f t="shared" si="20"/>
        <v>31</v>
      </c>
      <c r="D270" s="529">
        <f t="shared" si="24"/>
        <v>22</v>
      </c>
      <c r="E270" s="467">
        <f t="shared" si="21"/>
        <v>5</v>
      </c>
      <c r="F270" s="539">
        <f t="shared" si="22"/>
        <v>4</v>
      </c>
      <c r="G270" s="495"/>
      <c r="H270" s="493">
        <f t="shared" si="23"/>
        <v>22</v>
      </c>
      <c r="I270" s="489"/>
    </row>
    <row r="271" spans="2:9">
      <c r="B271" s="485">
        <v>52322</v>
      </c>
      <c r="C271" s="486">
        <f t="shared" si="20"/>
        <v>30</v>
      </c>
      <c r="D271" s="529">
        <f t="shared" si="24"/>
        <v>22</v>
      </c>
      <c r="E271" s="467">
        <f t="shared" si="21"/>
        <v>4</v>
      </c>
      <c r="F271" s="539">
        <f t="shared" si="22"/>
        <v>4</v>
      </c>
      <c r="G271" s="495"/>
      <c r="H271" s="493">
        <f t="shared" si="23"/>
        <v>22</v>
      </c>
      <c r="I271" s="489"/>
    </row>
    <row r="272" spans="2:9">
      <c r="B272" s="485">
        <v>52352</v>
      </c>
      <c r="C272" s="486">
        <f t="shared" si="20"/>
        <v>31</v>
      </c>
      <c r="D272" s="529">
        <f t="shared" si="24"/>
        <v>21</v>
      </c>
      <c r="E272" s="467">
        <f t="shared" si="21"/>
        <v>5</v>
      </c>
      <c r="F272" s="539">
        <f t="shared" si="22"/>
        <v>5</v>
      </c>
      <c r="G272" s="495"/>
      <c r="H272" s="493">
        <f t="shared" si="23"/>
        <v>21</v>
      </c>
      <c r="I272" s="489"/>
    </row>
    <row r="273" spans="2:9">
      <c r="B273" s="485">
        <v>52383</v>
      </c>
      <c r="C273" s="486">
        <f t="shared" si="20"/>
        <v>30</v>
      </c>
      <c r="D273" s="529">
        <f t="shared" si="24"/>
        <v>22</v>
      </c>
      <c r="E273" s="467">
        <f t="shared" si="21"/>
        <v>4</v>
      </c>
      <c r="F273" s="539">
        <f t="shared" si="22"/>
        <v>4</v>
      </c>
      <c r="G273" s="495"/>
      <c r="H273" s="493">
        <f t="shared" si="23"/>
        <v>22</v>
      </c>
      <c r="I273" s="489"/>
    </row>
    <row r="274" spans="2:9">
      <c r="B274" s="485">
        <v>52413</v>
      </c>
      <c r="C274" s="486">
        <f t="shared" si="20"/>
        <v>31</v>
      </c>
      <c r="D274" s="529">
        <f t="shared" si="24"/>
        <v>23</v>
      </c>
      <c r="E274" s="467">
        <f t="shared" si="21"/>
        <v>4</v>
      </c>
      <c r="F274" s="539">
        <f t="shared" si="22"/>
        <v>4</v>
      </c>
      <c r="G274" s="495"/>
      <c r="H274" s="493">
        <f t="shared" si="23"/>
        <v>23</v>
      </c>
      <c r="I274" s="489"/>
    </row>
    <row r="275" spans="2:9">
      <c r="B275" s="485">
        <v>52444</v>
      </c>
      <c r="C275" s="486">
        <f t="shared" si="20"/>
        <v>31</v>
      </c>
      <c r="D275" s="529">
        <f t="shared" si="24"/>
        <v>21</v>
      </c>
      <c r="E275" s="467">
        <f t="shared" si="21"/>
        <v>5</v>
      </c>
      <c r="F275" s="539">
        <f t="shared" si="22"/>
        <v>5</v>
      </c>
      <c r="G275" s="495"/>
      <c r="H275" s="493">
        <f t="shared" si="23"/>
        <v>21</v>
      </c>
      <c r="I275" s="489"/>
    </row>
    <row r="276" spans="2:9">
      <c r="B276" s="485">
        <v>52475</v>
      </c>
      <c r="C276" s="486">
        <f t="shared" si="20"/>
        <v>30</v>
      </c>
      <c r="D276" s="529">
        <f t="shared" si="24"/>
        <v>22</v>
      </c>
      <c r="E276" s="467">
        <f t="shared" si="21"/>
        <v>4</v>
      </c>
      <c r="F276" s="539">
        <f t="shared" si="22"/>
        <v>4</v>
      </c>
      <c r="G276" s="495"/>
      <c r="H276" s="493">
        <f t="shared" si="23"/>
        <v>22</v>
      </c>
      <c r="I276" s="489"/>
    </row>
    <row r="277" spans="2:9">
      <c r="B277" s="485">
        <v>52505</v>
      </c>
      <c r="C277" s="486">
        <f t="shared" si="20"/>
        <v>31</v>
      </c>
      <c r="D277" s="529">
        <f t="shared" si="24"/>
        <v>22</v>
      </c>
      <c r="E277" s="467">
        <f t="shared" si="21"/>
        <v>4</v>
      </c>
      <c r="F277" s="539">
        <f t="shared" si="22"/>
        <v>5</v>
      </c>
      <c r="G277" s="495"/>
      <c r="H277" s="493">
        <f t="shared" si="23"/>
        <v>22</v>
      </c>
      <c r="I277" s="489"/>
    </row>
    <row r="278" spans="2:9">
      <c r="B278" s="485">
        <v>52536</v>
      </c>
      <c r="C278" s="486">
        <f t="shared" si="20"/>
        <v>30</v>
      </c>
      <c r="D278" s="529">
        <f t="shared" si="24"/>
        <v>21</v>
      </c>
      <c r="E278" s="467">
        <f t="shared" si="21"/>
        <v>5</v>
      </c>
      <c r="F278" s="539">
        <f t="shared" si="22"/>
        <v>4</v>
      </c>
      <c r="G278" s="495"/>
      <c r="H278" s="493">
        <f t="shared" si="23"/>
        <v>21</v>
      </c>
      <c r="I278" s="489"/>
    </row>
    <row r="279" spans="2:9">
      <c r="B279" s="485">
        <v>52566</v>
      </c>
      <c r="C279" s="486">
        <f t="shared" si="20"/>
        <v>31</v>
      </c>
      <c r="D279" s="529">
        <f t="shared" si="24"/>
        <v>23</v>
      </c>
      <c r="E279" s="467">
        <f t="shared" si="21"/>
        <v>4</v>
      </c>
      <c r="F279" s="539">
        <f t="shared" si="22"/>
        <v>4</v>
      </c>
      <c r="G279" s="495"/>
      <c r="H279" s="493">
        <f t="shared" si="23"/>
        <v>23</v>
      </c>
      <c r="I279" s="489"/>
    </row>
    <row r="280" spans="2:9">
      <c r="B280" s="485">
        <v>52597</v>
      </c>
      <c r="C280" s="486">
        <f t="shared" si="20"/>
        <v>31</v>
      </c>
      <c r="D280" s="529">
        <f t="shared" si="24"/>
        <v>21</v>
      </c>
      <c r="E280" s="467">
        <f t="shared" si="21"/>
        <v>5</v>
      </c>
      <c r="F280" s="539">
        <f t="shared" si="22"/>
        <v>5</v>
      </c>
      <c r="G280" s="495"/>
      <c r="H280" s="493">
        <f t="shared" si="23"/>
        <v>21</v>
      </c>
      <c r="I280" s="489"/>
    </row>
    <row r="281" spans="2:9">
      <c r="B281" s="485">
        <v>52628</v>
      </c>
      <c r="C281" s="486">
        <f t="shared" si="20"/>
        <v>29</v>
      </c>
      <c r="D281" s="529">
        <f t="shared" si="24"/>
        <v>21</v>
      </c>
      <c r="E281" s="467">
        <f t="shared" si="21"/>
        <v>4</v>
      </c>
      <c r="F281" s="539">
        <f t="shared" si="22"/>
        <v>4</v>
      </c>
      <c r="G281" s="495"/>
      <c r="H281" s="493">
        <f t="shared" si="23"/>
        <v>21</v>
      </c>
      <c r="I281" s="489"/>
    </row>
    <row r="282" spans="2:9">
      <c r="B282" s="485">
        <v>52657</v>
      </c>
      <c r="C282" s="486">
        <f t="shared" si="20"/>
        <v>31</v>
      </c>
      <c r="D282" s="529">
        <f t="shared" si="24"/>
        <v>23</v>
      </c>
      <c r="E282" s="467">
        <f t="shared" si="21"/>
        <v>4</v>
      </c>
      <c r="F282" s="539">
        <f t="shared" si="22"/>
        <v>4</v>
      </c>
      <c r="G282" s="495"/>
      <c r="H282" s="493">
        <f t="shared" si="23"/>
        <v>23</v>
      </c>
      <c r="I282" s="489"/>
    </row>
    <row r="283" spans="2:9">
      <c r="B283" s="485">
        <v>52688</v>
      </c>
      <c r="C283" s="486">
        <f t="shared" si="20"/>
        <v>30</v>
      </c>
      <c r="D283" s="529">
        <f t="shared" si="24"/>
        <v>21</v>
      </c>
      <c r="E283" s="467">
        <f t="shared" si="21"/>
        <v>4</v>
      </c>
      <c r="F283" s="539">
        <f t="shared" si="22"/>
        <v>5</v>
      </c>
      <c r="G283" s="495"/>
      <c r="H283" s="493">
        <f t="shared" si="23"/>
        <v>21</v>
      </c>
      <c r="I283" s="489"/>
    </row>
    <row r="284" spans="2:9">
      <c r="B284" s="485">
        <v>52718</v>
      </c>
      <c r="C284" s="486">
        <f t="shared" si="20"/>
        <v>31</v>
      </c>
      <c r="D284" s="529">
        <f t="shared" si="24"/>
        <v>22</v>
      </c>
      <c r="E284" s="467">
        <f t="shared" si="21"/>
        <v>5</v>
      </c>
      <c r="F284" s="539">
        <f t="shared" si="22"/>
        <v>4</v>
      </c>
      <c r="G284" s="495"/>
      <c r="H284" s="493">
        <f t="shared" si="23"/>
        <v>22</v>
      </c>
      <c r="I284" s="489"/>
    </row>
    <row r="285" spans="2:9">
      <c r="B285" s="485">
        <v>52749</v>
      </c>
      <c r="C285" s="486">
        <f t="shared" si="20"/>
        <v>30</v>
      </c>
      <c r="D285" s="529">
        <f t="shared" si="24"/>
        <v>22</v>
      </c>
      <c r="E285" s="467">
        <f t="shared" si="21"/>
        <v>4</v>
      </c>
      <c r="F285" s="539">
        <f t="shared" si="22"/>
        <v>4</v>
      </c>
      <c r="G285" s="495"/>
      <c r="H285" s="493">
        <f t="shared" si="23"/>
        <v>22</v>
      </c>
      <c r="I285" s="489"/>
    </row>
    <row r="286" spans="2:9">
      <c r="B286" s="485">
        <v>52779</v>
      </c>
      <c r="C286" s="486">
        <f t="shared" si="20"/>
        <v>31</v>
      </c>
      <c r="D286" s="529">
        <f t="shared" si="24"/>
        <v>21</v>
      </c>
      <c r="E286" s="467">
        <f t="shared" si="21"/>
        <v>5</v>
      </c>
      <c r="F286" s="539">
        <f t="shared" si="22"/>
        <v>5</v>
      </c>
      <c r="G286" s="495"/>
      <c r="H286" s="493">
        <f t="shared" si="23"/>
        <v>21</v>
      </c>
      <c r="I286" s="489"/>
    </row>
    <row r="287" spans="2:9">
      <c r="B287" s="485">
        <v>52810</v>
      </c>
      <c r="C287" s="486">
        <f t="shared" si="20"/>
        <v>31</v>
      </c>
      <c r="D287" s="529">
        <f t="shared" si="24"/>
        <v>23</v>
      </c>
      <c r="E287" s="467">
        <f t="shared" si="21"/>
        <v>4</v>
      </c>
      <c r="F287" s="539">
        <f t="shared" si="22"/>
        <v>4</v>
      </c>
      <c r="G287" s="495"/>
      <c r="H287" s="493">
        <f t="shared" si="23"/>
        <v>23</v>
      </c>
      <c r="I287" s="489"/>
    </row>
    <row r="288" spans="2:9">
      <c r="B288" s="485">
        <v>52841</v>
      </c>
      <c r="C288" s="486">
        <f t="shared" si="20"/>
        <v>30</v>
      </c>
      <c r="D288" s="529">
        <f t="shared" si="24"/>
        <v>22</v>
      </c>
      <c r="E288" s="467">
        <f t="shared" si="21"/>
        <v>4</v>
      </c>
      <c r="F288" s="539">
        <f t="shared" si="22"/>
        <v>4</v>
      </c>
      <c r="G288" s="495"/>
      <c r="H288" s="493">
        <f t="shared" si="23"/>
        <v>22</v>
      </c>
      <c r="I288" s="489"/>
    </row>
    <row r="289" spans="2:9">
      <c r="B289" s="485">
        <v>52871</v>
      </c>
      <c r="C289" s="486">
        <f t="shared" si="20"/>
        <v>31</v>
      </c>
      <c r="D289" s="529">
        <f t="shared" si="24"/>
        <v>21</v>
      </c>
      <c r="E289" s="467">
        <f t="shared" si="21"/>
        <v>5</v>
      </c>
      <c r="F289" s="539">
        <f t="shared" si="22"/>
        <v>5</v>
      </c>
      <c r="G289" s="495"/>
      <c r="H289" s="493">
        <f t="shared" si="23"/>
        <v>21</v>
      </c>
      <c r="I289" s="489"/>
    </row>
    <row r="290" spans="2:9">
      <c r="B290" s="485">
        <v>52902</v>
      </c>
      <c r="C290" s="486">
        <f t="shared" si="20"/>
        <v>30</v>
      </c>
      <c r="D290" s="529">
        <f t="shared" si="24"/>
        <v>22</v>
      </c>
      <c r="E290" s="467">
        <f t="shared" si="21"/>
        <v>4</v>
      </c>
      <c r="F290" s="539">
        <f t="shared" si="22"/>
        <v>4</v>
      </c>
      <c r="G290" s="495"/>
      <c r="H290" s="493">
        <f t="shared" si="23"/>
        <v>22</v>
      </c>
      <c r="I290" s="489"/>
    </row>
    <row r="291" spans="2:9">
      <c r="B291" s="485">
        <v>52932</v>
      </c>
      <c r="C291" s="486">
        <f t="shared" si="20"/>
        <v>31</v>
      </c>
      <c r="D291" s="529">
        <f t="shared" si="24"/>
        <v>22</v>
      </c>
      <c r="E291" s="467">
        <f t="shared" si="21"/>
        <v>4</v>
      </c>
      <c r="F291" s="539">
        <f t="shared" si="22"/>
        <v>5</v>
      </c>
      <c r="G291" s="495"/>
      <c r="H291" s="493">
        <f t="shared" si="23"/>
        <v>22</v>
      </c>
      <c r="I291" s="489"/>
    </row>
    <row r="292" spans="2:9">
      <c r="B292" s="485">
        <v>52963</v>
      </c>
      <c r="C292" s="486">
        <f t="shared" si="20"/>
        <v>31</v>
      </c>
      <c r="D292" s="529">
        <f t="shared" si="24"/>
        <v>22</v>
      </c>
      <c r="E292" s="467">
        <f t="shared" si="21"/>
        <v>5</v>
      </c>
      <c r="F292" s="539">
        <f t="shared" si="22"/>
        <v>4</v>
      </c>
      <c r="G292" s="495"/>
      <c r="H292" s="493">
        <f t="shared" si="23"/>
        <v>22</v>
      </c>
      <c r="I292" s="489"/>
    </row>
    <row r="293" spans="2:9">
      <c r="B293" s="485">
        <v>52994</v>
      </c>
      <c r="C293" s="486">
        <f t="shared" si="20"/>
        <v>28</v>
      </c>
      <c r="D293" s="529">
        <f t="shared" si="24"/>
        <v>20</v>
      </c>
      <c r="E293" s="467">
        <f t="shared" si="21"/>
        <v>4</v>
      </c>
      <c r="F293" s="539">
        <f t="shared" si="22"/>
        <v>4</v>
      </c>
      <c r="G293" s="495"/>
      <c r="H293" s="493">
        <f t="shared" si="23"/>
        <v>20</v>
      </c>
      <c r="I293" s="489"/>
    </row>
    <row r="294" spans="2:9">
      <c r="B294" s="485">
        <v>53022</v>
      </c>
      <c r="C294" s="486">
        <f t="shared" si="20"/>
        <v>31</v>
      </c>
      <c r="D294" s="529">
        <f t="shared" si="24"/>
        <v>23</v>
      </c>
      <c r="E294" s="467">
        <f t="shared" si="21"/>
        <v>4</v>
      </c>
      <c r="F294" s="539">
        <f t="shared" si="22"/>
        <v>4</v>
      </c>
      <c r="G294" s="495"/>
      <c r="H294" s="493">
        <f t="shared" si="23"/>
        <v>23</v>
      </c>
      <c r="I294" s="489"/>
    </row>
    <row r="295" spans="2:9">
      <c r="B295" s="485">
        <v>53053</v>
      </c>
      <c r="C295" s="486">
        <f t="shared" si="20"/>
        <v>30</v>
      </c>
      <c r="D295" s="529">
        <f t="shared" si="24"/>
        <v>20</v>
      </c>
      <c r="E295" s="467">
        <f t="shared" si="21"/>
        <v>5</v>
      </c>
      <c r="F295" s="539">
        <f t="shared" si="22"/>
        <v>5</v>
      </c>
      <c r="G295" s="495"/>
      <c r="H295" s="493">
        <f t="shared" si="23"/>
        <v>20</v>
      </c>
      <c r="I295" s="489"/>
    </row>
    <row r="296" spans="2:9">
      <c r="B296" s="485">
        <v>53083</v>
      </c>
      <c r="C296" s="486">
        <f t="shared" si="20"/>
        <v>31</v>
      </c>
      <c r="D296" s="529">
        <f t="shared" si="24"/>
        <v>23</v>
      </c>
      <c r="E296" s="467">
        <f t="shared" si="21"/>
        <v>4</v>
      </c>
      <c r="F296" s="539">
        <f t="shared" si="22"/>
        <v>4</v>
      </c>
      <c r="G296" s="495"/>
      <c r="H296" s="493">
        <f t="shared" si="23"/>
        <v>23</v>
      </c>
      <c r="I296" s="489"/>
    </row>
    <row r="297" spans="2:9">
      <c r="B297" s="485">
        <v>53114</v>
      </c>
      <c r="C297" s="486">
        <f t="shared" si="20"/>
        <v>30</v>
      </c>
      <c r="D297" s="529">
        <f t="shared" si="24"/>
        <v>22</v>
      </c>
      <c r="E297" s="467">
        <f t="shared" si="21"/>
        <v>4</v>
      </c>
      <c r="F297" s="539">
        <f t="shared" si="22"/>
        <v>4</v>
      </c>
      <c r="G297" s="495"/>
      <c r="H297" s="493">
        <f t="shared" si="23"/>
        <v>22</v>
      </c>
      <c r="I297" s="489"/>
    </row>
    <row r="298" spans="2:9">
      <c r="B298" s="485">
        <v>53144</v>
      </c>
      <c r="C298" s="486">
        <f t="shared" si="20"/>
        <v>31</v>
      </c>
      <c r="D298" s="529">
        <f t="shared" si="24"/>
        <v>21</v>
      </c>
      <c r="E298" s="467">
        <f t="shared" si="21"/>
        <v>5</v>
      </c>
      <c r="F298" s="539">
        <f t="shared" si="22"/>
        <v>5</v>
      </c>
      <c r="G298" s="495"/>
      <c r="H298" s="493">
        <f t="shared" si="23"/>
        <v>21</v>
      </c>
      <c r="I298" s="489"/>
    </row>
    <row r="299" spans="2:9">
      <c r="B299" s="485">
        <v>53175</v>
      </c>
      <c r="C299" s="486">
        <f t="shared" si="20"/>
        <v>31</v>
      </c>
      <c r="D299" s="529">
        <f t="shared" si="24"/>
        <v>23</v>
      </c>
      <c r="E299" s="467">
        <f t="shared" si="21"/>
        <v>4</v>
      </c>
      <c r="F299" s="539">
        <f t="shared" si="22"/>
        <v>4</v>
      </c>
      <c r="G299" s="495"/>
      <c r="H299" s="493">
        <f t="shared" si="23"/>
        <v>23</v>
      </c>
      <c r="I299" s="489"/>
    </row>
    <row r="300" spans="2:9">
      <c r="B300" s="485">
        <v>53206</v>
      </c>
      <c r="C300" s="486">
        <f t="shared" si="20"/>
        <v>30</v>
      </c>
      <c r="D300" s="529">
        <f t="shared" si="24"/>
        <v>21</v>
      </c>
      <c r="E300" s="467">
        <f t="shared" si="21"/>
        <v>4</v>
      </c>
      <c r="F300" s="539">
        <f t="shared" si="22"/>
        <v>5</v>
      </c>
      <c r="G300" s="495"/>
      <c r="H300" s="493">
        <f t="shared" si="23"/>
        <v>21</v>
      </c>
      <c r="I300" s="489"/>
    </row>
    <row r="301" spans="2:9">
      <c r="B301" s="485">
        <v>53236</v>
      </c>
      <c r="C301" s="486">
        <f t="shared" si="20"/>
        <v>31</v>
      </c>
      <c r="D301" s="529">
        <f t="shared" si="24"/>
        <v>22</v>
      </c>
      <c r="E301" s="467">
        <f t="shared" si="21"/>
        <v>5</v>
      </c>
      <c r="F301" s="539">
        <f t="shared" si="22"/>
        <v>4</v>
      </c>
      <c r="G301" s="495"/>
      <c r="H301" s="493">
        <f t="shared" si="23"/>
        <v>22</v>
      </c>
      <c r="I301" s="489"/>
    </row>
    <row r="302" spans="2:9">
      <c r="B302" s="485">
        <v>53267</v>
      </c>
      <c r="C302" s="486">
        <f t="shared" si="20"/>
        <v>30</v>
      </c>
      <c r="D302" s="529">
        <f t="shared" si="24"/>
        <v>22</v>
      </c>
      <c r="E302" s="467">
        <f t="shared" si="21"/>
        <v>4</v>
      </c>
      <c r="F302" s="539">
        <f t="shared" si="22"/>
        <v>4</v>
      </c>
      <c r="G302" s="495"/>
      <c r="H302" s="493">
        <f t="shared" si="23"/>
        <v>22</v>
      </c>
      <c r="I302" s="489"/>
    </row>
    <row r="303" spans="2:9">
      <c r="B303" s="485">
        <v>53297</v>
      </c>
      <c r="C303" s="486">
        <f t="shared" si="20"/>
        <v>31</v>
      </c>
      <c r="D303" s="529">
        <f t="shared" si="24"/>
        <v>21</v>
      </c>
      <c r="E303" s="467">
        <f t="shared" si="21"/>
        <v>5</v>
      </c>
      <c r="F303" s="539">
        <f t="shared" si="22"/>
        <v>5</v>
      </c>
      <c r="G303" s="495"/>
      <c r="H303" s="493">
        <f t="shared" si="23"/>
        <v>21</v>
      </c>
      <c r="I303" s="489"/>
    </row>
    <row r="304" spans="2:9">
      <c r="B304" s="485">
        <v>53328</v>
      </c>
      <c r="C304" s="486">
        <f t="shared" si="20"/>
        <v>31</v>
      </c>
      <c r="D304" s="529">
        <f t="shared" si="24"/>
        <v>23</v>
      </c>
      <c r="E304" s="467">
        <f t="shared" si="21"/>
        <v>4</v>
      </c>
      <c r="F304" s="539">
        <f t="shared" si="22"/>
        <v>4</v>
      </c>
      <c r="G304" s="495"/>
      <c r="H304" s="493">
        <f t="shared" si="23"/>
        <v>23</v>
      </c>
      <c r="I304" s="489"/>
    </row>
    <row r="305" spans="2:9">
      <c r="B305" s="485">
        <v>53359</v>
      </c>
      <c r="C305" s="486">
        <f t="shared" si="20"/>
        <v>28</v>
      </c>
      <c r="D305" s="529">
        <f t="shared" si="24"/>
        <v>20</v>
      </c>
      <c r="E305" s="467">
        <f t="shared" si="21"/>
        <v>4</v>
      </c>
      <c r="F305" s="539">
        <f t="shared" si="22"/>
        <v>4</v>
      </c>
      <c r="G305" s="495"/>
      <c r="H305" s="493">
        <f t="shared" si="23"/>
        <v>20</v>
      </c>
      <c r="I305" s="489"/>
    </row>
    <row r="306" spans="2:9">
      <c r="B306" s="485">
        <v>53387</v>
      </c>
      <c r="C306" s="486">
        <f t="shared" si="20"/>
        <v>31</v>
      </c>
      <c r="D306" s="529">
        <f t="shared" si="24"/>
        <v>22</v>
      </c>
      <c r="E306" s="467">
        <f t="shared" si="21"/>
        <v>4</v>
      </c>
      <c r="F306" s="539">
        <f t="shared" si="22"/>
        <v>5</v>
      </c>
      <c r="G306" s="495"/>
      <c r="H306" s="493">
        <f t="shared" si="23"/>
        <v>22</v>
      </c>
      <c r="I306" s="489"/>
    </row>
    <row r="307" spans="2:9">
      <c r="B307" s="485">
        <v>53418</v>
      </c>
      <c r="C307" s="486">
        <f t="shared" si="20"/>
        <v>30</v>
      </c>
      <c r="D307" s="529">
        <f t="shared" si="24"/>
        <v>21</v>
      </c>
      <c r="E307" s="467">
        <f t="shared" si="21"/>
        <v>5</v>
      </c>
      <c r="F307" s="539">
        <f t="shared" si="22"/>
        <v>4</v>
      </c>
      <c r="G307" s="495"/>
      <c r="H307" s="493">
        <f t="shared" si="23"/>
        <v>21</v>
      </c>
      <c r="I307" s="489"/>
    </row>
    <row r="308" spans="2:9">
      <c r="B308" s="485">
        <v>53448</v>
      </c>
      <c r="C308" s="486">
        <f t="shared" si="20"/>
        <v>31</v>
      </c>
      <c r="D308" s="529">
        <f t="shared" si="24"/>
        <v>23</v>
      </c>
      <c r="E308" s="467">
        <f t="shared" si="21"/>
        <v>4</v>
      </c>
      <c r="F308" s="539">
        <f t="shared" si="22"/>
        <v>4</v>
      </c>
      <c r="G308" s="495"/>
      <c r="H308" s="493">
        <f t="shared" si="23"/>
        <v>23</v>
      </c>
      <c r="I308" s="489"/>
    </row>
    <row r="309" spans="2:9">
      <c r="B309" s="485">
        <v>53479</v>
      </c>
      <c r="C309" s="486">
        <f t="shared" si="20"/>
        <v>30</v>
      </c>
      <c r="D309" s="529">
        <f t="shared" si="24"/>
        <v>21</v>
      </c>
      <c r="E309" s="467">
        <f t="shared" si="21"/>
        <v>4</v>
      </c>
      <c r="F309" s="539">
        <f t="shared" si="22"/>
        <v>5</v>
      </c>
      <c r="G309" s="495"/>
      <c r="H309" s="493">
        <f t="shared" si="23"/>
        <v>21</v>
      </c>
      <c r="I309" s="489"/>
    </row>
    <row r="310" spans="2:9">
      <c r="B310" s="485">
        <v>53509</v>
      </c>
      <c r="C310" s="486">
        <f t="shared" si="20"/>
        <v>31</v>
      </c>
      <c r="D310" s="529">
        <f t="shared" si="24"/>
        <v>22</v>
      </c>
      <c r="E310" s="467">
        <f t="shared" si="21"/>
        <v>5</v>
      </c>
      <c r="F310" s="539">
        <f t="shared" si="22"/>
        <v>4</v>
      </c>
      <c r="G310" s="495"/>
      <c r="H310" s="493">
        <f t="shared" si="23"/>
        <v>22</v>
      </c>
      <c r="I310" s="489"/>
    </row>
    <row r="311" spans="2:9">
      <c r="B311" s="485">
        <v>53540</v>
      </c>
      <c r="C311" s="486">
        <f t="shared" si="20"/>
        <v>31</v>
      </c>
      <c r="D311" s="529">
        <f t="shared" si="24"/>
        <v>23</v>
      </c>
      <c r="E311" s="467">
        <f t="shared" si="21"/>
        <v>4</v>
      </c>
      <c r="F311" s="539">
        <f t="shared" si="22"/>
        <v>4</v>
      </c>
      <c r="G311" s="495"/>
      <c r="H311" s="493">
        <f t="shared" si="23"/>
        <v>23</v>
      </c>
      <c r="I311" s="489"/>
    </row>
    <row r="312" spans="2:9">
      <c r="B312" s="485">
        <v>53571</v>
      </c>
      <c r="C312" s="486">
        <f t="shared" si="20"/>
        <v>30</v>
      </c>
      <c r="D312" s="529">
        <f t="shared" si="24"/>
        <v>20</v>
      </c>
      <c r="E312" s="467">
        <f t="shared" si="21"/>
        <v>5</v>
      </c>
      <c r="F312" s="539">
        <f t="shared" si="22"/>
        <v>5</v>
      </c>
      <c r="G312" s="495"/>
      <c r="H312" s="493">
        <f t="shared" si="23"/>
        <v>20</v>
      </c>
      <c r="I312" s="489"/>
    </row>
    <row r="313" spans="2:9">
      <c r="B313" s="485">
        <v>53601</v>
      </c>
      <c r="C313" s="486">
        <f t="shared" si="20"/>
        <v>31</v>
      </c>
      <c r="D313" s="529">
        <f t="shared" si="24"/>
        <v>23</v>
      </c>
      <c r="E313" s="467">
        <f t="shared" si="21"/>
        <v>4</v>
      </c>
      <c r="F313" s="539">
        <f t="shared" si="22"/>
        <v>4</v>
      </c>
      <c r="G313" s="495"/>
      <c r="H313" s="493">
        <f t="shared" si="23"/>
        <v>23</v>
      </c>
      <c r="I313" s="489"/>
    </row>
    <row r="314" spans="2:9">
      <c r="B314" s="485">
        <v>53632</v>
      </c>
      <c r="C314" s="486">
        <f t="shared" si="20"/>
        <v>30</v>
      </c>
      <c r="D314" s="529">
        <f t="shared" si="24"/>
        <v>22</v>
      </c>
      <c r="E314" s="467">
        <f t="shared" si="21"/>
        <v>4</v>
      </c>
      <c r="F314" s="539">
        <f t="shared" si="22"/>
        <v>4</v>
      </c>
      <c r="G314" s="495"/>
      <c r="H314" s="493">
        <f t="shared" si="23"/>
        <v>22</v>
      </c>
      <c r="I314" s="489"/>
    </row>
    <row r="315" spans="2:9">
      <c r="B315" s="485">
        <v>53662</v>
      </c>
      <c r="C315" s="486">
        <f t="shared" si="20"/>
        <v>31</v>
      </c>
      <c r="D315" s="529">
        <f t="shared" si="24"/>
        <v>21</v>
      </c>
      <c r="E315" s="467">
        <f t="shared" si="21"/>
        <v>5</v>
      </c>
      <c r="F315" s="539">
        <f t="shared" si="22"/>
        <v>5</v>
      </c>
      <c r="G315" s="495"/>
      <c r="H315" s="493">
        <f t="shared" si="23"/>
        <v>21</v>
      </c>
      <c r="I315" s="489"/>
    </row>
    <row r="316" spans="2:9">
      <c r="B316" s="485">
        <v>53693</v>
      </c>
      <c r="C316" s="486">
        <f t="shared" si="20"/>
        <v>31</v>
      </c>
      <c r="D316" s="529">
        <f t="shared" si="24"/>
        <v>23</v>
      </c>
      <c r="E316" s="467">
        <f t="shared" si="21"/>
        <v>4</v>
      </c>
      <c r="F316" s="539">
        <f t="shared" si="22"/>
        <v>4</v>
      </c>
      <c r="G316" s="495"/>
      <c r="H316" s="493">
        <f t="shared" si="23"/>
        <v>23</v>
      </c>
      <c r="I316" s="489"/>
    </row>
    <row r="317" spans="2:9">
      <c r="B317" s="485">
        <v>53724</v>
      </c>
      <c r="C317" s="486">
        <f t="shared" si="20"/>
        <v>28</v>
      </c>
      <c r="D317" s="529">
        <f t="shared" si="24"/>
        <v>20</v>
      </c>
      <c r="E317" s="467">
        <f t="shared" si="21"/>
        <v>4</v>
      </c>
      <c r="F317" s="539">
        <f t="shared" si="22"/>
        <v>4</v>
      </c>
      <c r="G317" s="495"/>
      <c r="H317" s="493">
        <f t="shared" si="23"/>
        <v>20</v>
      </c>
      <c r="I317" s="489"/>
    </row>
    <row r="318" spans="2:9">
      <c r="B318" s="485">
        <v>53752</v>
      </c>
      <c r="C318" s="486">
        <f t="shared" si="20"/>
        <v>31</v>
      </c>
      <c r="D318" s="529">
        <f t="shared" si="24"/>
        <v>21</v>
      </c>
      <c r="E318" s="467">
        <f t="shared" si="21"/>
        <v>5</v>
      </c>
      <c r="F318" s="539">
        <f t="shared" si="22"/>
        <v>5</v>
      </c>
      <c r="G318" s="495"/>
      <c r="H318" s="493">
        <f t="shared" si="23"/>
        <v>21</v>
      </c>
      <c r="I318" s="489"/>
    </row>
    <row r="319" spans="2:9">
      <c r="B319" s="485">
        <v>53783</v>
      </c>
      <c r="C319" s="486">
        <f t="shared" si="20"/>
        <v>30</v>
      </c>
      <c r="D319" s="529">
        <f t="shared" si="24"/>
        <v>22</v>
      </c>
      <c r="E319" s="467">
        <f t="shared" si="21"/>
        <v>4</v>
      </c>
      <c r="F319" s="539">
        <f t="shared" si="22"/>
        <v>4</v>
      </c>
      <c r="G319" s="495"/>
      <c r="H319" s="493">
        <f t="shared" si="23"/>
        <v>22</v>
      </c>
      <c r="I319" s="489"/>
    </row>
    <row r="320" spans="2:9">
      <c r="B320" s="485">
        <v>53813</v>
      </c>
      <c r="C320" s="486">
        <f t="shared" si="20"/>
        <v>31</v>
      </c>
      <c r="D320" s="529">
        <f t="shared" si="24"/>
        <v>23</v>
      </c>
      <c r="E320" s="467">
        <f t="shared" si="21"/>
        <v>4</v>
      </c>
      <c r="F320" s="539">
        <f t="shared" si="22"/>
        <v>4</v>
      </c>
      <c r="G320" s="495"/>
      <c r="H320" s="493">
        <f t="shared" si="23"/>
        <v>23</v>
      </c>
      <c r="I320" s="489"/>
    </row>
    <row r="321" spans="2:9">
      <c r="B321" s="485">
        <v>53844</v>
      </c>
      <c r="C321" s="486">
        <f t="shared" si="20"/>
        <v>30</v>
      </c>
      <c r="D321" s="529">
        <f t="shared" si="24"/>
        <v>20</v>
      </c>
      <c r="E321" s="467">
        <f t="shared" si="21"/>
        <v>5</v>
      </c>
      <c r="F321" s="539">
        <f t="shared" si="22"/>
        <v>5</v>
      </c>
      <c r="G321" s="495"/>
      <c r="H321" s="493">
        <f t="shared" si="23"/>
        <v>20</v>
      </c>
      <c r="I321" s="489"/>
    </row>
    <row r="322" spans="2:9">
      <c r="B322" s="485">
        <v>53874</v>
      </c>
      <c r="C322" s="486">
        <f t="shared" si="20"/>
        <v>31</v>
      </c>
      <c r="D322" s="529">
        <f t="shared" si="24"/>
        <v>23</v>
      </c>
      <c r="E322" s="467">
        <f t="shared" si="21"/>
        <v>4</v>
      </c>
      <c r="F322" s="539">
        <f t="shared" si="22"/>
        <v>4</v>
      </c>
      <c r="G322" s="495"/>
      <c r="H322" s="493">
        <f t="shared" si="23"/>
        <v>23</v>
      </c>
      <c r="I322" s="489"/>
    </row>
    <row r="323" spans="2:9">
      <c r="B323" s="485">
        <v>53905</v>
      </c>
      <c r="C323" s="486">
        <f t="shared" si="20"/>
        <v>31</v>
      </c>
      <c r="D323" s="529">
        <f t="shared" si="24"/>
        <v>22</v>
      </c>
      <c r="E323" s="467">
        <f t="shared" si="21"/>
        <v>4</v>
      </c>
      <c r="F323" s="539">
        <f t="shared" si="22"/>
        <v>5</v>
      </c>
      <c r="G323" s="495"/>
      <c r="H323" s="493">
        <f t="shared" si="23"/>
        <v>22</v>
      </c>
      <c r="I323" s="489"/>
    </row>
    <row r="324" spans="2:9">
      <c r="B324" s="485">
        <v>53936</v>
      </c>
      <c r="C324" s="486">
        <f t="shared" si="20"/>
        <v>30</v>
      </c>
      <c r="D324" s="529">
        <f t="shared" si="24"/>
        <v>21</v>
      </c>
      <c r="E324" s="467">
        <f t="shared" si="21"/>
        <v>5</v>
      </c>
      <c r="F324" s="539">
        <f t="shared" si="22"/>
        <v>4</v>
      </c>
      <c r="G324" s="495"/>
      <c r="H324" s="493">
        <f t="shared" si="23"/>
        <v>21</v>
      </c>
      <c r="I324" s="489"/>
    </row>
    <row r="325" spans="2:9">
      <c r="B325" s="485">
        <v>53966</v>
      </c>
      <c r="C325" s="486">
        <f t="shared" ref="C325:C388" si="25">EOMONTH(B325,0)-EOMONTH(B325,-1)</f>
        <v>31</v>
      </c>
      <c r="D325" s="529">
        <f t="shared" si="24"/>
        <v>23</v>
      </c>
      <c r="E325" s="467">
        <f t="shared" ref="E325:E388" si="26">CEILING((DAY(EOMONTH(B325,0))-MOD(8-WEEKDAY(B325),7))/7,1)</f>
        <v>4</v>
      </c>
      <c r="F325" s="539">
        <f t="shared" ref="F325:F388" si="27">C325-D325-E325</f>
        <v>4</v>
      </c>
      <c r="G325" s="495"/>
      <c r="H325" s="493">
        <f t="shared" ref="H325:H388" si="28">D325-G325</f>
        <v>23</v>
      </c>
      <c r="I325" s="489"/>
    </row>
    <row r="326" spans="2:9">
      <c r="B326" s="485">
        <v>53997</v>
      </c>
      <c r="C326" s="486">
        <f t="shared" si="25"/>
        <v>30</v>
      </c>
      <c r="D326" s="529">
        <f t="shared" ref="D326:D389" si="29">NETWORKDAYS(EOMONTH(B326,-1)+1,EOMONTH(B326,0))</f>
        <v>21</v>
      </c>
      <c r="E326" s="467">
        <f t="shared" si="26"/>
        <v>4</v>
      </c>
      <c r="F326" s="539">
        <f t="shared" si="27"/>
        <v>5</v>
      </c>
      <c r="G326" s="495"/>
      <c r="H326" s="493">
        <f t="shared" si="28"/>
        <v>21</v>
      </c>
      <c r="I326" s="489"/>
    </row>
    <row r="327" spans="2:9">
      <c r="B327" s="485">
        <v>54027</v>
      </c>
      <c r="C327" s="486">
        <f t="shared" si="25"/>
        <v>31</v>
      </c>
      <c r="D327" s="529">
        <f t="shared" si="29"/>
        <v>22</v>
      </c>
      <c r="E327" s="467">
        <f t="shared" si="26"/>
        <v>5</v>
      </c>
      <c r="F327" s="539">
        <f t="shared" si="27"/>
        <v>4</v>
      </c>
      <c r="G327" s="495"/>
      <c r="H327" s="493">
        <f t="shared" si="28"/>
        <v>22</v>
      </c>
      <c r="I327" s="489"/>
    </row>
    <row r="328" spans="2:9">
      <c r="B328" s="485">
        <v>54058</v>
      </c>
      <c r="C328" s="486">
        <f t="shared" si="25"/>
        <v>31</v>
      </c>
      <c r="D328" s="529">
        <f t="shared" si="29"/>
        <v>23</v>
      </c>
      <c r="E328" s="467">
        <f t="shared" si="26"/>
        <v>4</v>
      </c>
      <c r="F328" s="539">
        <f t="shared" si="27"/>
        <v>4</v>
      </c>
      <c r="G328" s="495"/>
      <c r="H328" s="493">
        <f t="shared" si="28"/>
        <v>23</v>
      </c>
      <c r="I328" s="489"/>
    </row>
    <row r="329" spans="2:9">
      <c r="B329" s="485">
        <v>54089</v>
      </c>
      <c r="C329" s="486">
        <f t="shared" si="25"/>
        <v>29</v>
      </c>
      <c r="D329" s="529">
        <f t="shared" si="29"/>
        <v>20</v>
      </c>
      <c r="E329" s="467">
        <f t="shared" si="26"/>
        <v>4</v>
      </c>
      <c r="F329" s="539">
        <f t="shared" si="27"/>
        <v>5</v>
      </c>
      <c r="G329" s="495"/>
      <c r="H329" s="493">
        <f t="shared" si="28"/>
        <v>20</v>
      </c>
      <c r="I329" s="489"/>
    </row>
    <row r="330" spans="2:9">
      <c r="B330" s="485">
        <v>54118</v>
      </c>
      <c r="C330" s="486">
        <f t="shared" si="25"/>
        <v>31</v>
      </c>
      <c r="D330" s="529">
        <f t="shared" si="29"/>
        <v>22</v>
      </c>
      <c r="E330" s="467">
        <f t="shared" si="26"/>
        <v>5</v>
      </c>
      <c r="F330" s="539">
        <f t="shared" si="27"/>
        <v>4</v>
      </c>
      <c r="G330" s="495"/>
      <c r="H330" s="493">
        <f t="shared" si="28"/>
        <v>22</v>
      </c>
      <c r="I330" s="489"/>
    </row>
    <row r="331" spans="2:9">
      <c r="B331" s="485">
        <v>54149</v>
      </c>
      <c r="C331" s="486">
        <f t="shared" si="25"/>
        <v>30</v>
      </c>
      <c r="D331" s="529">
        <f t="shared" si="29"/>
        <v>22</v>
      </c>
      <c r="E331" s="467">
        <f t="shared" si="26"/>
        <v>4</v>
      </c>
      <c r="F331" s="539">
        <f t="shared" si="27"/>
        <v>4</v>
      </c>
      <c r="G331" s="495"/>
      <c r="H331" s="493">
        <f t="shared" si="28"/>
        <v>22</v>
      </c>
      <c r="I331" s="489"/>
    </row>
    <row r="332" spans="2:9">
      <c r="B332" s="485">
        <v>54179</v>
      </c>
      <c r="C332" s="486">
        <f t="shared" si="25"/>
        <v>31</v>
      </c>
      <c r="D332" s="529">
        <f t="shared" si="29"/>
        <v>21</v>
      </c>
      <c r="E332" s="467">
        <f t="shared" si="26"/>
        <v>5</v>
      </c>
      <c r="F332" s="539">
        <f t="shared" si="27"/>
        <v>5</v>
      </c>
      <c r="G332" s="495"/>
      <c r="H332" s="493">
        <f t="shared" si="28"/>
        <v>21</v>
      </c>
      <c r="I332" s="489"/>
    </row>
    <row r="333" spans="2:9">
      <c r="B333" s="485">
        <v>54210</v>
      </c>
      <c r="C333" s="486">
        <f t="shared" si="25"/>
        <v>30</v>
      </c>
      <c r="D333" s="529">
        <f t="shared" si="29"/>
        <v>22</v>
      </c>
      <c r="E333" s="467">
        <f t="shared" si="26"/>
        <v>4</v>
      </c>
      <c r="F333" s="539">
        <f t="shared" si="27"/>
        <v>4</v>
      </c>
      <c r="G333" s="495"/>
      <c r="H333" s="493">
        <f t="shared" si="28"/>
        <v>22</v>
      </c>
      <c r="I333" s="489"/>
    </row>
    <row r="334" spans="2:9">
      <c r="B334" s="485">
        <v>54240</v>
      </c>
      <c r="C334" s="486">
        <f t="shared" si="25"/>
        <v>31</v>
      </c>
      <c r="D334" s="529">
        <f t="shared" si="29"/>
        <v>23</v>
      </c>
      <c r="E334" s="467">
        <f t="shared" si="26"/>
        <v>4</v>
      </c>
      <c r="F334" s="539">
        <f t="shared" si="27"/>
        <v>4</v>
      </c>
      <c r="G334" s="495"/>
      <c r="H334" s="493">
        <f t="shared" si="28"/>
        <v>23</v>
      </c>
      <c r="I334" s="489"/>
    </row>
    <row r="335" spans="2:9">
      <c r="B335" s="485">
        <v>54271</v>
      </c>
      <c r="C335" s="486">
        <f t="shared" si="25"/>
        <v>31</v>
      </c>
      <c r="D335" s="529">
        <f t="shared" si="29"/>
        <v>21</v>
      </c>
      <c r="E335" s="467">
        <f t="shared" si="26"/>
        <v>5</v>
      </c>
      <c r="F335" s="539">
        <f t="shared" si="27"/>
        <v>5</v>
      </c>
      <c r="G335" s="495"/>
      <c r="H335" s="493">
        <f t="shared" si="28"/>
        <v>21</v>
      </c>
      <c r="I335" s="489"/>
    </row>
    <row r="336" spans="2:9">
      <c r="B336" s="485">
        <v>54302</v>
      </c>
      <c r="C336" s="486">
        <f t="shared" si="25"/>
        <v>30</v>
      </c>
      <c r="D336" s="529">
        <f t="shared" si="29"/>
        <v>22</v>
      </c>
      <c r="E336" s="467">
        <f t="shared" si="26"/>
        <v>4</v>
      </c>
      <c r="F336" s="539">
        <f t="shared" si="27"/>
        <v>4</v>
      </c>
      <c r="G336" s="495"/>
      <c r="H336" s="493">
        <f t="shared" si="28"/>
        <v>22</v>
      </c>
      <c r="I336" s="489"/>
    </row>
    <row r="337" spans="2:9">
      <c r="B337" s="485">
        <v>54332</v>
      </c>
      <c r="C337" s="486">
        <f t="shared" si="25"/>
        <v>31</v>
      </c>
      <c r="D337" s="529">
        <f t="shared" si="29"/>
        <v>22</v>
      </c>
      <c r="E337" s="467">
        <f t="shared" si="26"/>
        <v>4</v>
      </c>
      <c r="F337" s="539">
        <f t="shared" si="27"/>
        <v>5</v>
      </c>
      <c r="G337" s="495"/>
      <c r="H337" s="493">
        <f t="shared" si="28"/>
        <v>22</v>
      </c>
      <c r="I337" s="489"/>
    </row>
    <row r="338" spans="2:9">
      <c r="B338" s="485">
        <v>54363</v>
      </c>
      <c r="C338" s="486">
        <f t="shared" si="25"/>
        <v>30</v>
      </c>
      <c r="D338" s="529">
        <f t="shared" si="29"/>
        <v>21</v>
      </c>
      <c r="E338" s="467">
        <f t="shared" si="26"/>
        <v>5</v>
      </c>
      <c r="F338" s="539">
        <f t="shared" si="27"/>
        <v>4</v>
      </c>
      <c r="G338" s="495"/>
      <c r="H338" s="493">
        <f t="shared" si="28"/>
        <v>21</v>
      </c>
      <c r="I338" s="489"/>
    </row>
    <row r="339" spans="2:9">
      <c r="B339" s="485">
        <v>54393</v>
      </c>
      <c r="C339" s="486">
        <f t="shared" si="25"/>
        <v>31</v>
      </c>
      <c r="D339" s="529">
        <f t="shared" si="29"/>
        <v>23</v>
      </c>
      <c r="E339" s="467">
        <f t="shared" si="26"/>
        <v>4</v>
      </c>
      <c r="F339" s="539">
        <f t="shared" si="27"/>
        <v>4</v>
      </c>
      <c r="G339" s="495"/>
      <c r="H339" s="493">
        <f t="shared" si="28"/>
        <v>23</v>
      </c>
      <c r="I339" s="489"/>
    </row>
    <row r="340" spans="2:9">
      <c r="B340" s="485">
        <v>54424</v>
      </c>
      <c r="C340" s="486">
        <f t="shared" si="25"/>
        <v>31</v>
      </c>
      <c r="D340" s="529">
        <f t="shared" si="29"/>
        <v>21</v>
      </c>
      <c r="E340" s="467">
        <f t="shared" si="26"/>
        <v>5</v>
      </c>
      <c r="F340" s="539">
        <f t="shared" si="27"/>
        <v>5</v>
      </c>
      <c r="G340" s="495"/>
      <c r="H340" s="493">
        <f t="shared" si="28"/>
        <v>21</v>
      </c>
      <c r="I340" s="489"/>
    </row>
    <row r="341" spans="2:9">
      <c r="B341" s="485">
        <v>54455</v>
      </c>
      <c r="C341" s="486">
        <f t="shared" si="25"/>
        <v>28</v>
      </c>
      <c r="D341" s="529">
        <f t="shared" si="29"/>
        <v>20</v>
      </c>
      <c r="E341" s="467">
        <f t="shared" si="26"/>
        <v>4</v>
      </c>
      <c r="F341" s="539">
        <f t="shared" si="27"/>
        <v>4</v>
      </c>
      <c r="G341" s="495"/>
      <c r="H341" s="493">
        <f t="shared" si="28"/>
        <v>20</v>
      </c>
      <c r="I341" s="489"/>
    </row>
    <row r="342" spans="2:9">
      <c r="B342" s="485">
        <v>54483</v>
      </c>
      <c r="C342" s="486">
        <f t="shared" si="25"/>
        <v>31</v>
      </c>
      <c r="D342" s="529">
        <f t="shared" si="29"/>
        <v>23</v>
      </c>
      <c r="E342" s="467">
        <f t="shared" si="26"/>
        <v>4</v>
      </c>
      <c r="F342" s="539">
        <f t="shared" si="27"/>
        <v>4</v>
      </c>
      <c r="G342" s="495"/>
      <c r="H342" s="493">
        <f t="shared" si="28"/>
        <v>23</v>
      </c>
      <c r="I342" s="489"/>
    </row>
    <row r="343" spans="2:9">
      <c r="B343" s="485">
        <v>54514</v>
      </c>
      <c r="C343" s="486">
        <f t="shared" si="25"/>
        <v>30</v>
      </c>
      <c r="D343" s="529">
        <f t="shared" si="29"/>
        <v>22</v>
      </c>
      <c r="E343" s="467">
        <f t="shared" si="26"/>
        <v>4</v>
      </c>
      <c r="F343" s="539">
        <f t="shared" si="27"/>
        <v>4</v>
      </c>
      <c r="G343" s="495"/>
      <c r="H343" s="493">
        <f t="shared" si="28"/>
        <v>22</v>
      </c>
      <c r="I343" s="489"/>
    </row>
    <row r="344" spans="2:9">
      <c r="B344" s="485">
        <v>54544</v>
      </c>
      <c r="C344" s="486">
        <f t="shared" si="25"/>
        <v>31</v>
      </c>
      <c r="D344" s="529">
        <f t="shared" si="29"/>
        <v>21</v>
      </c>
      <c r="E344" s="467">
        <f t="shared" si="26"/>
        <v>5</v>
      </c>
      <c r="F344" s="539">
        <f t="shared" si="27"/>
        <v>5</v>
      </c>
      <c r="G344" s="495"/>
      <c r="H344" s="493">
        <f t="shared" si="28"/>
        <v>21</v>
      </c>
      <c r="I344" s="489"/>
    </row>
    <row r="345" spans="2:9">
      <c r="B345" s="485">
        <v>54575</v>
      </c>
      <c r="C345" s="486">
        <f t="shared" si="25"/>
        <v>30</v>
      </c>
      <c r="D345" s="529">
        <f t="shared" si="29"/>
        <v>22</v>
      </c>
      <c r="E345" s="467">
        <f t="shared" si="26"/>
        <v>4</v>
      </c>
      <c r="F345" s="539">
        <f t="shared" si="27"/>
        <v>4</v>
      </c>
      <c r="G345" s="495"/>
      <c r="H345" s="493">
        <f t="shared" si="28"/>
        <v>22</v>
      </c>
      <c r="I345" s="489"/>
    </row>
    <row r="346" spans="2:9">
      <c r="B346" s="485">
        <v>54605</v>
      </c>
      <c r="C346" s="486">
        <f t="shared" si="25"/>
        <v>31</v>
      </c>
      <c r="D346" s="529">
        <f t="shared" si="29"/>
        <v>22</v>
      </c>
      <c r="E346" s="467">
        <f t="shared" si="26"/>
        <v>4</v>
      </c>
      <c r="F346" s="539">
        <f t="shared" si="27"/>
        <v>5</v>
      </c>
      <c r="G346" s="495"/>
      <c r="H346" s="493">
        <f t="shared" si="28"/>
        <v>22</v>
      </c>
      <c r="I346" s="489"/>
    </row>
    <row r="347" spans="2:9">
      <c r="B347" s="485">
        <v>54636</v>
      </c>
      <c r="C347" s="486">
        <f t="shared" si="25"/>
        <v>31</v>
      </c>
      <c r="D347" s="529">
        <f t="shared" si="29"/>
        <v>22</v>
      </c>
      <c r="E347" s="467">
        <f t="shared" si="26"/>
        <v>5</v>
      </c>
      <c r="F347" s="539">
        <f t="shared" si="27"/>
        <v>4</v>
      </c>
      <c r="G347" s="495"/>
      <c r="H347" s="493">
        <f t="shared" si="28"/>
        <v>22</v>
      </c>
      <c r="I347" s="489"/>
    </row>
    <row r="348" spans="2:9">
      <c r="B348" s="485">
        <v>54667</v>
      </c>
      <c r="C348" s="486">
        <f t="shared" si="25"/>
        <v>30</v>
      </c>
      <c r="D348" s="529">
        <f t="shared" si="29"/>
        <v>22</v>
      </c>
      <c r="E348" s="467">
        <f t="shared" si="26"/>
        <v>4</v>
      </c>
      <c r="F348" s="539">
        <f t="shared" si="27"/>
        <v>4</v>
      </c>
      <c r="G348" s="495"/>
      <c r="H348" s="493">
        <f t="shared" si="28"/>
        <v>22</v>
      </c>
      <c r="I348" s="489"/>
    </row>
    <row r="349" spans="2:9">
      <c r="B349" s="485">
        <v>54697</v>
      </c>
      <c r="C349" s="486">
        <f t="shared" si="25"/>
        <v>31</v>
      </c>
      <c r="D349" s="529">
        <f t="shared" si="29"/>
        <v>21</v>
      </c>
      <c r="E349" s="467">
        <f t="shared" si="26"/>
        <v>5</v>
      </c>
      <c r="F349" s="539">
        <f t="shared" si="27"/>
        <v>5</v>
      </c>
      <c r="G349" s="495"/>
      <c r="H349" s="493">
        <f t="shared" si="28"/>
        <v>21</v>
      </c>
      <c r="I349" s="489"/>
    </row>
    <row r="350" spans="2:9">
      <c r="B350" s="485">
        <v>54728</v>
      </c>
      <c r="C350" s="486">
        <f t="shared" si="25"/>
        <v>30</v>
      </c>
      <c r="D350" s="529">
        <f t="shared" si="29"/>
        <v>22</v>
      </c>
      <c r="E350" s="467">
        <f t="shared" si="26"/>
        <v>4</v>
      </c>
      <c r="F350" s="539">
        <f t="shared" si="27"/>
        <v>4</v>
      </c>
      <c r="G350" s="495"/>
      <c r="H350" s="493">
        <f t="shared" si="28"/>
        <v>22</v>
      </c>
      <c r="I350" s="489"/>
    </row>
    <row r="351" spans="2:9">
      <c r="B351" s="485">
        <v>54758</v>
      </c>
      <c r="C351" s="486">
        <f t="shared" si="25"/>
        <v>31</v>
      </c>
      <c r="D351" s="529">
        <f t="shared" si="29"/>
        <v>23</v>
      </c>
      <c r="E351" s="467">
        <f t="shared" si="26"/>
        <v>4</v>
      </c>
      <c r="F351" s="539">
        <f t="shared" si="27"/>
        <v>4</v>
      </c>
      <c r="G351" s="495"/>
      <c r="H351" s="493">
        <f t="shared" si="28"/>
        <v>23</v>
      </c>
      <c r="I351" s="489"/>
    </row>
    <row r="352" spans="2:9">
      <c r="B352" s="485">
        <v>54789</v>
      </c>
      <c r="C352" s="486">
        <f t="shared" si="25"/>
        <v>31</v>
      </c>
      <c r="D352" s="529">
        <f t="shared" si="29"/>
        <v>21</v>
      </c>
      <c r="E352" s="467">
        <f t="shared" si="26"/>
        <v>5</v>
      </c>
      <c r="F352" s="539">
        <f t="shared" si="27"/>
        <v>5</v>
      </c>
      <c r="G352" s="495"/>
      <c r="H352" s="493">
        <f t="shared" si="28"/>
        <v>21</v>
      </c>
      <c r="I352" s="489"/>
    </row>
    <row r="353" spans="2:9">
      <c r="B353" s="485">
        <v>54820</v>
      </c>
      <c r="C353" s="486">
        <f t="shared" si="25"/>
        <v>28</v>
      </c>
      <c r="D353" s="529">
        <f t="shared" si="29"/>
        <v>20</v>
      </c>
      <c r="E353" s="467">
        <f t="shared" si="26"/>
        <v>4</v>
      </c>
      <c r="F353" s="539">
        <f t="shared" si="27"/>
        <v>4</v>
      </c>
      <c r="G353" s="495"/>
      <c r="H353" s="493">
        <f t="shared" si="28"/>
        <v>20</v>
      </c>
      <c r="I353" s="489"/>
    </row>
    <row r="354" spans="2:9">
      <c r="B354" s="485">
        <v>54848</v>
      </c>
      <c r="C354" s="486">
        <f t="shared" si="25"/>
        <v>31</v>
      </c>
      <c r="D354" s="529">
        <f t="shared" si="29"/>
        <v>23</v>
      </c>
      <c r="E354" s="467">
        <f t="shared" si="26"/>
        <v>4</v>
      </c>
      <c r="F354" s="539">
        <f t="shared" si="27"/>
        <v>4</v>
      </c>
      <c r="G354" s="495"/>
      <c r="H354" s="493">
        <f t="shared" si="28"/>
        <v>23</v>
      </c>
      <c r="I354" s="489"/>
    </row>
    <row r="355" spans="2:9">
      <c r="B355" s="485">
        <v>54879</v>
      </c>
      <c r="C355" s="486">
        <f t="shared" si="25"/>
        <v>30</v>
      </c>
      <c r="D355" s="529">
        <f t="shared" si="29"/>
        <v>21</v>
      </c>
      <c r="E355" s="467">
        <f t="shared" si="26"/>
        <v>4</v>
      </c>
      <c r="F355" s="539">
        <f t="shared" si="27"/>
        <v>5</v>
      </c>
      <c r="G355" s="495"/>
      <c r="H355" s="493">
        <f t="shared" si="28"/>
        <v>21</v>
      </c>
      <c r="I355" s="489"/>
    </row>
    <row r="356" spans="2:9">
      <c r="B356" s="485">
        <v>54909</v>
      </c>
      <c r="C356" s="486">
        <f t="shared" si="25"/>
        <v>31</v>
      </c>
      <c r="D356" s="529">
        <f t="shared" si="29"/>
        <v>22</v>
      </c>
      <c r="E356" s="467">
        <f t="shared" si="26"/>
        <v>5</v>
      </c>
      <c r="F356" s="539">
        <f t="shared" si="27"/>
        <v>4</v>
      </c>
      <c r="G356" s="495"/>
      <c r="H356" s="493">
        <f t="shared" si="28"/>
        <v>22</v>
      </c>
      <c r="I356" s="489"/>
    </row>
    <row r="357" spans="2:9">
      <c r="B357" s="485">
        <v>54940</v>
      </c>
      <c r="C357" s="486">
        <f t="shared" si="25"/>
        <v>30</v>
      </c>
      <c r="D357" s="529">
        <f t="shared" si="29"/>
        <v>22</v>
      </c>
      <c r="E357" s="467">
        <f t="shared" si="26"/>
        <v>4</v>
      </c>
      <c r="F357" s="539">
        <f t="shared" si="27"/>
        <v>4</v>
      </c>
      <c r="G357" s="495"/>
      <c r="H357" s="493">
        <f t="shared" si="28"/>
        <v>22</v>
      </c>
      <c r="I357" s="489"/>
    </row>
    <row r="358" spans="2:9">
      <c r="B358" s="485">
        <v>54970</v>
      </c>
      <c r="C358" s="486">
        <f t="shared" si="25"/>
        <v>31</v>
      </c>
      <c r="D358" s="529">
        <f t="shared" si="29"/>
        <v>21</v>
      </c>
      <c r="E358" s="467">
        <f t="shared" si="26"/>
        <v>5</v>
      </c>
      <c r="F358" s="539">
        <f t="shared" si="27"/>
        <v>5</v>
      </c>
      <c r="G358" s="495"/>
      <c r="H358" s="493">
        <f t="shared" si="28"/>
        <v>21</v>
      </c>
      <c r="I358" s="489"/>
    </row>
    <row r="359" spans="2:9">
      <c r="B359" s="485">
        <v>55001</v>
      </c>
      <c r="C359" s="486">
        <f t="shared" si="25"/>
        <v>31</v>
      </c>
      <c r="D359" s="529">
        <f t="shared" si="29"/>
        <v>23</v>
      </c>
      <c r="E359" s="467">
        <f t="shared" si="26"/>
        <v>4</v>
      </c>
      <c r="F359" s="539">
        <f t="shared" si="27"/>
        <v>4</v>
      </c>
      <c r="G359" s="495"/>
      <c r="H359" s="493">
        <f t="shared" si="28"/>
        <v>23</v>
      </c>
      <c r="I359" s="489"/>
    </row>
    <row r="360" spans="2:9">
      <c r="B360" s="485">
        <v>55032</v>
      </c>
      <c r="C360" s="486">
        <f t="shared" si="25"/>
        <v>30</v>
      </c>
      <c r="D360" s="529">
        <f t="shared" si="29"/>
        <v>22</v>
      </c>
      <c r="E360" s="467">
        <f t="shared" si="26"/>
        <v>4</v>
      </c>
      <c r="F360" s="539">
        <f t="shared" si="27"/>
        <v>4</v>
      </c>
      <c r="G360" s="495"/>
      <c r="H360" s="493">
        <f t="shared" si="28"/>
        <v>22</v>
      </c>
      <c r="I360" s="489"/>
    </row>
    <row r="361" spans="2:9">
      <c r="B361" s="485">
        <v>55062</v>
      </c>
      <c r="C361" s="486">
        <f t="shared" si="25"/>
        <v>31</v>
      </c>
      <c r="D361" s="529">
        <f t="shared" si="29"/>
        <v>21</v>
      </c>
      <c r="E361" s="467">
        <f t="shared" si="26"/>
        <v>5</v>
      </c>
      <c r="F361" s="539">
        <f t="shared" si="27"/>
        <v>5</v>
      </c>
      <c r="G361" s="495"/>
      <c r="H361" s="493">
        <f t="shared" si="28"/>
        <v>21</v>
      </c>
      <c r="I361" s="489"/>
    </row>
    <row r="362" spans="2:9">
      <c r="B362" s="485">
        <v>55093</v>
      </c>
      <c r="C362" s="486">
        <f t="shared" si="25"/>
        <v>30</v>
      </c>
      <c r="D362" s="529">
        <f t="shared" si="29"/>
        <v>22</v>
      </c>
      <c r="E362" s="467">
        <f t="shared" si="26"/>
        <v>4</v>
      </c>
      <c r="F362" s="539">
        <f t="shared" si="27"/>
        <v>4</v>
      </c>
      <c r="G362" s="495"/>
      <c r="H362" s="493">
        <f t="shared" si="28"/>
        <v>22</v>
      </c>
      <c r="I362" s="489"/>
    </row>
    <row r="363" spans="2:9">
      <c r="B363" s="485">
        <v>55123</v>
      </c>
      <c r="C363" s="486">
        <f t="shared" si="25"/>
        <v>31</v>
      </c>
      <c r="D363" s="529">
        <f t="shared" si="29"/>
        <v>22</v>
      </c>
      <c r="E363" s="467">
        <f t="shared" si="26"/>
        <v>4</v>
      </c>
      <c r="F363" s="539">
        <f t="shared" si="27"/>
        <v>5</v>
      </c>
      <c r="G363" s="495"/>
      <c r="H363" s="493">
        <f t="shared" si="28"/>
        <v>22</v>
      </c>
      <c r="I363" s="489"/>
    </row>
    <row r="364" spans="2:9">
      <c r="B364" s="485">
        <v>55154</v>
      </c>
      <c r="C364" s="486">
        <f t="shared" si="25"/>
        <v>31</v>
      </c>
      <c r="D364" s="529">
        <f t="shared" si="29"/>
        <v>22</v>
      </c>
      <c r="E364" s="467">
        <f t="shared" si="26"/>
        <v>5</v>
      </c>
      <c r="F364" s="539">
        <f t="shared" si="27"/>
        <v>4</v>
      </c>
      <c r="G364" s="495"/>
      <c r="H364" s="493">
        <f t="shared" si="28"/>
        <v>22</v>
      </c>
      <c r="I364" s="489"/>
    </row>
    <row r="365" spans="2:9">
      <c r="B365" s="485">
        <v>55185</v>
      </c>
      <c r="C365" s="486">
        <f t="shared" si="25"/>
        <v>28</v>
      </c>
      <c r="D365" s="529">
        <f t="shared" si="29"/>
        <v>20</v>
      </c>
      <c r="E365" s="467">
        <f t="shared" si="26"/>
        <v>4</v>
      </c>
      <c r="F365" s="539">
        <f t="shared" si="27"/>
        <v>4</v>
      </c>
      <c r="G365" s="495"/>
      <c r="H365" s="493">
        <f t="shared" si="28"/>
        <v>20</v>
      </c>
      <c r="I365" s="489"/>
    </row>
    <row r="366" spans="2:9">
      <c r="B366" s="485">
        <v>55213</v>
      </c>
      <c r="C366" s="486">
        <f t="shared" si="25"/>
        <v>31</v>
      </c>
      <c r="D366" s="529">
        <f t="shared" si="29"/>
        <v>23</v>
      </c>
      <c r="E366" s="467">
        <f t="shared" si="26"/>
        <v>4</v>
      </c>
      <c r="F366" s="539">
        <f t="shared" si="27"/>
        <v>4</v>
      </c>
      <c r="G366" s="495"/>
      <c r="H366" s="493">
        <f t="shared" si="28"/>
        <v>23</v>
      </c>
      <c r="I366" s="489"/>
    </row>
    <row r="367" spans="2:9">
      <c r="B367" s="485">
        <v>55244</v>
      </c>
      <c r="C367" s="486">
        <f t="shared" si="25"/>
        <v>30</v>
      </c>
      <c r="D367" s="529">
        <f t="shared" si="29"/>
        <v>20</v>
      </c>
      <c r="E367" s="467">
        <f t="shared" si="26"/>
        <v>5</v>
      </c>
      <c r="F367" s="539">
        <f t="shared" si="27"/>
        <v>5</v>
      </c>
      <c r="G367" s="495"/>
      <c r="H367" s="493">
        <f t="shared" si="28"/>
        <v>20</v>
      </c>
      <c r="I367" s="489"/>
    </row>
    <row r="368" spans="2:9">
      <c r="B368" s="485">
        <v>55274</v>
      </c>
      <c r="C368" s="486">
        <f t="shared" si="25"/>
        <v>31</v>
      </c>
      <c r="D368" s="529">
        <f t="shared" si="29"/>
        <v>23</v>
      </c>
      <c r="E368" s="467">
        <f t="shared" si="26"/>
        <v>4</v>
      </c>
      <c r="F368" s="539">
        <f t="shared" si="27"/>
        <v>4</v>
      </c>
      <c r="G368" s="495"/>
      <c r="H368" s="493">
        <f t="shared" si="28"/>
        <v>23</v>
      </c>
      <c r="I368" s="489"/>
    </row>
    <row r="369" spans="2:9">
      <c r="B369" s="485">
        <v>55305</v>
      </c>
      <c r="C369" s="486">
        <f t="shared" si="25"/>
        <v>30</v>
      </c>
      <c r="D369" s="529">
        <f t="shared" si="29"/>
        <v>22</v>
      </c>
      <c r="E369" s="467">
        <f t="shared" si="26"/>
        <v>4</v>
      </c>
      <c r="F369" s="539">
        <f t="shared" si="27"/>
        <v>4</v>
      </c>
      <c r="G369" s="495"/>
      <c r="H369" s="493">
        <f t="shared" si="28"/>
        <v>22</v>
      </c>
      <c r="I369" s="489"/>
    </row>
    <row r="370" spans="2:9">
      <c r="B370" s="485">
        <v>55335</v>
      </c>
      <c r="C370" s="486">
        <f t="shared" si="25"/>
        <v>31</v>
      </c>
      <c r="D370" s="529">
        <f t="shared" si="29"/>
        <v>21</v>
      </c>
      <c r="E370" s="467">
        <f t="shared" si="26"/>
        <v>5</v>
      </c>
      <c r="F370" s="539">
        <f t="shared" si="27"/>
        <v>5</v>
      </c>
      <c r="G370" s="495"/>
      <c r="H370" s="493">
        <f t="shared" si="28"/>
        <v>21</v>
      </c>
      <c r="I370" s="489"/>
    </row>
    <row r="371" spans="2:9">
      <c r="B371" s="485">
        <v>55366</v>
      </c>
      <c r="C371" s="486">
        <f t="shared" si="25"/>
        <v>31</v>
      </c>
      <c r="D371" s="529">
        <f t="shared" si="29"/>
        <v>23</v>
      </c>
      <c r="E371" s="467">
        <f t="shared" si="26"/>
        <v>4</v>
      </c>
      <c r="F371" s="539">
        <f t="shared" si="27"/>
        <v>4</v>
      </c>
      <c r="G371" s="495"/>
      <c r="H371" s="493">
        <f t="shared" si="28"/>
        <v>23</v>
      </c>
      <c r="I371" s="489"/>
    </row>
    <row r="372" spans="2:9">
      <c r="B372" s="485">
        <v>55397</v>
      </c>
      <c r="C372" s="486">
        <f t="shared" si="25"/>
        <v>30</v>
      </c>
      <c r="D372" s="529">
        <f t="shared" si="29"/>
        <v>21</v>
      </c>
      <c r="E372" s="467">
        <f t="shared" si="26"/>
        <v>4</v>
      </c>
      <c r="F372" s="539">
        <f t="shared" si="27"/>
        <v>5</v>
      </c>
      <c r="G372" s="495"/>
      <c r="H372" s="493">
        <f t="shared" si="28"/>
        <v>21</v>
      </c>
      <c r="I372" s="489"/>
    </row>
    <row r="373" spans="2:9">
      <c r="B373" s="485">
        <v>55427</v>
      </c>
      <c r="C373" s="486">
        <f t="shared" si="25"/>
        <v>31</v>
      </c>
      <c r="D373" s="529">
        <f t="shared" si="29"/>
        <v>22</v>
      </c>
      <c r="E373" s="467">
        <f t="shared" si="26"/>
        <v>5</v>
      </c>
      <c r="F373" s="539">
        <f t="shared" si="27"/>
        <v>4</v>
      </c>
      <c r="G373" s="495"/>
      <c r="H373" s="493">
        <f t="shared" si="28"/>
        <v>22</v>
      </c>
      <c r="I373" s="489"/>
    </row>
    <row r="374" spans="2:9">
      <c r="B374" s="485">
        <v>55458</v>
      </c>
      <c r="C374" s="486">
        <f t="shared" si="25"/>
        <v>30</v>
      </c>
      <c r="D374" s="529">
        <f t="shared" si="29"/>
        <v>22</v>
      </c>
      <c r="E374" s="467">
        <f t="shared" si="26"/>
        <v>4</v>
      </c>
      <c r="F374" s="539">
        <f t="shared" si="27"/>
        <v>4</v>
      </c>
      <c r="G374" s="495"/>
      <c r="H374" s="493">
        <f t="shared" si="28"/>
        <v>22</v>
      </c>
      <c r="I374" s="489"/>
    </row>
    <row r="375" spans="2:9">
      <c r="B375" s="485">
        <v>55488</v>
      </c>
      <c r="C375" s="486">
        <f t="shared" si="25"/>
        <v>31</v>
      </c>
      <c r="D375" s="529">
        <f t="shared" si="29"/>
        <v>21</v>
      </c>
      <c r="E375" s="467">
        <f t="shared" si="26"/>
        <v>5</v>
      </c>
      <c r="F375" s="539">
        <f t="shared" si="27"/>
        <v>5</v>
      </c>
      <c r="G375" s="495"/>
      <c r="H375" s="493">
        <f t="shared" si="28"/>
        <v>21</v>
      </c>
      <c r="I375" s="489"/>
    </row>
    <row r="376" spans="2:9">
      <c r="B376" s="485">
        <v>55519</v>
      </c>
      <c r="C376" s="486">
        <f t="shared" si="25"/>
        <v>31</v>
      </c>
      <c r="D376" s="529">
        <f t="shared" si="29"/>
        <v>23</v>
      </c>
      <c r="E376" s="467">
        <f t="shared" si="26"/>
        <v>4</v>
      </c>
      <c r="F376" s="539">
        <f t="shared" si="27"/>
        <v>4</v>
      </c>
      <c r="G376" s="495"/>
      <c r="H376" s="493">
        <f t="shared" si="28"/>
        <v>23</v>
      </c>
      <c r="I376" s="489"/>
    </row>
    <row r="377" spans="2:9">
      <c r="B377" s="485">
        <v>55550</v>
      </c>
      <c r="C377" s="486">
        <f t="shared" si="25"/>
        <v>29</v>
      </c>
      <c r="D377" s="529">
        <f t="shared" si="29"/>
        <v>21</v>
      </c>
      <c r="E377" s="467">
        <f t="shared" si="26"/>
        <v>4</v>
      </c>
      <c r="F377" s="539">
        <f t="shared" si="27"/>
        <v>4</v>
      </c>
      <c r="G377" s="495"/>
      <c r="H377" s="493">
        <f t="shared" si="28"/>
        <v>21</v>
      </c>
      <c r="I377" s="489"/>
    </row>
    <row r="378" spans="2:9">
      <c r="B378" s="485">
        <v>55579</v>
      </c>
      <c r="C378" s="486">
        <f t="shared" si="25"/>
        <v>31</v>
      </c>
      <c r="D378" s="529">
        <f t="shared" si="29"/>
        <v>21</v>
      </c>
      <c r="E378" s="467">
        <f t="shared" si="26"/>
        <v>5</v>
      </c>
      <c r="F378" s="539">
        <f t="shared" si="27"/>
        <v>5</v>
      </c>
      <c r="G378" s="495"/>
      <c r="H378" s="493">
        <f t="shared" si="28"/>
        <v>21</v>
      </c>
      <c r="I378" s="489"/>
    </row>
    <row r="379" spans="2:9">
      <c r="B379" s="485">
        <v>55610</v>
      </c>
      <c r="C379" s="486">
        <f t="shared" si="25"/>
        <v>30</v>
      </c>
      <c r="D379" s="529">
        <f t="shared" si="29"/>
        <v>22</v>
      </c>
      <c r="E379" s="467">
        <f t="shared" si="26"/>
        <v>4</v>
      </c>
      <c r="F379" s="539">
        <f t="shared" si="27"/>
        <v>4</v>
      </c>
      <c r="G379" s="495"/>
      <c r="H379" s="493">
        <f t="shared" si="28"/>
        <v>22</v>
      </c>
      <c r="I379" s="489"/>
    </row>
    <row r="380" spans="2:9">
      <c r="B380" s="485">
        <v>55640</v>
      </c>
      <c r="C380" s="486">
        <f t="shared" si="25"/>
        <v>31</v>
      </c>
      <c r="D380" s="529">
        <f t="shared" si="29"/>
        <v>23</v>
      </c>
      <c r="E380" s="467">
        <f t="shared" si="26"/>
        <v>4</v>
      </c>
      <c r="F380" s="539">
        <f t="shared" si="27"/>
        <v>4</v>
      </c>
      <c r="G380" s="495"/>
      <c r="H380" s="493">
        <f t="shared" si="28"/>
        <v>23</v>
      </c>
      <c r="I380" s="489"/>
    </row>
    <row r="381" spans="2:9">
      <c r="B381" s="485">
        <v>55671</v>
      </c>
      <c r="C381" s="486">
        <f t="shared" si="25"/>
        <v>30</v>
      </c>
      <c r="D381" s="529">
        <f t="shared" si="29"/>
        <v>20</v>
      </c>
      <c r="E381" s="467">
        <f t="shared" si="26"/>
        <v>5</v>
      </c>
      <c r="F381" s="539">
        <f t="shared" si="27"/>
        <v>5</v>
      </c>
      <c r="G381" s="495"/>
      <c r="H381" s="493">
        <f t="shared" si="28"/>
        <v>20</v>
      </c>
      <c r="I381" s="489"/>
    </row>
    <row r="382" spans="2:9">
      <c r="B382" s="485">
        <v>55701</v>
      </c>
      <c r="C382" s="486">
        <f t="shared" si="25"/>
        <v>31</v>
      </c>
      <c r="D382" s="529">
        <f t="shared" si="29"/>
        <v>23</v>
      </c>
      <c r="E382" s="467">
        <f t="shared" si="26"/>
        <v>4</v>
      </c>
      <c r="F382" s="539">
        <f t="shared" si="27"/>
        <v>4</v>
      </c>
      <c r="G382" s="495"/>
      <c r="H382" s="493">
        <f t="shared" si="28"/>
        <v>23</v>
      </c>
      <c r="I382" s="489"/>
    </row>
    <row r="383" spans="2:9">
      <c r="B383" s="485">
        <v>55732</v>
      </c>
      <c r="C383" s="486">
        <f t="shared" si="25"/>
        <v>31</v>
      </c>
      <c r="D383" s="529">
        <f t="shared" si="29"/>
        <v>22</v>
      </c>
      <c r="E383" s="467">
        <f t="shared" si="26"/>
        <v>4</v>
      </c>
      <c r="F383" s="539">
        <f t="shared" si="27"/>
        <v>5</v>
      </c>
      <c r="G383" s="495"/>
      <c r="H383" s="493">
        <f t="shared" si="28"/>
        <v>22</v>
      </c>
      <c r="I383" s="489"/>
    </row>
    <row r="384" spans="2:9">
      <c r="B384" s="485">
        <v>55763</v>
      </c>
      <c r="C384" s="486">
        <f t="shared" si="25"/>
        <v>30</v>
      </c>
      <c r="D384" s="529">
        <f t="shared" si="29"/>
        <v>21</v>
      </c>
      <c r="E384" s="467">
        <f t="shared" si="26"/>
        <v>5</v>
      </c>
      <c r="F384" s="539">
        <f t="shared" si="27"/>
        <v>4</v>
      </c>
      <c r="G384" s="495"/>
      <c r="H384" s="493">
        <f t="shared" si="28"/>
        <v>21</v>
      </c>
      <c r="I384" s="489"/>
    </row>
    <row r="385" spans="2:9">
      <c r="B385" s="485">
        <v>55793</v>
      </c>
      <c r="C385" s="486">
        <f t="shared" si="25"/>
        <v>31</v>
      </c>
      <c r="D385" s="529">
        <f t="shared" si="29"/>
        <v>23</v>
      </c>
      <c r="E385" s="467">
        <f t="shared" si="26"/>
        <v>4</v>
      </c>
      <c r="F385" s="539">
        <f t="shared" si="27"/>
        <v>4</v>
      </c>
      <c r="G385" s="495"/>
      <c r="H385" s="493">
        <f t="shared" si="28"/>
        <v>23</v>
      </c>
      <c r="I385" s="489"/>
    </row>
    <row r="386" spans="2:9">
      <c r="B386" s="485">
        <v>55824</v>
      </c>
      <c r="C386" s="486">
        <f t="shared" si="25"/>
        <v>30</v>
      </c>
      <c r="D386" s="529">
        <f t="shared" si="29"/>
        <v>21</v>
      </c>
      <c r="E386" s="467">
        <f t="shared" si="26"/>
        <v>4</v>
      </c>
      <c r="F386" s="539">
        <f t="shared" si="27"/>
        <v>5</v>
      </c>
      <c r="G386" s="495"/>
      <c r="H386" s="493">
        <f t="shared" si="28"/>
        <v>21</v>
      </c>
      <c r="I386" s="489"/>
    </row>
    <row r="387" spans="2:9">
      <c r="B387" s="485">
        <v>55854</v>
      </c>
      <c r="C387" s="486">
        <f t="shared" si="25"/>
        <v>31</v>
      </c>
      <c r="D387" s="529">
        <f t="shared" si="29"/>
        <v>22</v>
      </c>
      <c r="E387" s="467">
        <f t="shared" si="26"/>
        <v>5</v>
      </c>
      <c r="F387" s="539">
        <f t="shared" si="27"/>
        <v>4</v>
      </c>
      <c r="G387" s="495"/>
      <c r="H387" s="493">
        <f t="shared" si="28"/>
        <v>22</v>
      </c>
      <c r="I387" s="489"/>
    </row>
    <row r="388" spans="2:9">
      <c r="B388" s="485">
        <v>55885</v>
      </c>
      <c r="C388" s="486">
        <f t="shared" si="25"/>
        <v>31</v>
      </c>
      <c r="D388" s="529">
        <f t="shared" si="29"/>
        <v>23</v>
      </c>
      <c r="E388" s="467">
        <f t="shared" si="26"/>
        <v>4</v>
      </c>
      <c r="F388" s="539">
        <f t="shared" si="27"/>
        <v>4</v>
      </c>
      <c r="G388" s="495"/>
      <c r="H388" s="493">
        <f t="shared" si="28"/>
        <v>23</v>
      </c>
      <c r="I388" s="489"/>
    </row>
    <row r="389" spans="2:9">
      <c r="B389" s="485">
        <v>55916</v>
      </c>
      <c r="C389" s="486">
        <f t="shared" ref="C389:C452" si="30">EOMONTH(B389,0)-EOMONTH(B389,-1)</f>
        <v>28</v>
      </c>
      <c r="D389" s="529">
        <f t="shared" si="29"/>
        <v>20</v>
      </c>
      <c r="E389" s="467">
        <f t="shared" ref="E389:E452" si="31">CEILING((DAY(EOMONTH(B389,0))-MOD(8-WEEKDAY(B389),7))/7,1)</f>
        <v>4</v>
      </c>
      <c r="F389" s="539">
        <f t="shared" ref="F389:F452" si="32">C389-D389-E389</f>
        <v>4</v>
      </c>
      <c r="G389" s="495"/>
      <c r="H389" s="493">
        <f t="shared" ref="H389:H452" si="33">D389-G389</f>
        <v>20</v>
      </c>
      <c r="I389" s="489"/>
    </row>
    <row r="390" spans="2:9">
      <c r="B390" s="485">
        <v>55944</v>
      </c>
      <c r="C390" s="486">
        <f t="shared" si="30"/>
        <v>31</v>
      </c>
      <c r="D390" s="529">
        <f t="shared" ref="D390:D453" si="34">NETWORKDAYS(EOMONTH(B390,-1)+1,EOMONTH(B390,0))</f>
        <v>21</v>
      </c>
      <c r="E390" s="467">
        <f t="shared" si="31"/>
        <v>5</v>
      </c>
      <c r="F390" s="539">
        <f t="shared" si="32"/>
        <v>5</v>
      </c>
      <c r="G390" s="495"/>
      <c r="H390" s="493">
        <f t="shared" si="33"/>
        <v>21</v>
      </c>
      <c r="I390" s="489"/>
    </row>
    <row r="391" spans="2:9">
      <c r="B391" s="485">
        <v>55975</v>
      </c>
      <c r="C391" s="486">
        <f t="shared" si="30"/>
        <v>30</v>
      </c>
      <c r="D391" s="529">
        <f t="shared" si="34"/>
        <v>22</v>
      </c>
      <c r="E391" s="467">
        <f t="shared" si="31"/>
        <v>4</v>
      </c>
      <c r="F391" s="539">
        <f t="shared" si="32"/>
        <v>4</v>
      </c>
      <c r="G391" s="495"/>
      <c r="H391" s="493">
        <f t="shared" si="33"/>
        <v>22</v>
      </c>
      <c r="I391" s="489"/>
    </row>
    <row r="392" spans="2:9">
      <c r="B392" s="485">
        <v>56005</v>
      </c>
      <c r="C392" s="486">
        <f t="shared" si="30"/>
        <v>31</v>
      </c>
      <c r="D392" s="529">
        <f t="shared" si="34"/>
        <v>22</v>
      </c>
      <c r="E392" s="467">
        <f t="shared" si="31"/>
        <v>4</v>
      </c>
      <c r="F392" s="539">
        <f t="shared" si="32"/>
        <v>5</v>
      </c>
      <c r="G392" s="495"/>
      <c r="H392" s="493">
        <f t="shared" si="33"/>
        <v>22</v>
      </c>
      <c r="I392" s="489"/>
    </row>
    <row r="393" spans="2:9">
      <c r="B393" s="485">
        <v>56036</v>
      </c>
      <c r="C393" s="486">
        <f t="shared" si="30"/>
        <v>30</v>
      </c>
      <c r="D393" s="529">
        <f t="shared" si="34"/>
        <v>21</v>
      </c>
      <c r="E393" s="467">
        <f t="shared" si="31"/>
        <v>5</v>
      </c>
      <c r="F393" s="539">
        <f t="shared" si="32"/>
        <v>4</v>
      </c>
      <c r="G393" s="495"/>
      <c r="H393" s="493">
        <f t="shared" si="33"/>
        <v>21</v>
      </c>
      <c r="I393" s="489"/>
    </row>
    <row r="394" spans="2:9">
      <c r="B394" s="485">
        <v>56066</v>
      </c>
      <c r="C394" s="486">
        <f t="shared" si="30"/>
        <v>31</v>
      </c>
      <c r="D394" s="529">
        <f t="shared" si="34"/>
        <v>23</v>
      </c>
      <c r="E394" s="467">
        <f t="shared" si="31"/>
        <v>4</v>
      </c>
      <c r="F394" s="539">
        <f t="shared" si="32"/>
        <v>4</v>
      </c>
      <c r="G394" s="495"/>
      <c r="H394" s="493">
        <f t="shared" si="33"/>
        <v>23</v>
      </c>
      <c r="I394" s="489"/>
    </row>
    <row r="395" spans="2:9">
      <c r="B395" s="485">
        <v>56097</v>
      </c>
      <c r="C395" s="486">
        <f t="shared" si="30"/>
        <v>31</v>
      </c>
      <c r="D395" s="529">
        <f t="shared" si="34"/>
        <v>21</v>
      </c>
      <c r="E395" s="467">
        <f t="shared" si="31"/>
        <v>5</v>
      </c>
      <c r="F395" s="539">
        <f t="shared" si="32"/>
        <v>5</v>
      </c>
      <c r="G395" s="495"/>
      <c r="H395" s="493">
        <f t="shared" si="33"/>
        <v>21</v>
      </c>
      <c r="I395" s="489"/>
    </row>
    <row r="396" spans="2:9">
      <c r="B396" s="485">
        <v>56128</v>
      </c>
      <c r="C396" s="486">
        <f t="shared" si="30"/>
        <v>30</v>
      </c>
      <c r="D396" s="529">
        <f t="shared" si="34"/>
        <v>22</v>
      </c>
      <c r="E396" s="467">
        <f t="shared" si="31"/>
        <v>4</v>
      </c>
      <c r="F396" s="539">
        <f t="shared" si="32"/>
        <v>4</v>
      </c>
      <c r="G396" s="495"/>
      <c r="H396" s="493">
        <f t="shared" si="33"/>
        <v>22</v>
      </c>
      <c r="I396" s="489"/>
    </row>
    <row r="397" spans="2:9">
      <c r="B397" s="485">
        <v>56158</v>
      </c>
      <c r="C397" s="486">
        <f t="shared" si="30"/>
        <v>31</v>
      </c>
      <c r="D397" s="529">
        <f t="shared" si="34"/>
        <v>23</v>
      </c>
      <c r="E397" s="467">
        <f t="shared" si="31"/>
        <v>4</v>
      </c>
      <c r="F397" s="539">
        <f t="shared" si="32"/>
        <v>4</v>
      </c>
      <c r="G397" s="495"/>
      <c r="H397" s="493">
        <f t="shared" si="33"/>
        <v>23</v>
      </c>
      <c r="I397" s="489"/>
    </row>
    <row r="398" spans="2:9">
      <c r="B398" s="485">
        <v>56189</v>
      </c>
      <c r="C398" s="486">
        <f t="shared" si="30"/>
        <v>30</v>
      </c>
      <c r="D398" s="529">
        <f t="shared" si="34"/>
        <v>20</v>
      </c>
      <c r="E398" s="467">
        <f t="shared" si="31"/>
        <v>5</v>
      </c>
      <c r="F398" s="539">
        <f t="shared" si="32"/>
        <v>5</v>
      </c>
      <c r="G398" s="495"/>
      <c r="H398" s="493">
        <f t="shared" si="33"/>
        <v>20</v>
      </c>
      <c r="I398" s="489"/>
    </row>
    <row r="399" spans="2:9">
      <c r="B399" s="485">
        <v>56219</v>
      </c>
      <c r="C399" s="486">
        <f t="shared" si="30"/>
        <v>31</v>
      </c>
      <c r="D399" s="529">
        <f t="shared" si="34"/>
        <v>23</v>
      </c>
      <c r="E399" s="467">
        <f t="shared" si="31"/>
        <v>4</v>
      </c>
      <c r="F399" s="539">
        <f t="shared" si="32"/>
        <v>4</v>
      </c>
      <c r="G399" s="495"/>
      <c r="H399" s="493">
        <f t="shared" si="33"/>
        <v>23</v>
      </c>
      <c r="I399" s="489"/>
    </row>
    <row r="400" spans="2:9">
      <c r="B400" s="485">
        <v>56250</v>
      </c>
      <c r="C400" s="486">
        <f t="shared" si="30"/>
        <v>31</v>
      </c>
      <c r="D400" s="529">
        <f t="shared" si="34"/>
        <v>22</v>
      </c>
      <c r="E400" s="467">
        <f t="shared" si="31"/>
        <v>4</v>
      </c>
      <c r="F400" s="539">
        <f t="shared" si="32"/>
        <v>5</v>
      </c>
      <c r="G400" s="495"/>
      <c r="H400" s="493">
        <f t="shared" si="33"/>
        <v>22</v>
      </c>
      <c r="I400" s="489"/>
    </row>
    <row r="401" spans="2:9">
      <c r="B401" s="485">
        <v>56281</v>
      </c>
      <c r="C401" s="486">
        <f t="shared" si="30"/>
        <v>28</v>
      </c>
      <c r="D401" s="529">
        <f t="shared" si="34"/>
        <v>20</v>
      </c>
      <c r="E401" s="467">
        <f t="shared" si="31"/>
        <v>4</v>
      </c>
      <c r="F401" s="539">
        <f t="shared" si="32"/>
        <v>4</v>
      </c>
      <c r="G401" s="495"/>
      <c r="H401" s="493">
        <f t="shared" si="33"/>
        <v>20</v>
      </c>
      <c r="I401" s="489"/>
    </row>
    <row r="402" spans="2:9">
      <c r="B402" s="485">
        <v>56309</v>
      </c>
      <c r="C402" s="486">
        <f t="shared" si="30"/>
        <v>31</v>
      </c>
      <c r="D402" s="529">
        <f t="shared" si="34"/>
        <v>22</v>
      </c>
      <c r="E402" s="467">
        <f t="shared" si="31"/>
        <v>5</v>
      </c>
      <c r="F402" s="539">
        <f t="shared" si="32"/>
        <v>4</v>
      </c>
      <c r="G402" s="495"/>
      <c r="H402" s="493">
        <f t="shared" si="33"/>
        <v>22</v>
      </c>
      <c r="I402" s="489"/>
    </row>
    <row r="403" spans="2:9">
      <c r="B403" s="485">
        <v>56340</v>
      </c>
      <c r="C403" s="486">
        <f t="shared" si="30"/>
        <v>30</v>
      </c>
      <c r="D403" s="529">
        <f t="shared" si="34"/>
        <v>22</v>
      </c>
      <c r="E403" s="467">
        <f t="shared" si="31"/>
        <v>4</v>
      </c>
      <c r="F403" s="539">
        <f t="shared" si="32"/>
        <v>4</v>
      </c>
      <c r="G403" s="495"/>
      <c r="H403" s="493">
        <f t="shared" si="33"/>
        <v>22</v>
      </c>
      <c r="I403" s="489"/>
    </row>
    <row r="404" spans="2:9">
      <c r="B404" s="485">
        <v>56370</v>
      </c>
      <c r="C404" s="486">
        <f t="shared" si="30"/>
        <v>31</v>
      </c>
      <c r="D404" s="529">
        <f t="shared" si="34"/>
        <v>21</v>
      </c>
      <c r="E404" s="467">
        <f t="shared" si="31"/>
        <v>5</v>
      </c>
      <c r="F404" s="539">
        <f t="shared" si="32"/>
        <v>5</v>
      </c>
      <c r="G404" s="495"/>
      <c r="H404" s="493">
        <f t="shared" si="33"/>
        <v>21</v>
      </c>
      <c r="I404" s="489"/>
    </row>
    <row r="405" spans="2:9">
      <c r="B405" s="485">
        <v>56401</v>
      </c>
      <c r="C405" s="486">
        <f t="shared" si="30"/>
        <v>30</v>
      </c>
      <c r="D405" s="529">
        <f t="shared" si="34"/>
        <v>22</v>
      </c>
      <c r="E405" s="467">
        <f t="shared" si="31"/>
        <v>4</v>
      </c>
      <c r="F405" s="539">
        <f t="shared" si="32"/>
        <v>4</v>
      </c>
      <c r="G405" s="495"/>
      <c r="H405" s="493">
        <f t="shared" si="33"/>
        <v>22</v>
      </c>
      <c r="I405" s="489"/>
    </row>
    <row r="406" spans="2:9">
      <c r="B406" s="485">
        <v>56431</v>
      </c>
      <c r="C406" s="486">
        <f t="shared" si="30"/>
        <v>31</v>
      </c>
      <c r="D406" s="529">
        <f t="shared" si="34"/>
        <v>23</v>
      </c>
      <c r="E406" s="467">
        <f t="shared" si="31"/>
        <v>4</v>
      </c>
      <c r="F406" s="539">
        <f t="shared" si="32"/>
        <v>4</v>
      </c>
      <c r="G406" s="495"/>
      <c r="H406" s="493">
        <f t="shared" si="33"/>
        <v>23</v>
      </c>
      <c r="I406" s="489"/>
    </row>
    <row r="407" spans="2:9">
      <c r="B407" s="485">
        <v>56462</v>
      </c>
      <c r="C407" s="486">
        <f t="shared" si="30"/>
        <v>31</v>
      </c>
      <c r="D407" s="529">
        <f t="shared" si="34"/>
        <v>21</v>
      </c>
      <c r="E407" s="467">
        <f t="shared" si="31"/>
        <v>5</v>
      </c>
      <c r="F407" s="539">
        <f t="shared" si="32"/>
        <v>5</v>
      </c>
      <c r="G407" s="495"/>
      <c r="H407" s="493">
        <f t="shared" si="33"/>
        <v>21</v>
      </c>
      <c r="I407" s="489"/>
    </row>
    <row r="408" spans="2:9">
      <c r="B408" s="485">
        <v>56493</v>
      </c>
      <c r="C408" s="486">
        <f t="shared" si="30"/>
        <v>30</v>
      </c>
      <c r="D408" s="529">
        <f t="shared" si="34"/>
        <v>22</v>
      </c>
      <c r="E408" s="467">
        <f t="shared" si="31"/>
        <v>4</v>
      </c>
      <c r="F408" s="539">
        <f t="shared" si="32"/>
        <v>4</v>
      </c>
      <c r="G408" s="495"/>
      <c r="H408" s="493">
        <f t="shared" si="33"/>
        <v>22</v>
      </c>
      <c r="I408" s="489"/>
    </row>
    <row r="409" spans="2:9">
      <c r="B409" s="485">
        <v>56523</v>
      </c>
      <c r="C409" s="486">
        <f t="shared" si="30"/>
        <v>31</v>
      </c>
      <c r="D409" s="529">
        <f t="shared" si="34"/>
        <v>22</v>
      </c>
      <c r="E409" s="467">
        <f t="shared" si="31"/>
        <v>4</v>
      </c>
      <c r="F409" s="539">
        <f t="shared" si="32"/>
        <v>5</v>
      </c>
      <c r="G409" s="495"/>
      <c r="H409" s="493">
        <f t="shared" si="33"/>
        <v>22</v>
      </c>
      <c r="I409" s="489"/>
    </row>
    <row r="410" spans="2:9">
      <c r="B410" s="485">
        <v>56554</v>
      </c>
      <c r="C410" s="486">
        <f t="shared" si="30"/>
        <v>30</v>
      </c>
      <c r="D410" s="529">
        <f t="shared" si="34"/>
        <v>21</v>
      </c>
      <c r="E410" s="467">
        <f t="shared" si="31"/>
        <v>5</v>
      </c>
      <c r="F410" s="539">
        <f t="shared" si="32"/>
        <v>4</v>
      </c>
      <c r="G410" s="495"/>
      <c r="H410" s="493">
        <f t="shared" si="33"/>
        <v>21</v>
      </c>
      <c r="I410" s="489"/>
    </row>
    <row r="411" spans="2:9">
      <c r="B411" s="485">
        <v>56584</v>
      </c>
      <c r="C411" s="486">
        <f t="shared" si="30"/>
        <v>31</v>
      </c>
      <c r="D411" s="529">
        <f t="shared" si="34"/>
        <v>23</v>
      </c>
      <c r="E411" s="467">
        <f t="shared" si="31"/>
        <v>4</v>
      </c>
      <c r="F411" s="539">
        <f t="shared" si="32"/>
        <v>4</v>
      </c>
      <c r="G411" s="495"/>
      <c r="H411" s="493">
        <f t="shared" si="33"/>
        <v>23</v>
      </c>
      <c r="I411" s="489"/>
    </row>
    <row r="412" spans="2:9">
      <c r="B412" s="485">
        <v>56615</v>
      </c>
      <c r="C412" s="486">
        <f t="shared" si="30"/>
        <v>31</v>
      </c>
      <c r="D412" s="529">
        <f t="shared" si="34"/>
        <v>21</v>
      </c>
      <c r="E412" s="467">
        <f t="shared" si="31"/>
        <v>5</v>
      </c>
      <c r="F412" s="539">
        <f t="shared" si="32"/>
        <v>5</v>
      </c>
      <c r="G412" s="495"/>
      <c r="H412" s="493">
        <f t="shared" si="33"/>
        <v>21</v>
      </c>
      <c r="I412" s="489"/>
    </row>
    <row r="413" spans="2:9">
      <c r="B413" s="485">
        <v>56646</v>
      </c>
      <c r="C413" s="486">
        <f t="shared" si="30"/>
        <v>28</v>
      </c>
      <c r="D413" s="529">
        <f t="shared" si="34"/>
        <v>20</v>
      </c>
      <c r="E413" s="467">
        <f t="shared" si="31"/>
        <v>4</v>
      </c>
      <c r="F413" s="539">
        <f t="shared" si="32"/>
        <v>4</v>
      </c>
      <c r="G413" s="495"/>
      <c r="H413" s="493">
        <f t="shared" si="33"/>
        <v>20</v>
      </c>
      <c r="I413" s="489"/>
    </row>
    <row r="414" spans="2:9">
      <c r="B414" s="485">
        <v>56674</v>
      </c>
      <c r="C414" s="486">
        <f t="shared" si="30"/>
        <v>31</v>
      </c>
      <c r="D414" s="529">
        <f t="shared" si="34"/>
        <v>23</v>
      </c>
      <c r="E414" s="467">
        <f t="shared" si="31"/>
        <v>4</v>
      </c>
      <c r="F414" s="539">
        <f t="shared" si="32"/>
        <v>4</v>
      </c>
      <c r="G414" s="495"/>
      <c r="H414" s="493">
        <f t="shared" si="33"/>
        <v>23</v>
      </c>
      <c r="I414" s="489"/>
    </row>
    <row r="415" spans="2:9">
      <c r="B415" s="485">
        <v>56705</v>
      </c>
      <c r="C415" s="486">
        <f t="shared" si="30"/>
        <v>30</v>
      </c>
      <c r="D415" s="529">
        <f t="shared" si="34"/>
        <v>22</v>
      </c>
      <c r="E415" s="467">
        <f t="shared" si="31"/>
        <v>4</v>
      </c>
      <c r="F415" s="539">
        <f t="shared" si="32"/>
        <v>4</v>
      </c>
      <c r="G415" s="495"/>
      <c r="H415" s="493">
        <f t="shared" si="33"/>
        <v>22</v>
      </c>
      <c r="I415" s="489"/>
    </row>
    <row r="416" spans="2:9">
      <c r="B416" s="485">
        <v>56735</v>
      </c>
      <c r="C416" s="486">
        <f t="shared" si="30"/>
        <v>31</v>
      </c>
      <c r="D416" s="529">
        <f t="shared" si="34"/>
        <v>21</v>
      </c>
      <c r="E416" s="467">
        <f t="shared" si="31"/>
        <v>5</v>
      </c>
      <c r="F416" s="539">
        <f t="shared" si="32"/>
        <v>5</v>
      </c>
      <c r="G416" s="495"/>
      <c r="H416" s="493">
        <f t="shared" si="33"/>
        <v>21</v>
      </c>
      <c r="I416" s="489"/>
    </row>
    <row r="417" spans="2:9">
      <c r="B417" s="485">
        <v>56766</v>
      </c>
      <c r="C417" s="486">
        <f t="shared" si="30"/>
        <v>30</v>
      </c>
      <c r="D417" s="529">
        <f t="shared" si="34"/>
        <v>22</v>
      </c>
      <c r="E417" s="467">
        <f t="shared" si="31"/>
        <v>4</v>
      </c>
      <c r="F417" s="539">
        <f t="shared" si="32"/>
        <v>4</v>
      </c>
      <c r="G417" s="495"/>
      <c r="H417" s="493">
        <f t="shared" si="33"/>
        <v>22</v>
      </c>
      <c r="I417" s="489"/>
    </row>
    <row r="418" spans="2:9">
      <c r="B418" s="485">
        <v>56796</v>
      </c>
      <c r="C418" s="486">
        <f t="shared" si="30"/>
        <v>31</v>
      </c>
      <c r="D418" s="529">
        <f t="shared" si="34"/>
        <v>22</v>
      </c>
      <c r="E418" s="467">
        <f t="shared" si="31"/>
        <v>4</v>
      </c>
      <c r="F418" s="539">
        <f t="shared" si="32"/>
        <v>5</v>
      </c>
      <c r="G418" s="495"/>
      <c r="H418" s="493">
        <f t="shared" si="33"/>
        <v>22</v>
      </c>
      <c r="I418" s="489"/>
    </row>
    <row r="419" spans="2:9">
      <c r="B419" s="485">
        <v>56827</v>
      </c>
      <c r="C419" s="486">
        <f t="shared" si="30"/>
        <v>31</v>
      </c>
      <c r="D419" s="529">
        <f t="shared" si="34"/>
        <v>22</v>
      </c>
      <c r="E419" s="467">
        <f t="shared" si="31"/>
        <v>5</v>
      </c>
      <c r="F419" s="539">
        <f t="shared" si="32"/>
        <v>4</v>
      </c>
      <c r="G419" s="495"/>
      <c r="H419" s="493">
        <f t="shared" si="33"/>
        <v>22</v>
      </c>
      <c r="I419" s="489"/>
    </row>
    <row r="420" spans="2:9">
      <c r="B420" s="485">
        <v>56858</v>
      </c>
      <c r="C420" s="486">
        <f t="shared" si="30"/>
        <v>30</v>
      </c>
      <c r="D420" s="529">
        <f t="shared" si="34"/>
        <v>22</v>
      </c>
      <c r="E420" s="467">
        <f t="shared" si="31"/>
        <v>4</v>
      </c>
      <c r="F420" s="539">
        <f t="shared" si="32"/>
        <v>4</v>
      </c>
      <c r="G420" s="495"/>
      <c r="H420" s="493">
        <f t="shared" si="33"/>
        <v>22</v>
      </c>
      <c r="I420" s="489"/>
    </row>
    <row r="421" spans="2:9">
      <c r="B421" s="485">
        <v>56888</v>
      </c>
      <c r="C421" s="486">
        <f t="shared" si="30"/>
        <v>31</v>
      </c>
      <c r="D421" s="529">
        <f t="shared" si="34"/>
        <v>21</v>
      </c>
      <c r="E421" s="467">
        <f t="shared" si="31"/>
        <v>5</v>
      </c>
      <c r="F421" s="539">
        <f t="shared" si="32"/>
        <v>5</v>
      </c>
      <c r="G421" s="495"/>
      <c r="H421" s="493">
        <f t="shared" si="33"/>
        <v>21</v>
      </c>
      <c r="I421" s="489"/>
    </row>
    <row r="422" spans="2:9">
      <c r="B422" s="485">
        <v>56919</v>
      </c>
      <c r="C422" s="486">
        <f t="shared" si="30"/>
        <v>30</v>
      </c>
      <c r="D422" s="529">
        <f t="shared" si="34"/>
        <v>22</v>
      </c>
      <c r="E422" s="467">
        <f t="shared" si="31"/>
        <v>4</v>
      </c>
      <c r="F422" s="539">
        <f t="shared" si="32"/>
        <v>4</v>
      </c>
      <c r="G422" s="495"/>
      <c r="H422" s="493">
        <f t="shared" si="33"/>
        <v>22</v>
      </c>
      <c r="I422" s="489"/>
    </row>
    <row r="423" spans="2:9">
      <c r="B423" s="485">
        <v>56949</v>
      </c>
      <c r="C423" s="486">
        <f t="shared" si="30"/>
        <v>31</v>
      </c>
      <c r="D423" s="529">
        <f t="shared" si="34"/>
        <v>23</v>
      </c>
      <c r="E423" s="467">
        <f t="shared" si="31"/>
        <v>4</v>
      </c>
      <c r="F423" s="539">
        <f t="shared" si="32"/>
        <v>4</v>
      </c>
      <c r="G423" s="495"/>
      <c r="H423" s="493">
        <f t="shared" si="33"/>
        <v>23</v>
      </c>
      <c r="I423" s="489"/>
    </row>
    <row r="424" spans="2:9">
      <c r="B424" s="485">
        <v>56980</v>
      </c>
      <c r="C424" s="486">
        <f t="shared" si="30"/>
        <v>31</v>
      </c>
      <c r="D424" s="529">
        <f t="shared" si="34"/>
        <v>21</v>
      </c>
      <c r="E424" s="467">
        <f t="shared" si="31"/>
        <v>5</v>
      </c>
      <c r="F424" s="539">
        <f t="shared" si="32"/>
        <v>5</v>
      </c>
      <c r="G424" s="495"/>
      <c r="H424" s="493">
        <f t="shared" si="33"/>
        <v>21</v>
      </c>
      <c r="I424" s="489"/>
    </row>
    <row r="425" spans="2:9">
      <c r="B425" s="485">
        <v>57011</v>
      </c>
      <c r="C425" s="486">
        <f t="shared" si="30"/>
        <v>29</v>
      </c>
      <c r="D425" s="529">
        <f t="shared" si="34"/>
        <v>21</v>
      </c>
      <c r="E425" s="467">
        <f t="shared" si="31"/>
        <v>4</v>
      </c>
      <c r="F425" s="539">
        <f t="shared" si="32"/>
        <v>4</v>
      </c>
      <c r="G425" s="495"/>
      <c r="H425" s="493">
        <f t="shared" si="33"/>
        <v>21</v>
      </c>
      <c r="I425" s="489"/>
    </row>
    <row r="426" spans="2:9">
      <c r="B426" s="485">
        <v>57040</v>
      </c>
      <c r="C426" s="486">
        <f t="shared" si="30"/>
        <v>31</v>
      </c>
      <c r="D426" s="529">
        <f t="shared" si="34"/>
        <v>23</v>
      </c>
      <c r="E426" s="467">
        <f t="shared" si="31"/>
        <v>4</v>
      </c>
      <c r="F426" s="539">
        <f t="shared" si="32"/>
        <v>4</v>
      </c>
      <c r="G426" s="495"/>
      <c r="H426" s="493">
        <f t="shared" si="33"/>
        <v>23</v>
      </c>
      <c r="I426" s="489"/>
    </row>
    <row r="427" spans="2:9">
      <c r="B427" s="485">
        <v>57071</v>
      </c>
      <c r="C427" s="486">
        <f t="shared" si="30"/>
        <v>30</v>
      </c>
      <c r="D427" s="529">
        <f t="shared" si="34"/>
        <v>20</v>
      </c>
      <c r="E427" s="467">
        <f t="shared" si="31"/>
        <v>5</v>
      </c>
      <c r="F427" s="539">
        <f t="shared" si="32"/>
        <v>5</v>
      </c>
      <c r="G427" s="495"/>
      <c r="H427" s="493">
        <f t="shared" si="33"/>
        <v>20</v>
      </c>
      <c r="I427" s="489"/>
    </row>
    <row r="428" spans="2:9">
      <c r="B428" s="485">
        <v>57101</v>
      </c>
      <c r="C428" s="486">
        <f t="shared" si="30"/>
        <v>31</v>
      </c>
      <c r="D428" s="529">
        <f t="shared" si="34"/>
        <v>23</v>
      </c>
      <c r="E428" s="467">
        <f t="shared" si="31"/>
        <v>4</v>
      </c>
      <c r="F428" s="539">
        <f t="shared" si="32"/>
        <v>4</v>
      </c>
      <c r="G428" s="495"/>
      <c r="H428" s="493">
        <f t="shared" si="33"/>
        <v>23</v>
      </c>
      <c r="I428" s="489"/>
    </row>
    <row r="429" spans="2:9">
      <c r="B429" s="485">
        <v>57132</v>
      </c>
      <c r="C429" s="486">
        <f t="shared" si="30"/>
        <v>30</v>
      </c>
      <c r="D429" s="529">
        <f t="shared" si="34"/>
        <v>22</v>
      </c>
      <c r="E429" s="467">
        <f t="shared" si="31"/>
        <v>4</v>
      </c>
      <c r="F429" s="539">
        <f t="shared" si="32"/>
        <v>4</v>
      </c>
      <c r="G429" s="495"/>
      <c r="H429" s="493">
        <f t="shared" si="33"/>
        <v>22</v>
      </c>
      <c r="I429" s="489"/>
    </row>
    <row r="430" spans="2:9">
      <c r="B430" s="485">
        <v>57162</v>
      </c>
      <c r="C430" s="486">
        <f t="shared" si="30"/>
        <v>31</v>
      </c>
      <c r="D430" s="529">
        <f t="shared" si="34"/>
        <v>21</v>
      </c>
      <c r="E430" s="467">
        <f t="shared" si="31"/>
        <v>5</v>
      </c>
      <c r="F430" s="539">
        <f t="shared" si="32"/>
        <v>5</v>
      </c>
      <c r="G430" s="495"/>
      <c r="H430" s="493">
        <f t="shared" si="33"/>
        <v>21</v>
      </c>
      <c r="I430" s="489"/>
    </row>
    <row r="431" spans="2:9">
      <c r="B431" s="485">
        <v>57193</v>
      </c>
      <c r="C431" s="486">
        <f t="shared" si="30"/>
        <v>31</v>
      </c>
      <c r="D431" s="529">
        <f t="shared" si="34"/>
        <v>23</v>
      </c>
      <c r="E431" s="467">
        <f t="shared" si="31"/>
        <v>4</v>
      </c>
      <c r="F431" s="539">
        <f t="shared" si="32"/>
        <v>4</v>
      </c>
      <c r="G431" s="495"/>
      <c r="H431" s="493">
        <f t="shared" si="33"/>
        <v>23</v>
      </c>
      <c r="I431" s="489"/>
    </row>
    <row r="432" spans="2:9">
      <c r="B432" s="485">
        <v>57224</v>
      </c>
      <c r="C432" s="486">
        <f t="shared" si="30"/>
        <v>30</v>
      </c>
      <c r="D432" s="529">
        <f t="shared" si="34"/>
        <v>21</v>
      </c>
      <c r="E432" s="467">
        <f t="shared" si="31"/>
        <v>4</v>
      </c>
      <c r="F432" s="539">
        <f t="shared" si="32"/>
        <v>5</v>
      </c>
      <c r="G432" s="495"/>
      <c r="H432" s="493">
        <f t="shared" si="33"/>
        <v>21</v>
      </c>
      <c r="I432" s="489"/>
    </row>
    <row r="433" spans="2:9">
      <c r="B433" s="485">
        <v>57254</v>
      </c>
      <c r="C433" s="486">
        <f t="shared" si="30"/>
        <v>31</v>
      </c>
      <c r="D433" s="529">
        <f t="shared" si="34"/>
        <v>22</v>
      </c>
      <c r="E433" s="467">
        <f t="shared" si="31"/>
        <v>5</v>
      </c>
      <c r="F433" s="539">
        <f t="shared" si="32"/>
        <v>4</v>
      </c>
      <c r="G433" s="495"/>
      <c r="H433" s="493">
        <f t="shared" si="33"/>
        <v>22</v>
      </c>
      <c r="I433" s="489"/>
    </row>
    <row r="434" spans="2:9">
      <c r="B434" s="485">
        <v>57285</v>
      </c>
      <c r="C434" s="486">
        <f t="shared" si="30"/>
        <v>30</v>
      </c>
      <c r="D434" s="529">
        <f t="shared" si="34"/>
        <v>22</v>
      </c>
      <c r="E434" s="467">
        <f t="shared" si="31"/>
        <v>4</v>
      </c>
      <c r="F434" s="539">
        <f t="shared" si="32"/>
        <v>4</v>
      </c>
      <c r="G434" s="495"/>
      <c r="H434" s="493">
        <f t="shared" si="33"/>
        <v>22</v>
      </c>
      <c r="I434" s="489"/>
    </row>
    <row r="435" spans="2:9">
      <c r="B435" s="485">
        <v>57315</v>
      </c>
      <c r="C435" s="486">
        <f t="shared" si="30"/>
        <v>31</v>
      </c>
      <c r="D435" s="529">
        <f t="shared" si="34"/>
        <v>21</v>
      </c>
      <c r="E435" s="467">
        <f t="shared" si="31"/>
        <v>5</v>
      </c>
      <c r="F435" s="539">
        <f t="shared" si="32"/>
        <v>5</v>
      </c>
      <c r="G435" s="495"/>
      <c r="H435" s="493">
        <f t="shared" si="33"/>
        <v>21</v>
      </c>
      <c r="I435" s="489"/>
    </row>
    <row r="436" spans="2:9">
      <c r="B436" s="485">
        <v>57346</v>
      </c>
      <c r="C436" s="486">
        <f t="shared" si="30"/>
        <v>31</v>
      </c>
      <c r="D436" s="529">
        <f t="shared" si="34"/>
        <v>23</v>
      </c>
      <c r="E436" s="467">
        <f t="shared" si="31"/>
        <v>4</v>
      </c>
      <c r="F436" s="539">
        <f t="shared" si="32"/>
        <v>4</v>
      </c>
      <c r="G436" s="495"/>
      <c r="H436" s="493">
        <f t="shared" si="33"/>
        <v>23</v>
      </c>
      <c r="I436" s="489"/>
    </row>
    <row r="437" spans="2:9">
      <c r="B437" s="485">
        <v>57377</v>
      </c>
      <c r="C437" s="486">
        <f t="shared" si="30"/>
        <v>28</v>
      </c>
      <c r="D437" s="529">
        <f t="shared" si="34"/>
        <v>20</v>
      </c>
      <c r="E437" s="467">
        <f t="shared" si="31"/>
        <v>4</v>
      </c>
      <c r="F437" s="539">
        <f t="shared" si="32"/>
        <v>4</v>
      </c>
      <c r="G437" s="495"/>
      <c r="H437" s="493">
        <f t="shared" si="33"/>
        <v>20</v>
      </c>
      <c r="I437" s="489"/>
    </row>
    <row r="438" spans="2:9">
      <c r="B438" s="485">
        <v>57405</v>
      </c>
      <c r="C438" s="486">
        <f t="shared" si="30"/>
        <v>31</v>
      </c>
      <c r="D438" s="529">
        <f t="shared" si="34"/>
        <v>22</v>
      </c>
      <c r="E438" s="467">
        <f t="shared" si="31"/>
        <v>4</v>
      </c>
      <c r="F438" s="539">
        <f t="shared" si="32"/>
        <v>5</v>
      </c>
      <c r="G438" s="495"/>
      <c r="H438" s="493">
        <f t="shared" si="33"/>
        <v>22</v>
      </c>
      <c r="I438" s="489"/>
    </row>
    <row r="439" spans="2:9">
      <c r="B439" s="485">
        <v>57436</v>
      </c>
      <c r="C439" s="486">
        <f t="shared" si="30"/>
        <v>30</v>
      </c>
      <c r="D439" s="529">
        <f t="shared" si="34"/>
        <v>21</v>
      </c>
      <c r="E439" s="467">
        <f t="shared" si="31"/>
        <v>5</v>
      </c>
      <c r="F439" s="539">
        <f t="shared" si="32"/>
        <v>4</v>
      </c>
      <c r="G439" s="495"/>
      <c r="H439" s="493">
        <f t="shared" si="33"/>
        <v>21</v>
      </c>
      <c r="I439" s="489"/>
    </row>
    <row r="440" spans="2:9">
      <c r="B440" s="485">
        <v>57466</v>
      </c>
      <c r="C440" s="486">
        <f t="shared" si="30"/>
        <v>31</v>
      </c>
      <c r="D440" s="529">
        <f t="shared" si="34"/>
        <v>23</v>
      </c>
      <c r="E440" s="467">
        <f t="shared" si="31"/>
        <v>4</v>
      </c>
      <c r="F440" s="539">
        <f t="shared" si="32"/>
        <v>4</v>
      </c>
      <c r="G440" s="495"/>
      <c r="H440" s="493">
        <f t="shared" si="33"/>
        <v>23</v>
      </c>
      <c r="I440" s="489"/>
    </row>
    <row r="441" spans="2:9">
      <c r="B441" s="485">
        <v>57497</v>
      </c>
      <c r="C441" s="486">
        <f t="shared" si="30"/>
        <v>30</v>
      </c>
      <c r="D441" s="529">
        <f t="shared" si="34"/>
        <v>21</v>
      </c>
      <c r="E441" s="467">
        <f t="shared" si="31"/>
        <v>4</v>
      </c>
      <c r="F441" s="539">
        <f t="shared" si="32"/>
        <v>5</v>
      </c>
      <c r="G441" s="495"/>
      <c r="H441" s="493">
        <f t="shared" si="33"/>
        <v>21</v>
      </c>
      <c r="I441" s="489"/>
    </row>
    <row r="442" spans="2:9">
      <c r="B442" s="485">
        <v>57527</v>
      </c>
      <c r="C442" s="486">
        <f t="shared" si="30"/>
        <v>31</v>
      </c>
      <c r="D442" s="529">
        <f t="shared" si="34"/>
        <v>22</v>
      </c>
      <c r="E442" s="467">
        <f t="shared" si="31"/>
        <v>5</v>
      </c>
      <c r="F442" s="539">
        <f t="shared" si="32"/>
        <v>4</v>
      </c>
      <c r="G442" s="495"/>
      <c r="H442" s="493">
        <f t="shared" si="33"/>
        <v>22</v>
      </c>
      <c r="I442" s="489"/>
    </row>
    <row r="443" spans="2:9">
      <c r="B443" s="485">
        <v>57558</v>
      </c>
      <c r="C443" s="486">
        <f t="shared" si="30"/>
        <v>31</v>
      </c>
      <c r="D443" s="529">
        <f t="shared" si="34"/>
        <v>23</v>
      </c>
      <c r="E443" s="467">
        <f t="shared" si="31"/>
        <v>4</v>
      </c>
      <c r="F443" s="539">
        <f t="shared" si="32"/>
        <v>4</v>
      </c>
      <c r="G443" s="495"/>
      <c r="H443" s="493">
        <f t="shared" si="33"/>
        <v>23</v>
      </c>
      <c r="I443" s="489"/>
    </row>
    <row r="444" spans="2:9">
      <c r="B444" s="485">
        <v>57589</v>
      </c>
      <c r="C444" s="486">
        <f t="shared" si="30"/>
        <v>30</v>
      </c>
      <c r="D444" s="529">
        <f t="shared" si="34"/>
        <v>20</v>
      </c>
      <c r="E444" s="467">
        <f t="shared" si="31"/>
        <v>5</v>
      </c>
      <c r="F444" s="539">
        <f t="shared" si="32"/>
        <v>5</v>
      </c>
      <c r="G444" s="495"/>
      <c r="H444" s="493">
        <f t="shared" si="33"/>
        <v>20</v>
      </c>
      <c r="I444" s="489"/>
    </row>
    <row r="445" spans="2:9">
      <c r="B445" s="485">
        <v>57619</v>
      </c>
      <c r="C445" s="486">
        <f t="shared" si="30"/>
        <v>31</v>
      </c>
      <c r="D445" s="529">
        <f t="shared" si="34"/>
        <v>23</v>
      </c>
      <c r="E445" s="467">
        <f t="shared" si="31"/>
        <v>4</v>
      </c>
      <c r="F445" s="539">
        <f t="shared" si="32"/>
        <v>4</v>
      </c>
      <c r="G445" s="495"/>
      <c r="H445" s="493">
        <f t="shared" si="33"/>
        <v>23</v>
      </c>
      <c r="I445" s="489"/>
    </row>
    <row r="446" spans="2:9">
      <c r="B446" s="485">
        <v>57650</v>
      </c>
      <c r="C446" s="486">
        <f t="shared" si="30"/>
        <v>30</v>
      </c>
      <c r="D446" s="529">
        <f t="shared" si="34"/>
        <v>22</v>
      </c>
      <c r="E446" s="467">
        <f t="shared" si="31"/>
        <v>4</v>
      </c>
      <c r="F446" s="539">
        <f t="shared" si="32"/>
        <v>4</v>
      </c>
      <c r="G446" s="495"/>
      <c r="H446" s="493">
        <f t="shared" si="33"/>
        <v>22</v>
      </c>
      <c r="I446" s="489"/>
    </row>
    <row r="447" spans="2:9">
      <c r="B447" s="485">
        <v>57680</v>
      </c>
      <c r="C447" s="486">
        <f t="shared" si="30"/>
        <v>31</v>
      </c>
      <c r="D447" s="529">
        <f t="shared" si="34"/>
        <v>21</v>
      </c>
      <c r="E447" s="467">
        <f t="shared" si="31"/>
        <v>5</v>
      </c>
      <c r="F447" s="539">
        <f t="shared" si="32"/>
        <v>5</v>
      </c>
      <c r="G447" s="495"/>
      <c r="H447" s="493">
        <f t="shared" si="33"/>
        <v>21</v>
      </c>
      <c r="I447" s="489"/>
    </row>
    <row r="448" spans="2:9">
      <c r="B448" s="485">
        <v>57711</v>
      </c>
      <c r="C448" s="486">
        <f t="shared" si="30"/>
        <v>31</v>
      </c>
      <c r="D448" s="529">
        <f t="shared" si="34"/>
        <v>23</v>
      </c>
      <c r="E448" s="467">
        <f t="shared" si="31"/>
        <v>4</v>
      </c>
      <c r="F448" s="539">
        <f t="shared" si="32"/>
        <v>4</v>
      </c>
      <c r="G448" s="495"/>
      <c r="H448" s="493">
        <f t="shared" si="33"/>
        <v>23</v>
      </c>
      <c r="I448" s="489"/>
    </row>
    <row r="449" spans="2:9">
      <c r="B449" s="485">
        <v>57742</v>
      </c>
      <c r="C449" s="486">
        <f t="shared" si="30"/>
        <v>28</v>
      </c>
      <c r="D449" s="529">
        <f t="shared" si="34"/>
        <v>20</v>
      </c>
      <c r="E449" s="467">
        <f t="shared" si="31"/>
        <v>4</v>
      </c>
      <c r="F449" s="539">
        <f t="shared" si="32"/>
        <v>4</v>
      </c>
      <c r="G449" s="495"/>
      <c r="H449" s="493">
        <f t="shared" si="33"/>
        <v>20</v>
      </c>
      <c r="I449" s="489"/>
    </row>
    <row r="450" spans="2:9">
      <c r="B450" s="485">
        <v>57770</v>
      </c>
      <c r="C450" s="486">
        <f t="shared" si="30"/>
        <v>31</v>
      </c>
      <c r="D450" s="529">
        <f t="shared" si="34"/>
        <v>21</v>
      </c>
      <c r="E450" s="467">
        <f t="shared" si="31"/>
        <v>5</v>
      </c>
      <c r="F450" s="539">
        <f t="shared" si="32"/>
        <v>5</v>
      </c>
      <c r="G450" s="495"/>
      <c r="H450" s="493">
        <f t="shared" si="33"/>
        <v>21</v>
      </c>
      <c r="I450" s="489"/>
    </row>
    <row r="451" spans="2:9">
      <c r="B451" s="485">
        <v>57801</v>
      </c>
      <c r="C451" s="486">
        <f t="shared" si="30"/>
        <v>30</v>
      </c>
      <c r="D451" s="529">
        <f t="shared" si="34"/>
        <v>22</v>
      </c>
      <c r="E451" s="467">
        <f t="shared" si="31"/>
        <v>4</v>
      </c>
      <c r="F451" s="539">
        <f t="shared" si="32"/>
        <v>4</v>
      </c>
      <c r="G451" s="495"/>
      <c r="H451" s="493">
        <f t="shared" si="33"/>
        <v>22</v>
      </c>
      <c r="I451" s="489"/>
    </row>
    <row r="452" spans="2:9">
      <c r="B452" s="485">
        <v>57831</v>
      </c>
      <c r="C452" s="486">
        <f t="shared" si="30"/>
        <v>31</v>
      </c>
      <c r="D452" s="529">
        <f t="shared" si="34"/>
        <v>23</v>
      </c>
      <c r="E452" s="467">
        <f t="shared" si="31"/>
        <v>4</v>
      </c>
      <c r="F452" s="539">
        <f t="shared" si="32"/>
        <v>4</v>
      </c>
      <c r="G452" s="495"/>
      <c r="H452" s="493">
        <f t="shared" si="33"/>
        <v>23</v>
      </c>
      <c r="I452" s="489"/>
    </row>
    <row r="453" spans="2:9">
      <c r="B453" s="485">
        <v>57862</v>
      </c>
      <c r="C453" s="486">
        <f t="shared" ref="C453:C459" si="35">EOMONTH(B453,0)-EOMONTH(B453,-1)</f>
        <v>30</v>
      </c>
      <c r="D453" s="529">
        <f t="shared" si="34"/>
        <v>20</v>
      </c>
      <c r="E453" s="467">
        <f t="shared" ref="E453:E459" si="36">CEILING((DAY(EOMONTH(B453,0))-MOD(8-WEEKDAY(B453),7))/7,1)</f>
        <v>5</v>
      </c>
      <c r="F453" s="539">
        <f t="shared" ref="F453:F459" si="37">C453-D453-E453</f>
        <v>5</v>
      </c>
      <c r="G453" s="495"/>
      <c r="H453" s="493">
        <f t="shared" ref="H453:H459" si="38">D453-G453</f>
        <v>20</v>
      </c>
      <c r="I453" s="489"/>
    </row>
    <row r="454" spans="2:9">
      <c r="B454" s="485">
        <v>57892</v>
      </c>
      <c r="C454" s="486">
        <f t="shared" si="35"/>
        <v>31</v>
      </c>
      <c r="D454" s="529">
        <f t="shared" ref="D454:D459" si="39">NETWORKDAYS(EOMONTH(B454,-1)+1,EOMONTH(B454,0))</f>
        <v>23</v>
      </c>
      <c r="E454" s="467">
        <f t="shared" si="36"/>
        <v>4</v>
      </c>
      <c r="F454" s="539">
        <f t="shared" si="37"/>
        <v>4</v>
      </c>
      <c r="G454" s="495"/>
      <c r="H454" s="493">
        <f t="shared" si="38"/>
        <v>23</v>
      </c>
      <c r="I454" s="489"/>
    </row>
    <row r="455" spans="2:9">
      <c r="B455" s="485">
        <v>57923</v>
      </c>
      <c r="C455" s="486">
        <f t="shared" si="35"/>
        <v>31</v>
      </c>
      <c r="D455" s="529">
        <f t="shared" si="39"/>
        <v>22</v>
      </c>
      <c r="E455" s="467">
        <f t="shared" si="36"/>
        <v>4</v>
      </c>
      <c r="F455" s="539">
        <f t="shared" si="37"/>
        <v>5</v>
      </c>
      <c r="G455" s="495"/>
      <c r="H455" s="493">
        <f t="shared" si="38"/>
        <v>22</v>
      </c>
      <c r="I455" s="489"/>
    </row>
    <row r="456" spans="2:9">
      <c r="B456" s="485">
        <v>57954</v>
      </c>
      <c r="C456" s="486">
        <f t="shared" si="35"/>
        <v>30</v>
      </c>
      <c r="D456" s="529">
        <f t="shared" si="39"/>
        <v>21</v>
      </c>
      <c r="E456" s="467">
        <f t="shared" si="36"/>
        <v>5</v>
      </c>
      <c r="F456" s="539">
        <f t="shared" si="37"/>
        <v>4</v>
      </c>
      <c r="G456" s="495"/>
      <c r="H456" s="493">
        <f t="shared" si="38"/>
        <v>21</v>
      </c>
      <c r="I456" s="489"/>
    </row>
    <row r="457" spans="2:9">
      <c r="B457" s="485">
        <v>57984</v>
      </c>
      <c r="C457" s="486">
        <f t="shared" si="35"/>
        <v>31</v>
      </c>
      <c r="D457" s="529">
        <f t="shared" si="39"/>
        <v>23</v>
      </c>
      <c r="E457" s="467">
        <f t="shared" si="36"/>
        <v>4</v>
      </c>
      <c r="F457" s="539">
        <f t="shared" si="37"/>
        <v>4</v>
      </c>
      <c r="G457" s="495"/>
      <c r="H457" s="493">
        <f t="shared" si="38"/>
        <v>23</v>
      </c>
      <c r="I457" s="489"/>
    </row>
    <row r="458" spans="2:9">
      <c r="B458" s="485">
        <v>58015</v>
      </c>
      <c r="C458" s="486">
        <f t="shared" si="35"/>
        <v>30</v>
      </c>
      <c r="D458" s="529">
        <f t="shared" si="39"/>
        <v>21</v>
      </c>
      <c r="E458" s="467">
        <f t="shared" si="36"/>
        <v>4</v>
      </c>
      <c r="F458" s="539">
        <f t="shared" si="37"/>
        <v>5</v>
      </c>
      <c r="G458" s="495"/>
      <c r="H458" s="493">
        <f t="shared" si="38"/>
        <v>21</v>
      </c>
      <c r="I458" s="489"/>
    </row>
    <row r="459" spans="2:9" ht="17.25" thickBot="1">
      <c r="B459" s="485">
        <v>58045</v>
      </c>
      <c r="C459" s="486">
        <f t="shared" si="35"/>
        <v>31</v>
      </c>
      <c r="D459" s="529">
        <f t="shared" si="39"/>
        <v>22</v>
      </c>
      <c r="E459" s="467">
        <f t="shared" si="36"/>
        <v>5</v>
      </c>
      <c r="F459" s="539">
        <f t="shared" si="37"/>
        <v>4</v>
      </c>
      <c r="G459" s="496"/>
      <c r="H459" s="493">
        <f t="shared" si="38"/>
        <v>22</v>
      </c>
      <c r="I459" s="489"/>
    </row>
  </sheetData>
  <phoneticPr fontId="2" type="noConversion"/>
  <hyperlinks>
    <hyperlink ref="M21" r:id="rId1" xr:uid="{94600D6F-DCF6-43E3-B8C7-01226DC386D5}"/>
    <hyperlink ref="M3" r:id="rId2" xr:uid="{9FD4EBD8-BCC5-455A-A84F-317092EE6FC1}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7F9CA-34BF-4347-9B2A-F8DD283ED321}">
  <sheetPr codeName="Sheet8"/>
  <dimension ref="A2:S203"/>
  <sheetViews>
    <sheetView showGridLines="0" topLeftCell="A4" workbookViewId="0">
      <selection activeCell="K22" sqref="K22"/>
    </sheetView>
  </sheetViews>
  <sheetFormatPr defaultRowHeight="16.5"/>
  <cols>
    <col min="2" max="2" width="2.875" customWidth="1"/>
    <col min="3" max="3" width="8.5" customWidth="1"/>
    <col min="4" max="4" width="15" customWidth="1"/>
    <col min="5" max="13" width="12.5" customWidth="1"/>
    <col min="16" max="16" width="10.375" customWidth="1"/>
    <col min="17" max="17" width="11.375" customWidth="1"/>
  </cols>
  <sheetData>
    <row r="2" spans="2:13">
      <c r="B2" s="15" t="s">
        <v>135</v>
      </c>
      <c r="G2" s="15" t="s">
        <v>1010</v>
      </c>
      <c r="J2" s="15" t="s">
        <v>1743</v>
      </c>
    </row>
    <row r="4" spans="2:13" ht="20.25">
      <c r="B4" s="242" t="s">
        <v>136</v>
      </c>
      <c r="C4" s="243"/>
      <c r="D4" s="243"/>
      <c r="E4" s="243"/>
      <c r="G4" s="15" t="s">
        <v>1013</v>
      </c>
    </row>
    <row r="5" spans="2:13">
      <c r="M5" t="s">
        <v>1820</v>
      </c>
    </row>
    <row r="7" spans="2:13">
      <c r="B7" s="263" t="s">
        <v>1821</v>
      </c>
    </row>
    <row r="8" spans="2:13">
      <c r="B8" t="s">
        <v>1822</v>
      </c>
    </row>
    <row r="10" spans="2:13">
      <c r="B10" t="s">
        <v>1823</v>
      </c>
    </row>
    <row r="11" spans="2:13">
      <c r="B11" t="s">
        <v>1824</v>
      </c>
    </row>
    <row r="12" spans="2:13">
      <c r="B12" t="s">
        <v>1825</v>
      </c>
    </row>
    <row r="13" spans="2:13">
      <c r="B13" t="s">
        <v>1826</v>
      </c>
    </row>
    <row r="16" spans="2:13">
      <c r="B16" s="263" t="s">
        <v>1832</v>
      </c>
    </row>
    <row r="17" spans="1:13">
      <c r="B17" t="s">
        <v>1827</v>
      </c>
    </row>
    <row r="19" spans="1:13">
      <c r="B19" t="s">
        <v>1828</v>
      </c>
    </row>
    <row r="20" spans="1:13">
      <c r="B20" t="s">
        <v>1829</v>
      </c>
    </row>
    <row r="21" spans="1:13">
      <c r="B21" t="s">
        <v>1830</v>
      </c>
    </row>
    <row r="22" spans="1:13">
      <c r="B22" t="s">
        <v>1831</v>
      </c>
    </row>
    <row r="25" spans="1:13">
      <c r="A25" s="27" t="s">
        <v>1816</v>
      </c>
    </row>
    <row r="26" spans="1:13">
      <c r="A26" s="27" t="s">
        <v>1817</v>
      </c>
      <c r="M26" t="s">
        <v>1819</v>
      </c>
    </row>
    <row r="27" spans="1:13">
      <c r="A27" t="s">
        <v>1818</v>
      </c>
    </row>
    <row r="29" spans="1:13" ht="17.25" thickBot="1">
      <c r="D29" s="582" t="s">
        <v>1758</v>
      </c>
      <c r="E29" s="582">
        <v>2019</v>
      </c>
      <c r="F29" s="582">
        <v>2020</v>
      </c>
      <c r="G29" s="582">
        <v>2021</v>
      </c>
      <c r="H29" s="582">
        <v>2022</v>
      </c>
      <c r="I29" s="515">
        <v>2023</v>
      </c>
      <c r="J29" s="515">
        <v>2024</v>
      </c>
      <c r="K29" s="515">
        <v>2025</v>
      </c>
      <c r="L29" s="515">
        <v>2026</v>
      </c>
    </row>
    <row r="30" spans="1:13" ht="17.25" thickBot="1">
      <c r="D30" s="66" t="s">
        <v>1783</v>
      </c>
      <c r="E30" s="285">
        <v>8350</v>
      </c>
      <c r="F30" s="285">
        <v>8590</v>
      </c>
      <c r="G30" s="285">
        <v>8720</v>
      </c>
      <c r="H30" s="610">
        <v>9160</v>
      </c>
      <c r="I30" s="612"/>
      <c r="J30" s="613"/>
      <c r="K30" s="613"/>
      <c r="L30" s="614"/>
    </row>
    <row r="31" spans="1:13">
      <c r="C31" s="592">
        <v>209</v>
      </c>
      <c r="D31" s="66" t="s">
        <v>1785</v>
      </c>
      <c r="E31" s="594">
        <f>E30*$C$31</f>
        <v>1745150</v>
      </c>
      <c r="F31" s="594">
        <f t="shared" ref="F31:L31" si="0">F30*$C$31</f>
        <v>1795310</v>
      </c>
      <c r="G31" s="594">
        <f t="shared" si="0"/>
        <v>1822480</v>
      </c>
      <c r="H31" s="594">
        <f t="shared" si="0"/>
        <v>1914440</v>
      </c>
      <c r="I31" s="611">
        <f t="shared" si="0"/>
        <v>0</v>
      </c>
      <c r="J31" s="611">
        <f t="shared" si="0"/>
        <v>0</v>
      </c>
      <c r="K31" s="611">
        <f t="shared" si="0"/>
        <v>0</v>
      </c>
      <c r="L31" s="611">
        <f t="shared" si="0"/>
        <v>0</v>
      </c>
    </row>
    <row r="32" spans="1:13">
      <c r="C32" s="593">
        <v>8</v>
      </c>
      <c r="D32" s="66" t="s">
        <v>1784</v>
      </c>
      <c r="E32" s="594">
        <f>E30*$C$32</f>
        <v>66800</v>
      </c>
      <c r="F32" s="594">
        <f t="shared" ref="F32:L32" si="1">F30*$C$32</f>
        <v>68720</v>
      </c>
      <c r="G32" s="594">
        <f t="shared" si="1"/>
        <v>69760</v>
      </c>
      <c r="H32" s="594">
        <f t="shared" si="1"/>
        <v>73280</v>
      </c>
      <c r="I32" s="594">
        <f t="shared" si="1"/>
        <v>0</v>
      </c>
      <c r="J32" s="594">
        <f t="shared" si="1"/>
        <v>0</v>
      </c>
      <c r="K32" s="594">
        <f t="shared" si="1"/>
        <v>0</v>
      </c>
      <c r="L32" s="594">
        <f t="shared" si="1"/>
        <v>0</v>
      </c>
    </row>
    <row r="34" spans="3:17">
      <c r="D34" s="66" t="s">
        <v>1786</v>
      </c>
      <c r="E34" s="595">
        <v>0.25</v>
      </c>
      <c r="F34" s="595">
        <v>0.2</v>
      </c>
      <c r="G34" s="595">
        <v>0.15</v>
      </c>
      <c r="H34" s="597">
        <v>0.1</v>
      </c>
      <c r="I34" s="597">
        <v>0.05</v>
      </c>
      <c r="J34" s="595">
        <v>0</v>
      </c>
      <c r="K34" s="595">
        <v>0</v>
      </c>
      <c r="L34" s="595">
        <v>0</v>
      </c>
    </row>
    <row r="35" spans="3:17">
      <c r="D35" s="66" t="s">
        <v>1787</v>
      </c>
      <c r="E35" s="595">
        <v>7.0000000000000007E-2</v>
      </c>
      <c r="F35" s="595">
        <v>0.05</v>
      </c>
      <c r="G35" s="595">
        <v>0.03</v>
      </c>
      <c r="H35" s="597">
        <v>0.02</v>
      </c>
      <c r="I35" s="597">
        <v>0.01</v>
      </c>
      <c r="J35" s="595">
        <v>0</v>
      </c>
      <c r="K35" s="595">
        <v>0</v>
      </c>
      <c r="L35" s="595">
        <v>0</v>
      </c>
    </row>
    <row r="37" spans="3:17">
      <c r="C37" s="592">
        <v>209</v>
      </c>
      <c r="D37" s="66" t="s">
        <v>1786</v>
      </c>
      <c r="E37" s="596">
        <f>ROUND(E$31*E34,0)</f>
        <v>436288</v>
      </c>
      <c r="F37" s="596">
        <f t="shared" ref="F37:L37" si="2">ROUND(F$31*F34,0)</f>
        <v>359062</v>
      </c>
      <c r="G37" s="596">
        <f t="shared" si="2"/>
        <v>273372</v>
      </c>
      <c r="H37" s="596">
        <f t="shared" si="2"/>
        <v>191444</v>
      </c>
      <c r="I37" s="596">
        <f t="shared" si="2"/>
        <v>0</v>
      </c>
      <c r="J37" s="596">
        <f t="shared" si="2"/>
        <v>0</v>
      </c>
      <c r="K37" s="596">
        <f t="shared" si="2"/>
        <v>0</v>
      </c>
      <c r="L37" s="596">
        <f t="shared" si="2"/>
        <v>0</v>
      </c>
    </row>
    <row r="38" spans="3:17">
      <c r="D38" s="66" t="s">
        <v>1787</v>
      </c>
      <c r="E38" s="596">
        <f>ROUND(E$31*E35,0)</f>
        <v>122161</v>
      </c>
      <c r="F38" s="596">
        <f t="shared" ref="F38:L38" si="3">ROUND(F$31*F35,0)</f>
        <v>89766</v>
      </c>
      <c r="G38" s="596">
        <f t="shared" si="3"/>
        <v>54674</v>
      </c>
      <c r="H38" s="596">
        <f t="shared" si="3"/>
        <v>38289</v>
      </c>
      <c r="I38" s="596">
        <f t="shared" si="3"/>
        <v>0</v>
      </c>
      <c r="J38" s="596">
        <f t="shared" si="3"/>
        <v>0</v>
      </c>
      <c r="K38" s="596">
        <f t="shared" si="3"/>
        <v>0</v>
      </c>
      <c r="L38" s="596">
        <f t="shared" si="3"/>
        <v>0</v>
      </c>
    </row>
    <row r="39" spans="3:17" ht="17.25" thickBot="1">
      <c r="C39" s="592">
        <v>209</v>
      </c>
    </row>
    <row r="40" spans="3:17">
      <c r="C40" s="22" t="s">
        <v>1792</v>
      </c>
      <c r="D40" s="603" t="s">
        <v>1786</v>
      </c>
      <c r="E40" s="604">
        <v>200000</v>
      </c>
      <c r="F40" s="605">
        <f>E40</f>
        <v>200000</v>
      </c>
      <c r="G40" s="605">
        <f>E40</f>
        <v>200000</v>
      </c>
      <c r="H40" s="605">
        <f>E40</f>
        <v>200000</v>
      </c>
      <c r="I40" s="605">
        <f>E40</f>
        <v>200000</v>
      </c>
      <c r="J40" s="605">
        <f>E40</f>
        <v>200000</v>
      </c>
      <c r="K40" s="605">
        <f>E40</f>
        <v>200000</v>
      </c>
      <c r="L40" s="606">
        <f>E40</f>
        <v>200000</v>
      </c>
    </row>
    <row r="41" spans="3:17" ht="17.25" thickBot="1">
      <c r="C41" s="22" t="s">
        <v>1792</v>
      </c>
      <c r="D41" s="603" t="s">
        <v>1787</v>
      </c>
      <c r="E41" s="607">
        <v>100000</v>
      </c>
      <c r="F41" s="608">
        <f>E41</f>
        <v>100000</v>
      </c>
      <c r="G41" s="608">
        <f>E41</f>
        <v>100000</v>
      </c>
      <c r="H41" s="608">
        <f>E41</f>
        <v>100000</v>
      </c>
      <c r="I41" s="608">
        <f>E41</f>
        <v>100000</v>
      </c>
      <c r="J41" s="608">
        <f>E41</f>
        <v>100000</v>
      </c>
      <c r="K41" s="608">
        <f>E41</f>
        <v>100000</v>
      </c>
      <c r="L41" s="609">
        <f>E41</f>
        <v>100000</v>
      </c>
    </row>
    <row r="42" spans="3:17">
      <c r="C42" s="592">
        <v>209</v>
      </c>
    </row>
    <row r="43" spans="3:17">
      <c r="C43" s="22" t="s">
        <v>1788</v>
      </c>
      <c r="D43" s="66" t="s">
        <v>1786</v>
      </c>
      <c r="E43" s="599">
        <f>E40-E46</f>
        <v>200000</v>
      </c>
      <c r="F43" s="599">
        <f t="shared" ref="F43:L43" si="4">F40-F46</f>
        <v>200000</v>
      </c>
      <c r="G43" s="599">
        <f t="shared" si="4"/>
        <v>200000</v>
      </c>
      <c r="H43" s="599">
        <f t="shared" si="4"/>
        <v>191444</v>
      </c>
      <c r="I43" s="601"/>
      <c r="J43" s="599">
        <f t="shared" si="4"/>
        <v>0</v>
      </c>
      <c r="K43" s="599">
        <f t="shared" si="4"/>
        <v>0</v>
      </c>
      <c r="L43" s="599">
        <f t="shared" si="4"/>
        <v>0</v>
      </c>
      <c r="O43" s="584" t="s">
        <v>1793</v>
      </c>
      <c r="P43" s="584" t="s">
        <v>1794</v>
      </c>
      <c r="Q43" s="584" t="s">
        <v>1795</v>
      </c>
    </row>
    <row r="44" spans="3:17">
      <c r="D44" s="66" t="s">
        <v>1787</v>
      </c>
      <c r="E44" s="599">
        <f>E41-E47</f>
        <v>100000</v>
      </c>
      <c r="F44" s="599">
        <f t="shared" ref="F44:L44" si="5">F41-F47</f>
        <v>89766</v>
      </c>
      <c r="G44" s="599">
        <f t="shared" si="5"/>
        <v>54674</v>
      </c>
      <c r="H44" s="599">
        <f t="shared" si="5"/>
        <v>38289</v>
      </c>
      <c r="I44" s="601"/>
      <c r="J44" s="599">
        <f t="shared" si="5"/>
        <v>0</v>
      </c>
      <c r="K44" s="599">
        <f t="shared" si="5"/>
        <v>0</v>
      </c>
      <c r="L44" s="599">
        <f t="shared" si="5"/>
        <v>0</v>
      </c>
      <c r="O44" s="584">
        <v>2019</v>
      </c>
      <c r="P44" s="618">
        <f>E37</f>
        <v>436288</v>
      </c>
      <c r="Q44" s="618">
        <f>E38</f>
        <v>122161</v>
      </c>
    </row>
    <row r="45" spans="3:17">
      <c r="C45" s="592">
        <v>209</v>
      </c>
      <c r="D45" s="150"/>
      <c r="E45" s="598"/>
      <c r="F45" s="598"/>
      <c r="G45" s="598"/>
      <c r="H45" s="598"/>
      <c r="I45" s="598"/>
      <c r="J45" s="598"/>
      <c r="K45" s="598"/>
      <c r="L45" s="598"/>
      <c r="O45" s="584">
        <v>2020</v>
      </c>
      <c r="P45" s="618">
        <f>F37</f>
        <v>359062</v>
      </c>
      <c r="Q45" s="618">
        <f>F38</f>
        <v>89766</v>
      </c>
    </row>
    <row r="46" spans="3:17">
      <c r="C46" s="22" t="s">
        <v>1789</v>
      </c>
      <c r="D46" s="66" t="s">
        <v>1786</v>
      </c>
      <c r="E46" s="600">
        <f>MAX(E40-E37,0)</f>
        <v>0</v>
      </c>
      <c r="F46" s="600">
        <f t="shared" ref="F46:L46" si="6">MAX(F40-F37,0)</f>
        <v>0</v>
      </c>
      <c r="G46" s="600">
        <f t="shared" si="6"/>
        <v>0</v>
      </c>
      <c r="H46" s="600">
        <f t="shared" si="6"/>
        <v>8556</v>
      </c>
      <c r="I46" s="602"/>
      <c r="J46" s="600">
        <f t="shared" si="6"/>
        <v>200000</v>
      </c>
      <c r="K46" s="600">
        <f t="shared" si="6"/>
        <v>200000</v>
      </c>
      <c r="L46" s="600">
        <f t="shared" si="6"/>
        <v>200000</v>
      </c>
      <c r="O46" s="584">
        <v>2021</v>
      </c>
      <c r="P46" s="618">
        <f>G37</f>
        <v>273372</v>
      </c>
      <c r="Q46" s="618">
        <f>G38</f>
        <v>54674</v>
      </c>
    </row>
    <row r="47" spans="3:17">
      <c r="D47" s="66" t="s">
        <v>1787</v>
      </c>
      <c r="E47" s="600">
        <f>MAX(E41-E38,0)</f>
        <v>0</v>
      </c>
      <c r="F47" s="600">
        <f t="shared" ref="F47:L47" si="7">MAX(F41-F38,0)</f>
        <v>10234</v>
      </c>
      <c r="G47" s="600">
        <f t="shared" si="7"/>
        <v>45326</v>
      </c>
      <c r="H47" s="600">
        <f t="shared" si="7"/>
        <v>61711</v>
      </c>
      <c r="I47" s="602"/>
      <c r="J47" s="600">
        <f t="shared" si="7"/>
        <v>100000</v>
      </c>
      <c r="K47" s="600">
        <f t="shared" si="7"/>
        <v>100000</v>
      </c>
      <c r="L47" s="600">
        <f t="shared" si="7"/>
        <v>100000</v>
      </c>
      <c r="O47" s="584">
        <v>2022</v>
      </c>
      <c r="P47" s="618">
        <f>H37</f>
        <v>191444</v>
      </c>
      <c r="Q47" s="618">
        <f>H38</f>
        <v>38289</v>
      </c>
    </row>
    <row r="48" spans="3:17">
      <c r="D48" s="150"/>
      <c r="E48" s="598"/>
      <c r="F48" s="598"/>
      <c r="G48" s="598"/>
      <c r="H48" s="598"/>
      <c r="I48" s="598"/>
      <c r="J48" s="598"/>
      <c r="K48" s="598"/>
      <c r="L48" s="598"/>
      <c r="O48" s="584">
        <v>2023</v>
      </c>
      <c r="P48" s="618"/>
      <c r="Q48" s="618"/>
    </row>
    <row r="49" spans="1:17">
      <c r="D49" s="150"/>
      <c r="E49" s="598"/>
      <c r="F49" s="598"/>
      <c r="G49" s="598"/>
      <c r="H49" s="598"/>
      <c r="I49" s="598"/>
      <c r="J49" s="598"/>
      <c r="K49" s="598"/>
      <c r="L49" s="598"/>
      <c r="O49" s="584">
        <v>2024</v>
      </c>
      <c r="P49" s="618">
        <v>0</v>
      </c>
      <c r="Q49" s="618">
        <v>0</v>
      </c>
    </row>
    <row r="51" spans="1:17" ht="26.25">
      <c r="A51" s="265" t="s">
        <v>1117</v>
      </c>
    </row>
    <row r="52" spans="1:17">
      <c r="A52" t="s">
        <v>1753</v>
      </c>
      <c r="O52" s="15" t="s">
        <v>1536</v>
      </c>
    </row>
    <row r="53" spans="1:17">
      <c r="A53" t="s">
        <v>1754</v>
      </c>
      <c r="O53" t="s">
        <v>1537</v>
      </c>
    </row>
    <row r="54" spans="1:17">
      <c r="A54" t="s">
        <v>1755</v>
      </c>
    </row>
    <row r="55" spans="1:17">
      <c r="A55" t="s">
        <v>1756</v>
      </c>
      <c r="O55" s="15" t="s">
        <v>1538</v>
      </c>
    </row>
    <row r="56" spans="1:17">
      <c r="A56" t="s">
        <v>1757</v>
      </c>
      <c r="O56" t="s">
        <v>1539</v>
      </c>
    </row>
    <row r="57" spans="1:17">
      <c r="O57" t="s">
        <v>1540</v>
      </c>
    </row>
    <row r="58" spans="1:17">
      <c r="A58" t="s">
        <v>1766</v>
      </c>
    </row>
    <row r="59" spans="1:17">
      <c r="A59" t="s">
        <v>1758</v>
      </c>
      <c r="D59" t="s">
        <v>1763</v>
      </c>
      <c r="E59" t="s">
        <v>1764</v>
      </c>
      <c r="H59" s="591" t="s">
        <v>1768</v>
      </c>
      <c r="O59" s="27" t="s">
        <v>1541</v>
      </c>
    </row>
    <row r="60" spans="1:17">
      <c r="A60" t="s">
        <v>1759</v>
      </c>
      <c r="D60" s="587">
        <v>1900000</v>
      </c>
      <c r="E60" s="587">
        <f>D60</f>
        <v>1900000</v>
      </c>
      <c r="O60" t="s">
        <v>1542</v>
      </c>
    </row>
    <row r="61" spans="1:17">
      <c r="A61" t="s">
        <v>1760</v>
      </c>
      <c r="D61" s="587">
        <v>100000</v>
      </c>
      <c r="E61" s="587">
        <f>MAX(D61-H61,0)</f>
        <v>0</v>
      </c>
      <c r="H61" s="590">
        <v>191444</v>
      </c>
      <c r="O61" t="s">
        <v>1545</v>
      </c>
    </row>
    <row r="62" spans="1:17">
      <c r="A62" t="s">
        <v>1761</v>
      </c>
      <c r="D62" s="587">
        <v>100000</v>
      </c>
      <c r="E62" s="587">
        <f>MAX(D62-H62,0)</f>
        <v>61711</v>
      </c>
      <c r="H62" s="590">
        <v>38289</v>
      </c>
    </row>
    <row r="63" spans="1:17">
      <c r="A63" t="s">
        <v>1762</v>
      </c>
      <c r="D63" s="588">
        <f>SUM(D60:D62)</f>
        <v>2100000</v>
      </c>
      <c r="E63" s="588">
        <f>SUM(E60:E62)</f>
        <v>1961711</v>
      </c>
      <c r="O63" s="27" t="s">
        <v>1543</v>
      </c>
    </row>
    <row r="64" spans="1:17">
      <c r="E64" s="586">
        <v>209</v>
      </c>
      <c r="O64" t="s">
        <v>1544</v>
      </c>
    </row>
    <row r="65" spans="1:19">
      <c r="E65" s="589">
        <f>ROUND(E63/E64,0)</f>
        <v>9386</v>
      </c>
      <c r="F65" t="s">
        <v>1765</v>
      </c>
      <c r="O65" t="s">
        <v>1744</v>
      </c>
    </row>
    <row r="68" spans="1:19">
      <c r="A68" t="s">
        <v>1766</v>
      </c>
      <c r="O68" t="s">
        <v>1546</v>
      </c>
    </row>
    <row r="69" spans="1:19">
      <c r="A69" t="s">
        <v>1758</v>
      </c>
      <c r="D69" t="s">
        <v>1763</v>
      </c>
      <c r="E69" t="s">
        <v>1764</v>
      </c>
      <c r="H69" s="591" t="s">
        <v>1768</v>
      </c>
      <c r="O69" t="s">
        <v>1547</v>
      </c>
    </row>
    <row r="70" spans="1:19">
      <c r="A70" t="s">
        <v>1759</v>
      </c>
      <c r="D70" s="587">
        <v>1700000</v>
      </c>
      <c r="E70" s="587">
        <f>D70</f>
        <v>1700000</v>
      </c>
    </row>
    <row r="71" spans="1:19">
      <c r="A71" t="s">
        <v>1760</v>
      </c>
      <c r="D71" s="587">
        <v>300000</v>
      </c>
      <c r="E71" s="587">
        <f>MAX(D71-H71,0)</f>
        <v>108556</v>
      </c>
      <c r="H71" s="590">
        <v>191444</v>
      </c>
      <c r="O71" t="s">
        <v>1548</v>
      </c>
      <c r="P71" t="s">
        <v>1549</v>
      </c>
    </row>
    <row r="72" spans="1:19">
      <c r="A72" t="s">
        <v>1761</v>
      </c>
      <c r="D72" s="587">
        <v>100000</v>
      </c>
      <c r="E72" s="587">
        <f>MAX(D72-H72,0)</f>
        <v>61711</v>
      </c>
      <c r="H72" s="590">
        <v>38289</v>
      </c>
      <c r="O72" t="s">
        <v>1550</v>
      </c>
      <c r="P72" t="s">
        <v>1554</v>
      </c>
      <c r="S72" s="36" t="s">
        <v>1558</v>
      </c>
    </row>
    <row r="73" spans="1:19">
      <c r="A73" t="s">
        <v>1762</v>
      </c>
      <c r="D73" s="588">
        <f>SUM(D70:D72)</f>
        <v>2100000</v>
      </c>
      <c r="E73" s="588">
        <f>SUM(E70:E72)</f>
        <v>1870267</v>
      </c>
      <c r="O73" t="s">
        <v>1551</v>
      </c>
      <c r="P73" t="s">
        <v>1555</v>
      </c>
    </row>
    <row r="74" spans="1:19">
      <c r="E74" s="586">
        <v>209</v>
      </c>
      <c r="O74" t="s">
        <v>1552</v>
      </c>
      <c r="P74" t="s">
        <v>1556</v>
      </c>
    </row>
    <row r="75" spans="1:19">
      <c r="E75" s="589">
        <f>ROUND(E73/E74,0)</f>
        <v>8949</v>
      </c>
      <c r="F75" t="s">
        <v>1767</v>
      </c>
      <c r="O75" t="s">
        <v>1553</v>
      </c>
      <c r="P75" t="s">
        <v>1557</v>
      </c>
    </row>
    <row r="77" spans="1:19">
      <c r="O77" t="s">
        <v>1559</v>
      </c>
    </row>
    <row r="78" spans="1:19">
      <c r="O78" t="s">
        <v>1560</v>
      </c>
    </row>
    <row r="79" spans="1:19">
      <c r="O79" t="s">
        <v>1561</v>
      </c>
    </row>
    <row r="81" spans="2:15">
      <c r="O81" t="s">
        <v>1562</v>
      </c>
    </row>
    <row r="83" spans="2:15">
      <c r="O83" t="s">
        <v>1563</v>
      </c>
    </row>
    <row r="84" spans="2:15">
      <c r="O84" t="s">
        <v>1564</v>
      </c>
    </row>
    <row r="85" spans="2:15">
      <c r="O85" t="s">
        <v>1565</v>
      </c>
    </row>
    <row r="95" spans="2:15" ht="20.25">
      <c r="B95" s="34" t="s">
        <v>93</v>
      </c>
    </row>
    <row r="97" spans="2:2" ht="17.25">
      <c r="B97" s="33" t="s">
        <v>138</v>
      </c>
    </row>
    <row r="98" spans="2:2">
      <c r="B98" t="s">
        <v>94</v>
      </c>
    </row>
    <row r="102" spans="2:2" ht="17.25">
      <c r="B102" s="33" t="s">
        <v>95</v>
      </c>
    </row>
    <row r="103" spans="2:2">
      <c r="B103" t="s">
        <v>96</v>
      </c>
    </row>
    <row r="104" spans="2:2">
      <c r="B104" t="s">
        <v>97</v>
      </c>
    </row>
    <row r="106" spans="2:2">
      <c r="B106" t="s">
        <v>98</v>
      </c>
    </row>
    <row r="108" spans="2:2">
      <c r="B108" t="s">
        <v>100</v>
      </c>
    </row>
    <row r="109" spans="2:2">
      <c r="B109" s="30" t="s">
        <v>99</v>
      </c>
    </row>
    <row r="111" spans="2:2">
      <c r="B111" t="s">
        <v>101</v>
      </c>
    </row>
    <row r="114" spans="2:2" ht="17.25">
      <c r="B114" s="33" t="s">
        <v>102</v>
      </c>
    </row>
    <row r="116" spans="2:2">
      <c r="B116" t="s">
        <v>103</v>
      </c>
    </row>
    <row r="118" spans="2:2">
      <c r="B118" t="s">
        <v>104</v>
      </c>
    </row>
    <row r="119" spans="2:2">
      <c r="B119" t="s">
        <v>105</v>
      </c>
    </row>
    <row r="120" spans="2:2">
      <c r="B120" t="s">
        <v>106</v>
      </c>
    </row>
    <row r="122" spans="2:2">
      <c r="B122" t="s">
        <v>109</v>
      </c>
    </row>
    <row r="124" spans="2:2">
      <c r="B124" t="s">
        <v>107</v>
      </c>
    </row>
    <row r="126" spans="2:2">
      <c r="B126" t="s">
        <v>108</v>
      </c>
    </row>
    <row r="129" spans="2:4" ht="17.25">
      <c r="B129" s="33" t="s">
        <v>110</v>
      </c>
    </row>
    <row r="131" spans="2:4">
      <c r="B131" t="s">
        <v>111</v>
      </c>
    </row>
    <row r="133" spans="2:4">
      <c r="B133" t="s">
        <v>112</v>
      </c>
    </row>
    <row r="135" spans="2:4">
      <c r="B135" t="s">
        <v>113</v>
      </c>
    </row>
    <row r="137" spans="2:4">
      <c r="B137" s="29" t="s">
        <v>114</v>
      </c>
    </row>
    <row r="139" spans="2:4">
      <c r="C139" s="31" t="s">
        <v>115</v>
      </c>
    </row>
    <row r="141" spans="2:4">
      <c r="C141" t="s">
        <v>116</v>
      </c>
    </row>
    <row r="143" spans="2:4">
      <c r="D143" t="s">
        <v>117</v>
      </c>
    </row>
    <row r="144" spans="2:4">
      <c r="D144" t="s">
        <v>118</v>
      </c>
    </row>
    <row r="146" spans="2:4">
      <c r="C146" s="32" t="s">
        <v>1790</v>
      </c>
    </row>
    <row r="148" spans="2:4">
      <c r="C148" s="32" t="s">
        <v>119</v>
      </c>
    </row>
    <row r="150" spans="2:4">
      <c r="D150" t="s">
        <v>120</v>
      </c>
    </row>
    <row r="152" spans="2:4">
      <c r="D152" t="s">
        <v>1791</v>
      </c>
    </row>
    <row r="154" spans="2:4">
      <c r="B154" t="s">
        <v>121</v>
      </c>
    </row>
    <row r="155" spans="2:4">
      <c r="C155" t="s">
        <v>122</v>
      </c>
    </row>
    <row r="157" spans="2:4">
      <c r="B157" t="s">
        <v>126</v>
      </c>
    </row>
    <row r="159" spans="2:4">
      <c r="C159" t="s">
        <v>123</v>
      </c>
    </row>
    <row r="161" spans="2:3">
      <c r="C161" t="s">
        <v>124</v>
      </c>
    </row>
    <row r="163" spans="2:3">
      <c r="B163" t="s">
        <v>125</v>
      </c>
    </row>
    <row r="165" spans="2:3">
      <c r="B165" t="s">
        <v>127</v>
      </c>
    </row>
    <row r="167" spans="2:3">
      <c r="C167" t="s">
        <v>128</v>
      </c>
    </row>
    <row r="169" spans="2:3">
      <c r="C169" t="s">
        <v>129</v>
      </c>
    </row>
    <row r="171" spans="2:3">
      <c r="B171" t="s">
        <v>130</v>
      </c>
    </row>
    <row r="175" spans="2:3" ht="17.25">
      <c r="B175" s="33" t="s">
        <v>131</v>
      </c>
    </row>
    <row r="177" spans="2:3">
      <c r="B177" t="s">
        <v>132</v>
      </c>
    </row>
    <row r="179" spans="2:3">
      <c r="C179" t="s">
        <v>133</v>
      </c>
    </row>
    <row r="181" spans="2:3">
      <c r="C181" t="s">
        <v>134</v>
      </c>
    </row>
    <row r="184" spans="2:3" ht="17.25">
      <c r="B184" s="33" t="s">
        <v>1769</v>
      </c>
    </row>
    <row r="186" spans="2:3">
      <c r="B186" t="s">
        <v>1770</v>
      </c>
    </row>
    <row r="188" spans="2:3">
      <c r="B188" t="s">
        <v>1771</v>
      </c>
    </row>
    <row r="189" spans="2:3">
      <c r="B189" s="289" t="s">
        <v>1772</v>
      </c>
    </row>
    <row r="191" spans="2:3">
      <c r="B191" s="18" t="s">
        <v>1773</v>
      </c>
    </row>
    <row r="192" spans="2:3">
      <c r="B192" s="18" t="s">
        <v>1774</v>
      </c>
    </row>
    <row r="193" spans="2:3">
      <c r="B193" s="18" t="s">
        <v>1775</v>
      </c>
    </row>
    <row r="194" spans="2:3">
      <c r="B194" s="18" t="s">
        <v>1776</v>
      </c>
    </row>
    <row r="195" spans="2:3">
      <c r="B195" s="18" t="s">
        <v>1777</v>
      </c>
    </row>
    <row r="197" spans="2:3">
      <c r="B197" s="289" t="s">
        <v>1778</v>
      </c>
      <c r="C197" s="289"/>
    </row>
    <row r="199" spans="2:3">
      <c r="B199" s="18" t="s">
        <v>1779</v>
      </c>
    </row>
    <row r="200" spans="2:3">
      <c r="B200" s="18" t="s">
        <v>1780</v>
      </c>
    </row>
    <row r="201" spans="2:3">
      <c r="B201" s="18" t="s">
        <v>1781</v>
      </c>
    </row>
    <row r="202" spans="2:3">
      <c r="B202" s="18" t="s">
        <v>1782</v>
      </c>
    </row>
    <row r="203" spans="2:3">
      <c r="B203" s="18" t="s">
        <v>1777</v>
      </c>
    </row>
  </sheetData>
  <phoneticPr fontId="2" type="noConversion"/>
  <hyperlinks>
    <hyperlink ref="B2" r:id="rId1" xr:uid="{DD6E1876-5CEC-4660-ADAB-6DAFF69072E6}"/>
    <hyperlink ref="B4" r:id="rId2" xr:uid="{B91258B8-1469-4ABC-BAD8-1E5FFCBD79A5}"/>
    <hyperlink ref="G2" r:id="rId3" xr:uid="{3C18379D-2395-4F42-B88D-B4AD350CDC9A}"/>
    <hyperlink ref="G4" r:id="rId4" xr:uid="{8E3B0536-B32A-4D8F-AA5B-D95FAD9B91FF}"/>
    <hyperlink ref="O55" r:id="rId5" xr:uid="{9902069F-79DB-43F3-8B14-CDFD5136C64C}"/>
    <hyperlink ref="J2" r:id="rId6" xr:uid="{A0EB410F-582F-49B4-8AC7-B5F063FFF01D}"/>
    <hyperlink ref="O52" r:id="rId7" xr:uid="{69893650-5A6A-4910-98C7-021DE0282CD6}"/>
  </hyperlinks>
  <pageMargins left="0.7" right="0.7" top="0.75" bottom="0.75" header="0.3" footer="0.3"/>
  <pageSetup paperSize="9" orientation="portrait" verticalDpi="0" r:id="rId8"/>
  <drawing r:id="rId9"/>
  <legacy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DE964-699B-44AE-BDE0-A637B17B24AB}">
  <dimension ref="B4:J17"/>
  <sheetViews>
    <sheetView workbookViewId="0">
      <selection activeCell="E21" sqref="E21"/>
    </sheetView>
  </sheetViews>
  <sheetFormatPr defaultRowHeight="16.5"/>
  <cols>
    <col min="3" max="3" width="11.125" bestFit="1" customWidth="1"/>
    <col min="4" max="4" width="9.25" bestFit="1" customWidth="1"/>
    <col min="5" max="5" width="11" bestFit="1" customWidth="1"/>
    <col min="6" max="6" width="9.125" bestFit="1" customWidth="1"/>
    <col min="8" max="8" width="9.25" bestFit="1" customWidth="1"/>
  </cols>
  <sheetData>
    <row r="4" spans="2:10">
      <c r="B4" t="s">
        <v>32</v>
      </c>
      <c r="C4" s="236">
        <v>1900000</v>
      </c>
    </row>
    <row r="6" spans="2:10">
      <c r="C6" s="699">
        <v>44440</v>
      </c>
    </row>
    <row r="7" spans="2:10">
      <c r="C7" s="699">
        <f>EOMONTH(C6,0)</f>
        <v>44469</v>
      </c>
    </row>
    <row r="8" spans="2:10">
      <c r="C8" s="700">
        <f>C7-C6+1</f>
        <v>30</v>
      </c>
    </row>
    <row r="10" spans="2:10">
      <c r="B10" t="s">
        <v>1655</v>
      </c>
      <c r="C10" s="699">
        <v>44464</v>
      </c>
    </row>
    <row r="12" spans="2:10">
      <c r="C12">
        <f>C10-C6+1</f>
        <v>25</v>
      </c>
      <c r="E12" s="177">
        <f>C4*C12/C8</f>
        <v>1583333.3333333333</v>
      </c>
    </row>
    <row r="16" spans="2:10">
      <c r="D16" s="236">
        <v>2774940</v>
      </c>
      <c r="E16" s="236">
        <v>100000</v>
      </c>
      <c r="F16" s="236">
        <v>165060</v>
      </c>
      <c r="H16" s="236">
        <f>SUM(D16:G16)</f>
        <v>3040000</v>
      </c>
      <c r="J16" s="236">
        <v>13755</v>
      </c>
    </row>
    <row r="17" spans="4:10">
      <c r="D17" s="236">
        <v>2737112</v>
      </c>
      <c r="E17" s="236">
        <v>100000</v>
      </c>
      <c r="F17" s="236">
        <v>162888</v>
      </c>
      <c r="H17" s="236">
        <f>SUM(D17:G17)</f>
        <v>3000000</v>
      </c>
      <c r="J17" s="236">
        <v>13574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33</vt:i4>
      </vt:variant>
      <vt:variant>
        <vt:lpstr>이름 지정된 범위</vt:lpstr>
      </vt:variant>
      <vt:variant>
        <vt:i4>19</vt:i4>
      </vt:variant>
    </vt:vector>
  </HeadingPairs>
  <TitlesOfParts>
    <vt:vector size="52" baseType="lpstr">
      <vt:lpstr>주민번호체크</vt:lpstr>
      <vt:lpstr>휴게시간</vt:lpstr>
      <vt:lpstr>연차미사용수당</vt:lpstr>
      <vt:lpstr>통상임금</vt:lpstr>
      <vt:lpstr>근로시간=근무시간-휴게시간</vt:lpstr>
      <vt:lpstr>주휴수당</vt:lpstr>
      <vt:lpstr>주휴일 일수</vt:lpstr>
      <vt:lpstr>최저임금</vt:lpstr>
      <vt:lpstr>Sheet1</vt:lpstr>
      <vt:lpstr>임금명세서(연차 원칙 연정산 (회계연도기준 1월지급))</vt:lpstr>
      <vt:lpstr>임금명세서(연차 평균 월 정산 인정여부불투명)</vt:lpstr>
      <vt:lpstr>임금명세서(5인미만) 식당 외국인</vt:lpstr>
      <vt:lpstr>일용근로자 유형</vt:lpstr>
      <vt:lpstr>임금명세서(일당직) (주 15시간미만 초단시간)</vt:lpstr>
      <vt:lpstr>임금명세서(일당직) (일급입력)</vt:lpstr>
      <vt:lpstr>일용직대장(요일)</vt:lpstr>
      <vt:lpstr>임금명세서(일용직)</vt:lpstr>
      <vt:lpstr>임금명세서(시급) (시급입력)</vt:lpstr>
      <vt:lpstr>시급</vt:lpstr>
      <vt:lpstr>임금명세서(시급) (①총근로시간수+②시급입력)</vt:lpstr>
      <vt:lpstr>2021간이세액표</vt:lpstr>
      <vt:lpstr>&lt;-구분-&gt;</vt:lpstr>
      <vt:lpstr>표준근로계약서</vt:lpstr>
      <vt:lpstr>근로자명부</vt:lpstr>
      <vt:lpstr>직원별 임금대장(별지 제17호서식)</vt:lpstr>
      <vt:lpstr>표준근로계약서 (18세 미만)</vt:lpstr>
      <vt:lpstr>건설일용근로자</vt:lpstr>
      <vt:lpstr>단시간근로자</vt:lpstr>
      <vt:lpstr>근로시간</vt:lpstr>
      <vt:lpstr>연장 근로의 제한</vt:lpstr>
      <vt:lpstr>5인미만사업장</vt:lpstr>
      <vt:lpstr>연장·야간 및 휴일 근로</vt:lpstr>
      <vt:lpstr>취업규칙(10인이상)</vt:lpstr>
      <vt:lpstr>건설일용근로자!Print_Area</vt:lpstr>
      <vt:lpstr>근로자명부!Print_Area</vt:lpstr>
      <vt:lpstr>단시간근로자!Print_Area</vt:lpstr>
      <vt:lpstr>시급!Print_Area</vt:lpstr>
      <vt:lpstr>'임금명세서(5인미만) 식당 외국인'!Print_Area</vt:lpstr>
      <vt:lpstr>'임금명세서(시급) (①총근로시간수+②시급입력)'!Print_Area</vt:lpstr>
      <vt:lpstr>'임금명세서(시급) (시급입력)'!Print_Area</vt:lpstr>
      <vt:lpstr>'임금명세서(연차 원칙 연정산 (회계연도기준 1월지급))'!Print_Area</vt:lpstr>
      <vt:lpstr>'임금명세서(연차 평균 월 정산 인정여부불투명)'!Print_Area</vt:lpstr>
      <vt:lpstr>'임금명세서(일당직) (일급입력)'!Print_Area</vt:lpstr>
      <vt:lpstr>'임금명세서(일당직) (주 15시간미만 초단시간)'!Print_Area</vt:lpstr>
      <vt:lpstr>'임금명세서(일용직)'!Print_Area</vt:lpstr>
      <vt:lpstr>'직원별 임금대장(별지 제17호서식)'!Print_Area</vt:lpstr>
      <vt:lpstr>표준근로계약서!Print_Area</vt:lpstr>
      <vt:lpstr>'2021간이세액표'!Print_Titles</vt:lpstr>
      <vt:lpstr>간이세액표2021</vt:lpstr>
      <vt:lpstr>근로세율</vt:lpstr>
      <vt:lpstr>연차</vt:lpstr>
      <vt:lpstr>주40시간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Microsoft</cp:lastModifiedBy>
  <cp:lastPrinted>2021-12-17T05:55:16Z</cp:lastPrinted>
  <dcterms:created xsi:type="dcterms:W3CDTF">2021-10-08T11:51:51Z</dcterms:created>
  <dcterms:modified xsi:type="dcterms:W3CDTF">2022-02-02T19:55:09Z</dcterms:modified>
</cp:coreProperties>
</file>