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문서\"/>
    </mc:Choice>
  </mc:AlternateContent>
  <bookViews>
    <workbookView xWindow="-120" yWindow="-120" windowWidth="29040" windowHeight="15840" tabRatio="758" activeTab="1"/>
  </bookViews>
  <sheets>
    <sheet name="사용 설명서" sheetId="7" r:id="rId1"/>
    <sheet name="물량산출" sheetId="1" r:id="rId2"/>
    <sheet name="크립바" sheetId="2" r:id="rId3"/>
    <sheet name="엠바" sheetId="3" r:id="rId4"/>
    <sheet name="티바" sheetId="4" r:id="rId5"/>
    <sheet name="스판드럴" sheetId="5" r:id="rId6"/>
    <sheet name="천정석고" sheetId="6" r:id="rId7"/>
    <sheet name=" 큐비클" sheetId="8" r:id="rId8"/>
    <sheet name="행거도어" sheetId="9" r:id="rId9"/>
    <sheet name="스터드" sheetId="10" r:id="rId10"/>
    <sheet name="SGP V1.0" sheetId="12" r:id="rId11"/>
    <sheet name="내진 시스템" sheetId="11" r:id="rId12"/>
    <sheet name="예금 적금 이자" sheetId="14" r:id="rId13"/>
    <sheet name="대출 계산기" sheetId="15" r:id="rId14"/>
    <sheet name="경조사" sheetId="16" r:id="rId15"/>
    <sheet name="전화번호부" sheetId="18" r:id="rId16"/>
    <sheet name="참고" sheetId="1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스판드럴!$F$11:$I$34</definedName>
    <definedName name="_xlnm._FilterDatabase" localSheetId="3" hidden="1">엠바!$F$11:$I$34</definedName>
    <definedName name="_xlnm._FilterDatabase" localSheetId="6" hidden="1">천정석고!$F$11:$I$34</definedName>
    <definedName name="_xlnm._FilterDatabase" localSheetId="2" hidden="1">크립바!$F$11:$I$34</definedName>
    <definedName name="_xlnm._FilterDatabase" localSheetId="4" hidden="1">티바!$F$11:$I$34</definedName>
    <definedName name="가로" localSheetId="7">[1]물량산출!$E$4</definedName>
    <definedName name="가로" localSheetId="10">[2]경량물량산출!$E$4</definedName>
    <definedName name="가로" localSheetId="11">[3]물량산출!$E$4</definedName>
    <definedName name="가로" localSheetId="9">[4]경량물량산출!$E$4</definedName>
    <definedName name="가로" localSheetId="12">[5]물량산출!$E$5</definedName>
    <definedName name="가로" localSheetId="15">[6]물량산출!$E$4</definedName>
    <definedName name="가로" localSheetId="8">[4]경량물량산출!$E$4</definedName>
    <definedName name="가로">물량산출!$E$5</definedName>
    <definedName name="가로폭" localSheetId="7">[1]물량산출!$C$8</definedName>
    <definedName name="가로폭" localSheetId="10">[2]경량물량산출!$D$7</definedName>
    <definedName name="가로폭" localSheetId="11">[3]물량산출!$C$8</definedName>
    <definedName name="가로폭" localSheetId="9">[4]경량물량산출!$D$7</definedName>
    <definedName name="가로폭" localSheetId="12">[5]물량산출!$C$9</definedName>
    <definedName name="가로폭" localSheetId="15">[6]물량산출!$C$8</definedName>
    <definedName name="가로폭" localSheetId="8">[4]경량물량산출!$D$7</definedName>
    <definedName name="가로폭">물량산출!$C$9</definedName>
    <definedName name="도어폭" localSheetId="7">#REF!</definedName>
    <definedName name="도어폭" localSheetId="10">#REF!</definedName>
    <definedName name="도어폭" localSheetId="11">#REF!</definedName>
    <definedName name="도어폭" localSheetId="13">#REF!</definedName>
    <definedName name="도어폭" localSheetId="9">#REF!</definedName>
    <definedName name="도어폭" localSheetId="5">#REF!</definedName>
    <definedName name="도어폭" localSheetId="3">#REF!</definedName>
    <definedName name="도어폭" localSheetId="12">#REF!</definedName>
    <definedName name="도어폭" localSheetId="15">#REF!</definedName>
    <definedName name="도어폭" localSheetId="16">#REF!</definedName>
    <definedName name="도어폭" localSheetId="6">#REF!</definedName>
    <definedName name="도어폭" localSheetId="4">#REF!</definedName>
    <definedName name="도어폭" localSheetId="8">#REF!</definedName>
    <definedName name="도어폭">#REF!</definedName>
    <definedName name="로스" localSheetId="7">[1]물량산출!$C$5</definedName>
    <definedName name="로스" localSheetId="10">[2]경량물량산출!$C$5</definedName>
    <definedName name="로스" localSheetId="11">[3]물량산출!$C$5</definedName>
    <definedName name="로스" localSheetId="9">[4]경량물량산출!$C$5</definedName>
    <definedName name="로스" localSheetId="12">[5]물량산출!$C$6</definedName>
    <definedName name="로스" localSheetId="15">[6]물량산출!$C$5</definedName>
    <definedName name="로스" localSheetId="8">[4]경량물량산출!$C$5</definedName>
    <definedName name="로스">물량산출!$C$6</definedName>
    <definedName name="석고1">'[7]SGP물량 (2)'!$C$9</definedName>
    <definedName name="세로" localSheetId="7">[1]물량산출!$E$5</definedName>
    <definedName name="세로" localSheetId="10">[2]경량물량산출!$E$5</definedName>
    <definedName name="세로" localSheetId="11">[3]물량산출!$E$5</definedName>
    <definedName name="세로" localSheetId="9">[4]경량물량산출!$E$5</definedName>
    <definedName name="세로" localSheetId="12">[5]물량산출!$E$6</definedName>
    <definedName name="세로" localSheetId="15">[6]물량산출!$E$5</definedName>
    <definedName name="세로" localSheetId="8">[4]경량물량산출!$E$5</definedName>
    <definedName name="세로">물량산출!$E$6</definedName>
    <definedName name="세로폭" localSheetId="7">[1]물량산출!$E$8</definedName>
    <definedName name="세로폭" localSheetId="10">[2]경량물량산출!$E$7</definedName>
    <definedName name="세로폭" localSheetId="11">[3]물량산출!$E$8</definedName>
    <definedName name="세로폭" localSheetId="9">[4]경량물량산출!$E$7</definedName>
    <definedName name="세로폭" localSheetId="12">[5]물량산출!$E$9</definedName>
    <definedName name="세로폭" localSheetId="15">[6]물량산출!$E$8</definedName>
    <definedName name="세로폭" localSheetId="8">[4]경량물량산출!$E$7</definedName>
    <definedName name="세로폭">물량산출!$E$9</definedName>
    <definedName name="요일">WEEKDAY([8]만년달력!$B$4)</definedName>
    <definedName name="자리">(ROW()-7)*7+COLUMN()-1</definedName>
    <definedName name="크NO" localSheetId="7">[1]물량산출!$E$3</definedName>
    <definedName name="크NO" localSheetId="10">[1]물량산출!$E$3</definedName>
    <definedName name="크NO" localSheetId="11">[3]물량산출!$E$3</definedName>
    <definedName name="크NO" localSheetId="9">[1]물량산출!$E$3</definedName>
    <definedName name="크NO" localSheetId="12">[5]물량산출!$E$4</definedName>
    <definedName name="크NO" localSheetId="15">[6]물량산출!$E$3</definedName>
    <definedName name="크NO" localSheetId="8">[1]물량산출!$E$3</definedName>
    <definedName name="크NO">물량산출!$E$4</definedName>
    <definedName name="크가로">물량산출!$E$5</definedName>
    <definedName name="크가로폭">물량산출!$C$9</definedName>
    <definedName name="크립바모양코드">물량산출!$E$8</definedName>
    <definedName name="크립바색상코드" localSheetId="7">[1]물량산출!$E$6</definedName>
    <definedName name="크립바색상코드" localSheetId="10">[1]물량산출!$E$6</definedName>
    <definedName name="크립바색상코드" localSheetId="11">[3]물량산출!$E$6</definedName>
    <definedName name="크립바색상코드" localSheetId="9">[1]물량산출!$E$6</definedName>
    <definedName name="크립바색상코드" localSheetId="12">[5]물량산출!$E$7</definedName>
    <definedName name="크립바색상코드" localSheetId="15">[6]물량산출!$E$6</definedName>
    <definedName name="크립바색상코드" localSheetId="8">[1]물량산출!$E$6</definedName>
    <definedName name="크립바색상코드">물량산출!$E$7</definedName>
    <definedName name="크모양">물량산출!$E$8</definedName>
    <definedName name="크색상">물량산출!$E$7</definedName>
    <definedName name="크세로">물량산출!$E$6</definedName>
    <definedName name="크세로폭">물량산출!$E$9</definedName>
    <definedName name="크품목코드">물량산출!$E$4</definedName>
    <definedName name="폭1">'[7]SGP물량 (2)'!$C$20</definedName>
    <definedName name="품목코드">물량산출!$E$4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0" l="1"/>
  <c r="Y4" i="10"/>
  <c r="Y18" i="8" l="1"/>
  <c r="Y12" i="8"/>
  <c r="O32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3" i="9"/>
  <c r="O34" i="9"/>
  <c r="O35" i="9"/>
  <c r="O36" i="9"/>
  <c r="O37" i="9"/>
  <c r="O38" i="9"/>
  <c r="O39" i="9"/>
  <c r="O40" i="9"/>
  <c r="O41" i="9"/>
  <c r="O42" i="9"/>
  <c r="O6" i="9"/>
  <c r="O7" i="9"/>
  <c r="O8" i="9"/>
  <c r="O9" i="9"/>
  <c r="J31" i="9"/>
  <c r="J26" i="9"/>
  <c r="J17" i="9"/>
  <c r="J12" i="9"/>
  <c r="E12" i="9"/>
  <c r="E14" i="9"/>
  <c r="E17" i="9"/>
  <c r="E22" i="9"/>
  <c r="E27" i="9"/>
  <c r="E31" i="9"/>
  <c r="E41" i="9"/>
  <c r="E42" i="9"/>
  <c r="J4" i="10"/>
  <c r="T20" i="10"/>
  <c r="W11" i="10" s="1"/>
  <c r="V11" i="10"/>
  <c r="I11" i="10"/>
  <c r="H11" i="10"/>
  <c r="I13" i="10"/>
  <c r="I12" i="10"/>
  <c r="F20" i="10"/>
  <c r="H13" i="10"/>
  <c r="H12" i="10"/>
  <c r="V13" i="10"/>
  <c r="V12" i="10"/>
  <c r="AA12" i="10" s="1"/>
  <c r="AD11" i="10"/>
  <c r="AD9" i="10"/>
  <c r="AD8" i="10"/>
  <c r="AB13" i="10"/>
  <c r="AA13" i="10"/>
  <c r="W7" i="10"/>
  <c r="I7" i="10"/>
  <c r="Y11" i="10"/>
  <c r="X13" i="10"/>
  <c r="Y13" i="10" s="1"/>
  <c r="X12" i="10"/>
  <c r="Y12" i="10" s="1"/>
  <c r="W13" i="10"/>
  <c r="W12" i="10"/>
  <c r="AB12" i="10" s="1"/>
  <c r="J13" i="10"/>
  <c r="K13" i="10" s="1"/>
  <c r="J12" i="10"/>
  <c r="K12" i="10" s="1"/>
  <c r="K11" i="10"/>
  <c r="K14" i="10"/>
  <c r="K15" i="10"/>
  <c r="AC13" i="10" l="1"/>
  <c r="AD13" i="10" s="1"/>
  <c r="AC12" i="10"/>
  <c r="AD12" i="10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10" i="15"/>
  <c r="I3" i="15"/>
  <c r="B9" i="15"/>
  <c r="O5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8" i="14"/>
  <c r="J225" i="16" l="1"/>
  <c r="I225" i="16"/>
  <c r="G225" i="16"/>
  <c r="Y17" i="16"/>
  <c r="X17" i="16"/>
  <c r="Y16" i="16"/>
  <c r="X16" i="16"/>
  <c r="U16" i="16"/>
  <c r="O16" i="16"/>
  <c r="Y15" i="16"/>
  <c r="X15" i="16"/>
  <c r="U15" i="16"/>
  <c r="O15" i="16"/>
  <c r="Y14" i="16"/>
  <c r="X14" i="16"/>
  <c r="U14" i="16"/>
  <c r="U17" i="16" s="1"/>
  <c r="O14" i="16"/>
  <c r="Y13" i="16"/>
  <c r="X13" i="16"/>
  <c r="U13" i="16"/>
  <c r="O13" i="16"/>
  <c r="Y9" i="16"/>
  <c r="X9" i="16"/>
  <c r="Y8" i="16"/>
  <c r="X8" i="16"/>
  <c r="U8" i="16"/>
  <c r="O8" i="16"/>
  <c r="Y7" i="16"/>
  <c r="X7" i="16"/>
  <c r="U7" i="16"/>
  <c r="O7" i="16"/>
  <c r="Y6" i="16"/>
  <c r="X6" i="16"/>
  <c r="U6" i="16"/>
  <c r="U9" i="16" s="1"/>
  <c r="O6" i="16"/>
  <c r="Y5" i="16"/>
  <c r="X5" i="16"/>
  <c r="U5" i="16"/>
  <c r="O5" i="16"/>
  <c r="F249" i="15" l="1"/>
  <c r="I248" i="15"/>
  <c r="H248" i="15"/>
  <c r="G248" i="15"/>
  <c r="E248" i="15"/>
  <c r="D248" i="15"/>
  <c r="I247" i="15"/>
  <c r="H247" i="15"/>
  <c r="G247" i="15"/>
  <c r="E247" i="15"/>
  <c r="D247" i="15"/>
  <c r="I246" i="15"/>
  <c r="H246" i="15"/>
  <c r="G246" i="15"/>
  <c r="E246" i="15"/>
  <c r="D246" i="15"/>
  <c r="I245" i="15"/>
  <c r="H245" i="15"/>
  <c r="G245" i="15"/>
  <c r="E245" i="15"/>
  <c r="D245" i="15"/>
  <c r="I244" i="15"/>
  <c r="H244" i="15"/>
  <c r="G244" i="15"/>
  <c r="E244" i="15"/>
  <c r="D244" i="15"/>
  <c r="I243" i="15"/>
  <c r="H243" i="15"/>
  <c r="G243" i="15"/>
  <c r="E243" i="15"/>
  <c r="D243" i="15"/>
  <c r="I242" i="15"/>
  <c r="H242" i="15"/>
  <c r="G242" i="15"/>
  <c r="E242" i="15"/>
  <c r="D242" i="15"/>
  <c r="I241" i="15"/>
  <c r="H241" i="15"/>
  <c r="G241" i="15"/>
  <c r="E241" i="15"/>
  <c r="D241" i="15"/>
  <c r="I240" i="15"/>
  <c r="H240" i="15"/>
  <c r="G240" i="15"/>
  <c r="E240" i="15"/>
  <c r="D240" i="15"/>
  <c r="I239" i="15"/>
  <c r="H239" i="15"/>
  <c r="G239" i="15"/>
  <c r="E239" i="15"/>
  <c r="D239" i="15"/>
  <c r="I238" i="15"/>
  <c r="H238" i="15"/>
  <c r="G238" i="15"/>
  <c r="E238" i="15"/>
  <c r="D238" i="15"/>
  <c r="I237" i="15"/>
  <c r="H237" i="15"/>
  <c r="G237" i="15"/>
  <c r="E237" i="15"/>
  <c r="D237" i="15"/>
  <c r="I236" i="15"/>
  <c r="H236" i="15"/>
  <c r="G236" i="15"/>
  <c r="E236" i="15"/>
  <c r="D236" i="15"/>
  <c r="I235" i="15"/>
  <c r="H235" i="15"/>
  <c r="G235" i="15"/>
  <c r="E235" i="15"/>
  <c r="D235" i="15"/>
  <c r="I234" i="15"/>
  <c r="H234" i="15"/>
  <c r="G234" i="15"/>
  <c r="E234" i="15"/>
  <c r="D234" i="15"/>
  <c r="I233" i="15"/>
  <c r="H233" i="15"/>
  <c r="G233" i="15"/>
  <c r="E233" i="15"/>
  <c r="D233" i="15"/>
  <c r="I232" i="15"/>
  <c r="H232" i="15"/>
  <c r="G232" i="15"/>
  <c r="E232" i="15"/>
  <c r="D232" i="15"/>
  <c r="I231" i="15"/>
  <c r="H231" i="15"/>
  <c r="G231" i="15"/>
  <c r="E231" i="15"/>
  <c r="D231" i="15"/>
  <c r="I230" i="15"/>
  <c r="H230" i="15"/>
  <c r="G230" i="15"/>
  <c r="E230" i="15"/>
  <c r="D230" i="15"/>
  <c r="I229" i="15"/>
  <c r="H229" i="15"/>
  <c r="G229" i="15"/>
  <c r="E229" i="15"/>
  <c r="D229" i="15"/>
  <c r="I228" i="15"/>
  <c r="H228" i="15"/>
  <c r="G228" i="15"/>
  <c r="E228" i="15"/>
  <c r="D228" i="15"/>
  <c r="I227" i="15"/>
  <c r="H227" i="15"/>
  <c r="G227" i="15"/>
  <c r="E227" i="15"/>
  <c r="D227" i="15"/>
  <c r="I226" i="15"/>
  <c r="H226" i="15"/>
  <c r="G226" i="15"/>
  <c r="E226" i="15"/>
  <c r="D226" i="15"/>
  <c r="I225" i="15"/>
  <c r="H225" i="15"/>
  <c r="G225" i="15"/>
  <c r="E225" i="15"/>
  <c r="D225" i="15"/>
  <c r="I224" i="15"/>
  <c r="H224" i="15"/>
  <c r="G224" i="15"/>
  <c r="E224" i="15"/>
  <c r="D224" i="15"/>
  <c r="I223" i="15"/>
  <c r="H223" i="15"/>
  <c r="G223" i="15"/>
  <c r="E223" i="15"/>
  <c r="D223" i="15"/>
  <c r="I222" i="15"/>
  <c r="H222" i="15"/>
  <c r="G222" i="15"/>
  <c r="E222" i="15"/>
  <c r="D222" i="15"/>
  <c r="I221" i="15"/>
  <c r="H221" i="15"/>
  <c r="G221" i="15"/>
  <c r="E221" i="15"/>
  <c r="D221" i="15"/>
  <c r="I220" i="15"/>
  <c r="H220" i="15"/>
  <c r="G220" i="15"/>
  <c r="E220" i="15"/>
  <c r="D220" i="15"/>
  <c r="I219" i="15"/>
  <c r="H219" i="15"/>
  <c r="G219" i="15"/>
  <c r="E219" i="15"/>
  <c r="D219" i="15"/>
  <c r="I218" i="15"/>
  <c r="H218" i="15"/>
  <c r="G218" i="15"/>
  <c r="E218" i="15"/>
  <c r="D218" i="15"/>
  <c r="I217" i="15"/>
  <c r="H217" i="15"/>
  <c r="G217" i="15"/>
  <c r="E217" i="15"/>
  <c r="D217" i="15"/>
  <c r="I216" i="15"/>
  <c r="H216" i="15"/>
  <c r="G216" i="15"/>
  <c r="E216" i="15"/>
  <c r="D216" i="15"/>
  <c r="I215" i="15"/>
  <c r="H215" i="15"/>
  <c r="G215" i="15"/>
  <c r="E215" i="15"/>
  <c r="D215" i="15"/>
  <c r="I214" i="15"/>
  <c r="H214" i="15"/>
  <c r="G214" i="15"/>
  <c r="E214" i="15"/>
  <c r="D214" i="15"/>
  <c r="I213" i="15"/>
  <c r="H213" i="15"/>
  <c r="G213" i="15"/>
  <c r="E213" i="15"/>
  <c r="D213" i="15"/>
  <c r="I212" i="15"/>
  <c r="H212" i="15"/>
  <c r="G212" i="15"/>
  <c r="E212" i="15"/>
  <c r="D212" i="15"/>
  <c r="I211" i="15"/>
  <c r="H211" i="15"/>
  <c r="G211" i="15"/>
  <c r="E211" i="15"/>
  <c r="D211" i="15"/>
  <c r="I210" i="15"/>
  <c r="H210" i="15"/>
  <c r="G210" i="15"/>
  <c r="E210" i="15"/>
  <c r="D210" i="15"/>
  <c r="I209" i="15"/>
  <c r="H209" i="15"/>
  <c r="G209" i="15"/>
  <c r="E209" i="15"/>
  <c r="D209" i="15"/>
  <c r="I208" i="15"/>
  <c r="H208" i="15"/>
  <c r="G208" i="15"/>
  <c r="E208" i="15"/>
  <c r="D208" i="15"/>
  <c r="I207" i="15"/>
  <c r="H207" i="15"/>
  <c r="G207" i="15"/>
  <c r="E207" i="15"/>
  <c r="D207" i="15"/>
  <c r="I206" i="15"/>
  <c r="H206" i="15"/>
  <c r="G206" i="15"/>
  <c r="E206" i="15"/>
  <c r="D206" i="15"/>
  <c r="I205" i="15"/>
  <c r="H205" i="15"/>
  <c r="G205" i="15"/>
  <c r="E205" i="15"/>
  <c r="D205" i="15"/>
  <c r="I204" i="15"/>
  <c r="H204" i="15"/>
  <c r="G204" i="15"/>
  <c r="E204" i="15"/>
  <c r="D204" i="15"/>
  <c r="I203" i="15"/>
  <c r="H203" i="15"/>
  <c r="G203" i="15"/>
  <c r="E203" i="15"/>
  <c r="D203" i="15"/>
  <c r="I202" i="15"/>
  <c r="H202" i="15"/>
  <c r="G202" i="15"/>
  <c r="E202" i="15"/>
  <c r="D202" i="15"/>
  <c r="I201" i="15"/>
  <c r="H201" i="15"/>
  <c r="G201" i="15"/>
  <c r="E201" i="15"/>
  <c r="D201" i="15"/>
  <c r="I200" i="15"/>
  <c r="H200" i="15"/>
  <c r="G200" i="15"/>
  <c r="E200" i="15"/>
  <c r="D200" i="15"/>
  <c r="I199" i="15"/>
  <c r="H199" i="15"/>
  <c r="G199" i="15"/>
  <c r="E199" i="15"/>
  <c r="D199" i="15"/>
  <c r="I198" i="15"/>
  <c r="H198" i="15"/>
  <c r="G198" i="15"/>
  <c r="E198" i="15"/>
  <c r="D198" i="15"/>
  <c r="I197" i="15"/>
  <c r="H197" i="15"/>
  <c r="G197" i="15"/>
  <c r="E197" i="15"/>
  <c r="D197" i="15"/>
  <c r="I196" i="15"/>
  <c r="H196" i="15"/>
  <c r="G196" i="15"/>
  <c r="E196" i="15"/>
  <c r="D196" i="15"/>
  <c r="I195" i="15"/>
  <c r="H195" i="15"/>
  <c r="G195" i="15"/>
  <c r="E195" i="15"/>
  <c r="D195" i="15"/>
  <c r="I194" i="15"/>
  <c r="H194" i="15"/>
  <c r="G194" i="15"/>
  <c r="E194" i="15"/>
  <c r="D194" i="15"/>
  <c r="I193" i="15"/>
  <c r="H193" i="15"/>
  <c r="G193" i="15"/>
  <c r="E193" i="15"/>
  <c r="D193" i="15"/>
  <c r="I192" i="15"/>
  <c r="H192" i="15"/>
  <c r="G192" i="15"/>
  <c r="E192" i="15"/>
  <c r="D192" i="15"/>
  <c r="I191" i="15"/>
  <c r="H191" i="15"/>
  <c r="G191" i="15"/>
  <c r="E191" i="15"/>
  <c r="D191" i="15"/>
  <c r="I190" i="15"/>
  <c r="H190" i="15"/>
  <c r="G190" i="15"/>
  <c r="E190" i="15"/>
  <c r="D190" i="15"/>
  <c r="I189" i="15"/>
  <c r="H189" i="15"/>
  <c r="G189" i="15"/>
  <c r="E189" i="15"/>
  <c r="D189" i="15"/>
  <c r="I188" i="15"/>
  <c r="H188" i="15"/>
  <c r="G188" i="15"/>
  <c r="E188" i="15"/>
  <c r="D188" i="15"/>
  <c r="I187" i="15"/>
  <c r="H187" i="15"/>
  <c r="G187" i="15"/>
  <c r="E187" i="15"/>
  <c r="D187" i="15"/>
  <c r="I186" i="15"/>
  <c r="H186" i="15"/>
  <c r="G186" i="15"/>
  <c r="E186" i="15"/>
  <c r="D186" i="15"/>
  <c r="I185" i="15"/>
  <c r="H185" i="15"/>
  <c r="G185" i="15"/>
  <c r="E185" i="15"/>
  <c r="D185" i="15"/>
  <c r="I184" i="15"/>
  <c r="H184" i="15"/>
  <c r="G184" i="15"/>
  <c r="E184" i="15"/>
  <c r="D184" i="15"/>
  <c r="I183" i="15"/>
  <c r="H183" i="15"/>
  <c r="G183" i="15"/>
  <c r="E183" i="15"/>
  <c r="D183" i="15"/>
  <c r="I182" i="15"/>
  <c r="H182" i="15"/>
  <c r="G182" i="15"/>
  <c r="E182" i="15"/>
  <c r="D182" i="15"/>
  <c r="I181" i="15"/>
  <c r="H181" i="15"/>
  <c r="G181" i="15"/>
  <c r="E181" i="15"/>
  <c r="D181" i="15"/>
  <c r="I180" i="15"/>
  <c r="H180" i="15"/>
  <c r="G180" i="15"/>
  <c r="E180" i="15"/>
  <c r="D180" i="15"/>
  <c r="I179" i="15"/>
  <c r="H179" i="15"/>
  <c r="G179" i="15"/>
  <c r="E179" i="15"/>
  <c r="D179" i="15"/>
  <c r="I178" i="15"/>
  <c r="H178" i="15"/>
  <c r="G178" i="15"/>
  <c r="E178" i="15"/>
  <c r="D178" i="15"/>
  <c r="I177" i="15"/>
  <c r="H177" i="15"/>
  <c r="G177" i="15"/>
  <c r="E177" i="15"/>
  <c r="D177" i="15"/>
  <c r="I176" i="15"/>
  <c r="H176" i="15"/>
  <c r="G176" i="15"/>
  <c r="E176" i="15"/>
  <c r="D176" i="15"/>
  <c r="I175" i="15"/>
  <c r="H175" i="15"/>
  <c r="G175" i="15"/>
  <c r="E175" i="15"/>
  <c r="D175" i="15"/>
  <c r="I174" i="15"/>
  <c r="H174" i="15"/>
  <c r="G174" i="15"/>
  <c r="E174" i="15"/>
  <c r="D174" i="15"/>
  <c r="I173" i="15"/>
  <c r="H173" i="15"/>
  <c r="G173" i="15"/>
  <c r="E173" i="15"/>
  <c r="D173" i="15"/>
  <c r="I172" i="15"/>
  <c r="H172" i="15"/>
  <c r="G172" i="15"/>
  <c r="E172" i="15"/>
  <c r="D172" i="15"/>
  <c r="I171" i="15"/>
  <c r="H171" i="15"/>
  <c r="G171" i="15"/>
  <c r="E171" i="15"/>
  <c r="D171" i="15"/>
  <c r="I170" i="15"/>
  <c r="H170" i="15"/>
  <c r="G170" i="15"/>
  <c r="E170" i="15"/>
  <c r="D170" i="15"/>
  <c r="I169" i="15"/>
  <c r="H169" i="15"/>
  <c r="G169" i="15"/>
  <c r="E169" i="15"/>
  <c r="D169" i="15"/>
  <c r="I168" i="15"/>
  <c r="H168" i="15"/>
  <c r="G168" i="15"/>
  <c r="E168" i="15"/>
  <c r="D168" i="15"/>
  <c r="I167" i="15"/>
  <c r="H167" i="15"/>
  <c r="G167" i="15"/>
  <c r="E167" i="15"/>
  <c r="D167" i="15"/>
  <c r="I166" i="15"/>
  <c r="H166" i="15"/>
  <c r="G166" i="15"/>
  <c r="E166" i="15"/>
  <c r="D166" i="15"/>
  <c r="I165" i="15"/>
  <c r="H165" i="15"/>
  <c r="G165" i="15"/>
  <c r="E165" i="15"/>
  <c r="D165" i="15"/>
  <c r="I164" i="15"/>
  <c r="H164" i="15"/>
  <c r="G164" i="15"/>
  <c r="E164" i="15"/>
  <c r="D164" i="15"/>
  <c r="I163" i="15"/>
  <c r="H163" i="15"/>
  <c r="G163" i="15"/>
  <c r="E163" i="15"/>
  <c r="D163" i="15"/>
  <c r="I162" i="15"/>
  <c r="H162" i="15"/>
  <c r="G162" i="15"/>
  <c r="E162" i="15"/>
  <c r="D162" i="15"/>
  <c r="I161" i="15"/>
  <c r="H161" i="15"/>
  <c r="G161" i="15"/>
  <c r="E161" i="15"/>
  <c r="D161" i="15"/>
  <c r="I160" i="15"/>
  <c r="H160" i="15"/>
  <c r="G160" i="15"/>
  <c r="E160" i="15"/>
  <c r="D160" i="15"/>
  <c r="I159" i="15"/>
  <c r="H159" i="15"/>
  <c r="G159" i="15"/>
  <c r="E159" i="15"/>
  <c r="D159" i="15"/>
  <c r="I158" i="15"/>
  <c r="H158" i="15"/>
  <c r="G158" i="15"/>
  <c r="E158" i="15"/>
  <c r="D158" i="15"/>
  <c r="I157" i="15"/>
  <c r="H157" i="15"/>
  <c r="G157" i="15"/>
  <c r="E157" i="15"/>
  <c r="D157" i="15"/>
  <c r="I156" i="15"/>
  <c r="H156" i="15"/>
  <c r="G156" i="15"/>
  <c r="E156" i="15"/>
  <c r="D156" i="15"/>
  <c r="I155" i="15"/>
  <c r="H155" i="15"/>
  <c r="G155" i="15"/>
  <c r="E155" i="15"/>
  <c r="D155" i="15"/>
  <c r="I154" i="15"/>
  <c r="H154" i="15"/>
  <c r="G154" i="15"/>
  <c r="E154" i="15"/>
  <c r="D154" i="15"/>
  <c r="I153" i="15"/>
  <c r="H153" i="15"/>
  <c r="G153" i="15"/>
  <c r="E153" i="15"/>
  <c r="D153" i="15"/>
  <c r="I152" i="15"/>
  <c r="H152" i="15"/>
  <c r="G152" i="15"/>
  <c r="E152" i="15"/>
  <c r="D152" i="15"/>
  <c r="I151" i="15"/>
  <c r="H151" i="15"/>
  <c r="G151" i="15"/>
  <c r="E151" i="15"/>
  <c r="D151" i="15"/>
  <c r="I150" i="15"/>
  <c r="H150" i="15"/>
  <c r="G150" i="15"/>
  <c r="E150" i="15"/>
  <c r="D150" i="15"/>
  <c r="I149" i="15"/>
  <c r="H149" i="15"/>
  <c r="G149" i="15"/>
  <c r="E149" i="15"/>
  <c r="D149" i="15"/>
  <c r="I148" i="15"/>
  <c r="H148" i="15"/>
  <c r="G148" i="15"/>
  <c r="E148" i="15"/>
  <c r="D148" i="15"/>
  <c r="I147" i="15"/>
  <c r="H147" i="15"/>
  <c r="G147" i="15"/>
  <c r="E147" i="15"/>
  <c r="D147" i="15"/>
  <c r="I146" i="15"/>
  <c r="H146" i="15"/>
  <c r="G146" i="15"/>
  <c r="E146" i="15"/>
  <c r="D146" i="15"/>
  <c r="I145" i="15"/>
  <c r="H145" i="15"/>
  <c r="G145" i="15"/>
  <c r="E145" i="15"/>
  <c r="D145" i="15"/>
  <c r="I144" i="15"/>
  <c r="H144" i="15"/>
  <c r="G144" i="15"/>
  <c r="E144" i="15"/>
  <c r="D144" i="15"/>
  <c r="I143" i="15"/>
  <c r="H143" i="15"/>
  <c r="G143" i="15"/>
  <c r="E143" i="15"/>
  <c r="D143" i="15"/>
  <c r="I142" i="15"/>
  <c r="H142" i="15"/>
  <c r="G142" i="15"/>
  <c r="E142" i="15"/>
  <c r="D142" i="15"/>
  <c r="I141" i="15"/>
  <c r="H141" i="15"/>
  <c r="G141" i="15"/>
  <c r="E141" i="15"/>
  <c r="D141" i="15"/>
  <c r="I140" i="15"/>
  <c r="H140" i="15"/>
  <c r="G140" i="15"/>
  <c r="E140" i="15"/>
  <c r="D140" i="15"/>
  <c r="I139" i="15"/>
  <c r="H139" i="15"/>
  <c r="G139" i="15"/>
  <c r="E139" i="15"/>
  <c r="D139" i="15"/>
  <c r="I138" i="15"/>
  <c r="H138" i="15"/>
  <c r="G138" i="15"/>
  <c r="E138" i="15"/>
  <c r="D138" i="15"/>
  <c r="I137" i="15"/>
  <c r="H137" i="15"/>
  <c r="G137" i="15"/>
  <c r="E137" i="15"/>
  <c r="D137" i="15"/>
  <c r="I136" i="15"/>
  <c r="H136" i="15"/>
  <c r="G136" i="15"/>
  <c r="E136" i="15"/>
  <c r="D136" i="15"/>
  <c r="I135" i="15"/>
  <c r="H135" i="15"/>
  <c r="G135" i="15"/>
  <c r="E135" i="15"/>
  <c r="D135" i="15"/>
  <c r="I134" i="15"/>
  <c r="H134" i="15"/>
  <c r="G134" i="15"/>
  <c r="E134" i="15"/>
  <c r="D134" i="15"/>
  <c r="I133" i="15"/>
  <c r="H133" i="15"/>
  <c r="G133" i="15"/>
  <c r="E133" i="15"/>
  <c r="D133" i="15"/>
  <c r="I132" i="15"/>
  <c r="H132" i="15"/>
  <c r="G132" i="15"/>
  <c r="E132" i="15"/>
  <c r="D132" i="15"/>
  <c r="I131" i="15"/>
  <c r="H131" i="15"/>
  <c r="G131" i="15"/>
  <c r="E131" i="15"/>
  <c r="D131" i="15"/>
  <c r="I130" i="15"/>
  <c r="H130" i="15"/>
  <c r="G130" i="15"/>
  <c r="E130" i="15"/>
  <c r="D130" i="15"/>
  <c r="I129" i="15"/>
  <c r="H129" i="15"/>
  <c r="G129" i="15"/>
  <c r="E129" i="15"/>
  <c r="D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H8" i="15"/>
  <c r="G5" i="15"/>
  <c r="D57" i="14"/>
  <c r="E57" i="14" s="1"/>
  <c r="F57" i="14" s="1"/>
  <c r="G57" i="14" s="1"/>
  <c r="H57" i="14" s="1"/>
  <c r="D56" i="14"/>
  <c r="E56" i="14" s="1"/>
  <c r="F56" i="14" s="1"/>
  <c r="D55" i="14"/>
  <c r="E55" i="14" s="1"/>
  <c r="F55" i="14" s="1"/>
  <c r="G55" i="14" s="1"/>
  <c r="H55" i="14" s="1"/>
  <c r="D54" i="14"/>
  <c r="E54" i="14" s="1"/>
  <c r="F54" i="14" s="1"/>
  <c r="G54" i="14" s="1"/>
  <c r="H54" i="14" s="1"/>
  <c r="D53" i="14"/>
  <c r="E53" i="14" s="1"/>
  <c r="F53" i="14" s="1"/>
  <c r="G53" i="14" s="1"/>
  <c r="H53" i="14" s="1"/>
  <c r="D52" i="14"/>
  <c r="E52" i="14" s="1"/>
  <c r="D51" i="14"/>
  <c r="E51" i="14" s="1"/>
  <c r="F51" i="14" s="1"/>
  <c r="G51" i="14" s="1"/>
  <c r="H51" i="14" s="1"/>
  <c r="D50" i="14"/>
  <c r="E50" i="14" s="1"/>
  <c r="F50" i="14" s="1"/>
  <c r="D49" i="14"/>
  <c r="E49" i="14" s="1"/>
  <c r="F49" i="14" s="1"/>
  <c r="G49" i="14" s="1"/>
  <c r="H49" i="14" s="1"/>
  <c r="D48" i="14"/>
  <c r="E48" i="14" s="1"/>
  <c r="F48" i="14" s="1"/>
  <c r="G48" i="14" s="1"/>
  <c r="H48" i="14" s="1"/>
  <c r="D47" i="14"/>
  <c r="E47" i="14" s="1"/>
  <c r="F47" i="14" s="1"/>
  <c r="G47" i="14" s="1"/>
  <c r="H47" i="14" s="1"/>
  <c r="D46" i="14"/>
  <c r="E46" i="14" s="1"/>
  <c r="F46" i="14" s="1"/>
  <c r="D45" i="14"/>
  <c r="E45" i="14" s="1"/>
  <c r="F45" i="14" s="1"/>
  <c r="G45" i="14" s="1"/>
  <c r="H45" i="14" s="1"/>
  <c r="D44" i="14"/>
  <c r="E44" i="14" s="1"/>
  <c r="D43" i="14"/>
  <c r="E43" i="14" s="1"/>
  <c r="F43" i="14" s="1"/>
  <c r="G43" i="14" s="1"/>
  <c r="H43" i="14" s="1"/>
  <c r="D42" i="14"/>
  <c r="E42" i="14" s="1"/>
  <c r="F42" i="14" s="1"/>
  <c r="D41" i="14"/>
  <c r="E41" i="14" s="1"/>
  <c r="F41" i="14" s="1"/>
  <c r="G41" i="14" s="1"/>
  <c r="H41" i="14" s="1"/>
  <c r="D40" i="14"/>
  <c r="E40" i="14" s="1"/>
  <c r="F40" i="14" s="1"/>
  <c r="G40" i="14" s="1"/>
  <c r="H40" i="14" s="1"/>
  <c r="D39" i="14"/>
  <c r="E39" i="14" s="1"/>
  <c r="F39" i="14" s="1"/>
  <c r="G39" i="14" s="1"/>
  <c r="H39" i="14" s="1"/>
  <c r="D38" i="14"/>
  <c r="E38" i="14" s="1"/>
  <c r="F38" i="14" s="1"/>
  <c r="D37" i="14"/>
  <c r="E37" i="14" s="1"/>
  <c r="D36" i="14"/>
  <c r="E36" i="14" s="1"/>
  <c r="D35" i="14"/>
  <c r="E35" i="14" s="1"/>
  <c r="F35" i="14" s="1"/>
  <c r="G35" i="14" s="1"/>
  <c r="H35" i="14" s="1"/>
  <c r="D34" i="14"/>
  <c r="E34" i="14" s="1"/>
  <c r="F34" i="14" s="1"/>
  <c r="G34" i="14" s="1"/>
  <c r="H34" i="14" s="1"/>
  <c r="D33" i="14"/>
  <c r="E33" i="14" s="1"/>
  <c r="F33" i="14" s="1"/>
  <c r="G33" i="14" s="1"/>
  <c r="H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L8" i="14"/>
  <c r="M8" i="14" s="1"/>
  <c r="N8" i="14" s="1"/>
  <c r="P8" i="14" s="1"/>
  <c r="D8" i="14"/>
  <c r="E8" i="14" s="1"/>
  <c r="F8" i="14" s="1"/>
  <c r="G8" i="14" s="1"/>
  <c r="H8" i="14" s="1"/>
  <c r="M5" i="14"/>
  <c r="M6" i="14" s="1"/>
  <c r="F37" i="14"/>
  <c r="G37" i="14" s="1"/>
  <c r="H37" i="14" s="1"/>
  <c r="D9" i="15"/>
  <c r="E9" i="15" s="1"/>
  <c r="H9" i="15" s="1"/>
  <c r="G9" i="15"/>
  <c r="I249" i="15"/>
  <c r="Q43" i="1"/>
  <c r="B14" i="1"/>
  <c r="Q11" i="1" s="1"/>
  <c r="A16" i="2" s="1"/>
  <c r="Z8" i="1"/>
  <c r="Y8" i="1"/>
  <c r="Y10" i="1" s="1"/>
  <c r="AA7" i="1"/>
  <c r="AA6" i="1"/>
  <c r="AA5" i="1"/>
  <c r="AA4" i="1"/>
  <c r="E20" i="1"/>
  <c r="D20" i="1"/>
  <c r="C20" i="1"/>
  <c r="Q25" i="1" s="1"/>
  <c r="A30" i="2" s="1"/>
  <c r="Q18" i="1"/>
  <c r="A23" i="2" s="1"/>
  <c r="Q112" i="1"/>
  <c r="Q89" i="1"/>
  <c r="B113" i="1"/>
  <c r="Q117" i="1" s="1"/>
  <c r="A27" i="6" s="1"/>
  <c r="C91" i="12"/>
  <c r="M74" i="12" s="1"/>
  <c r="C90" i="12"/>
  <c r="L87" i="12"/>
  <c r="N86" i="12"/>
  <c r="M85" i="12"/>
  <c r="M84" i="12"/>
  <c r="M83" i="12"/>
  <c r="N82" i="12"/>
  <c r="M82" i="12"/>
  <c r="N81" i="12"/>
  <c r="M81" i="12"/>
  <c r="N80" i="12"/>
  <c r="M80" i="12"/>
  <c r="C76" i="12"/>
  <c r="G75" i="12"/>
  <c r="G76" i="12" s="1"/>
  <c r="F75" i="12"/>
  <c r="N74" i="12"/>
  <c r="G74" i="12"/>
  <c r="F74" i="12"/>
  <c r="M73" i="12"/>
  <c r="L73" i="12"/>
  <c r="G73" i="12"/>
  <c r="F73" i="12"/>
  <c r="H73" i="12" s="1"/>
  <c r="I73" i="12" s="1"/>
  <c r="G72" i="12"/>
  <c r="F72" i="12"/>
  <c r="C68" i="12"/>
  <c r="M50" i="12" s="1"/>
  <c r="M55" i="12"/>
  <c r="C67" i="12"/>
  <c r="L64" i="12"/>
  <c r="C64" i="12"/>
  <c r="N63" i="12"/>
  <c r="M62" i="12"/>
  <c r="M61" i="12"/>
  <c r="M60" i="12"/>
  <c r="N59" i="12"/>
  <c r="M59" i="12"/>
  <c r="N58" i="12"/>
  <c r="M58" i="12"/>
  <c r="L58" i="12"/>
  <c r="N57" i="12"/>
  <c r="M57" i="12"/>
  <c r="N56" i="12"/>
  <c r="M56" i="12"/>
  <c r="N55" i="12"/>
  <c r="C52" i="12"/>
  <c r="C69" i="12" s="1"/>
  <c r="G51" i="12"/>
  <c r="F51" i="12"/>
  <c r="H51" i="12" s="1"/>
  <c r="I51" i="12" s="1"/>
  <c r="N54" i="12" s="1"/>
  <c r="G50" i="12"/>
  <c r="F50" i="12"/>
  <c r="M49" i="12"/>
  <c r="L49" i="12"/>
  <c r="G49" i="12"/>
  <c r="H49" i="12" s="1"/>
  <c r="I49" i="12" s="1"/>
  <c r="N52" i="12" s="1"/>
  <c r="F49" i="12"/>
  <c r="G48" i="12"/>
  <c r="F48" i="12"/>
  <c r="H48" i="12" s="1"/>
  <c r="I48" i="12" s="1"/>
  <c r="M51" i="12" s="1"/>
  <c r="C45" i="12"/>
  <c r="M27" i="12" s="1"/>
  <c r="M32" i="12"/>
  <c r="C44" i="12"/>
  <c r="L42" i="12"/>
  <c r="N41" i="12"/>
  <c r="C41" i="12"/>
  <c r="M37" i="12" s="1"/>
  <c r="M40" i="12"/>
  <c r="M39" i="12"/>
  <c r="M38" i="12"/>
  <c r="N37" i="12"/>
  <c r="N36" i="12"/>
  <c r="M36" i="12"/>
  <c r="N35" i="12"/>
  <c r="M35" i="12"/>
  <c r="L35" i="12"/>
  <c r="N34" i="12"/>
  <c r="M34" i="12"/>
  <c r="N33" i="12"/>
  <c r="M33" i="12"/>
  <c r="N32" i="12"/>
  <c r="C29" i="12"/>
  <c r="N38" i="12" s="1"/>
  <c r="G28" i="12"/>
  <c r="F28" i="12"/>
  <c r="G27" i="12"/>
  <c r="F27" i="12"/>
  <c r="M26" i="12"/>
  <c r="L26" i="12"/>
  <c r="G26" i="12"/>
  <c r="F26" i="12"/>
  <c r="G25" i="12"/>
  <c r="F25" i="12"/>
  <c r="X23" i="12"/>
  <c r="S23" i="12"/>
  <c r="Q23" i="12"/>
  <c r="AR22" i="12"/>
  <c r="AN22" i="12"/>
  <c r="AK22" i="12"/>
  <c r="AD22" i="12"/>
  <c r="X22" i="12"/>
  <c r="S22" i="12"/>
  <c r="Q22" i="12"/>
  <c r="C22" i="12"/>
  <c r="AR21" i="12"/>
  <c r="AN21" i="12"/>
  <c r="AD21" i="12"/>
  <c r="X21" i="12"/>
  <c r="Q21" i="12"/>
  <c r="C21" i="12"/>
  <c r="AR20" i="12"/>
  <c r="AN20" i="12"/>
  <c r="AK20" i="12"/>
  <c r="AD20" i="12"/>
  <c r="X20" i="12"/>
  <c r="S20" i="12"/>
  <c r="Q20" i="12"/>
  <c r="AR19" i="12"/>
  <c r="AK19" i="12"/>
  <c r="AD19" i="12"/>
  <c r="S19" i="12"/>
  <c r="Q19" i="12"/>
  <c r="AR18" i="12"/>
  <c r="AK18" i="12"/>
  <c r="AD18" i="12"/>
  <c r="S18" i="12"/>
  <c r="Q18" i="12"/>
  <c r="AR17" i="12"/>
  <c r="AK17" i="12"/>
  <c r="AD17" i="12"/>
  <c r="S17" i="12"/>
  <c r="Q17" i="12"/>
  <c r="AR16" i="12"/>
  <c r="AK16" i="12"/>
  <c r="AD16" i="12"/>
  <c r="S16" i="12"/>
  <c r="Q16" i="12"/>
  <c r="L16" i="12"/>
  <c r="S21" i="12" s="1"/>
  <c r="AR15" i="12"/>
  <c r="AK15" i="12"/>
  <c r="AD15" i="12"/>
  <c r="S15" i="12"/>
  <c r="Q15" i="12"/>
  <c r="N15" i="12"/>
  <c r="AP20" i="12" s="1"/>
  <c r="AR14" i="12"/>
  <c r="AK14" i="12"/>
  <c r="AD14" i="12"/>
  <c r="S14" i="12"/>
  <c r="Q14" i="12"/>
  <c r="M14" i="12"/>
  <c r="AN19" i="12" s="1"/>
  <c r="AR13" i="12"/>
  <c r="AD13" i="12"/>
  <c r="S13" i="12"/>
  <c r="Q13" i="12"/>
  <c r="M13" i="12"/>
  <c r="AR12" i="12"/>
  <c r="AD12" i="12"/>
  <c r="S12" i="12"/>
  <c r="Q12" i="12"/>
  <c r="M12" i="12"/>
  <c r="X17" i="12" s="1"/>
  <c r="AR11" i="12"/>
  <c r="AD11" i="12"/>
  <c r="S11" i="12"/>
  <c r="Q11" i="12"/>
  <c r="N11" i="12"/>
  <c r="AP16" i="12" s="1"/>
  <c r="M11" i="12"/>
  <c r="AN16" i="12" s="1"/>
  <c r="AR10" i="12"/>
  <c r="AK10" i="12"/>
  <c r="AD10" i="12"/>
  <c r="S10" i="12"/>
  <c r="Q10" i="12"/>
  <c r="N10" i="12"/>
  <c r="AB15" i="12" s="1"/>
  <c r="M10" i="12"/>
  <c r="AN15" i="12" s="1"/>
  <c r="AR9" i="12"/>
  <c r="AK9" i="12"/>
  <c r="AD9" i="12"/>
  <c r="S9" i="12"/>
  <c r="Q9" i="12"/>
  <c r="N9" i="12"/>
  <c r="AP14" i="12" s="1"/>
  <c r="AR8" i="12"/>
  <c r="AD8" i="12"/>
  <c r="Q8" i="12"/>
  <c r="C6" i="12"/>
  <c r="N14" i="12" s="1"/>
  <c r="AS5" i="12"/>
  <c r="AB5" i="12"/>
  <c r="G5" i="12"/>
  <c r="H5" i="12" s="1"/>
  <c r="I5" i="12" s="1"/>
  <c r="F5" i="12"/>
  <c r="M4" i="12"/>
  <c r="AN9" i="12" s="1"/>
  <c r="G4" i="12"/>
  <c r="F4" i="12"/>
  <c r="M3" i="12"/>
  <c r="AN8" i="12" s="1"/>
  <c r="L3" i="12"/>
  <c r="S8" i="12" s="1"/>
  <c r="G3" i="12"/>
  <c r="N13" i="12" s="1"/>
  <c r="F3" i="12"/>
  <c r="G2" i="12"/>
  <c r="F2" i="12"/>
  <c r="H2" i="12" s="1"/>
  <c r="I2" i="12" s="1"/>
  <c r="N87" i="12"/>
  <c r="M75" i="12"/>
  <c r="AB16" i="12"/>
  <c r="H74" i="12"/>
  <c r="I74" i="12" s="1"/>
  <c r="N85" i="12"/>
  <c r="AN17" i="12"/>
  <c r="AP15" i="12"/>
  <c r="AK8" i="12"/>
  <c r="X16" i="12"/>
  <c r="AN18" i="12"/>
  <c r="X18" i="12"/>
  <c r="N49" i="12"/>
  <c r="M9" i="12"/>
  <c r="X14" i="12" s="1"/>
  <c r="N60" i="12"/>
  <c r="N62" i="12"/>
  <c r="N73" i="12"/>
  <c r="X8" i="12"/>
  <c r="AB14" i="12"/>
  <c r="X19" i="12"/>
  <c r="J3" i="1"/>
  <c r="C18" i="6"/>
  <c r="C19" i="6"/>
  <c r="C20" i="6"/>
  <c r="C21" i="6"/>
  <c r="C22" i="6"/>
  <c r="C23" i="6"/>
  <c r="C24" i="6"/>
  <c r="C25" i="6"/>
  <c r="C26" i="6"/>
  <c r="C27" i="6"/>
  <c r="A19" i="6"/>
  <c r="A20" i="6"/>
  <c r="A21" i="6"/>
  <c r="A23" i="6"/>
  <c r="A24" i="6"/>
  <c r="C18" i="5"/>
  <c r="C19" i="5"/>
  <c r="C20" i="5"/>
  <c r="C21" i="5"/>
  <c r="C22" i="5"/>
  <c r="C23" i="5"/>
  <c r="C24" i="5"/>
  <c r="C25" i="5"/>
  <c r="C26" i="5"/>
  <c r="C27" i="5"/>
  <c r="A19" i="5"/>
  <c r="A20" i="5"/>
  <c r="A21" i="5"/>
  <c r="A23" i="5"/>
  <c r="A24" i="5"/>
  <c r="A27" i="5"/>
  <c r="C18" i="4"/>
  <c r="C19" i="4"/>
  <c r="C20" i="4"/>
  <c r="C21" i="4"/>
  <c r="C22" i="4"/>
  <c r="C23" i="4"/>
  <c r="C24" i="4"/>
  <c r="C25" i="4"/>
  <c r="A19" i="4"/>
  <c r="A20" i="4"/>
  <c r="A21" i="4"/>
  <c r="A22" i="4"/>
  <c r="A23" i="4"/>
  <c r="A25" i="4"/>
  <c r="C18" i="3"/>
  <c r="C19" i="3"/>
  <c r="C20" i="3"/>
  <c r="C21" i="3"/>
  <c r="C22" i="3"/>
  <c r="C23" i="3"/>
  <c r="C24" i="3"/>
  <c r="C25" i="3"/>
  <c r="C26" i="3"/>
  <c r="C27" i="3"/>
  <c r="A19" i="3"/>
  <c r="A20" i="3"/>
  <c r="A21" i="3"/>
  <c r="A23" i="3"/>
  <c r="A24" i="3"/>
  <c r="D29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A19" i="2"/>
  <c r="A20" i="2"/>
  <c r="A21" i="2"/>
  <c r="A22" i="2"/>
  <c r="A24" i="2"/>
  <c r="A25" i="2"/>
  <c r="A29" i="2"/>
  <c r="AB29" i="10"/>
  <c r="AA26" i="10"/>
  <c r="AB24" i="10"/>
  <c r="AD23" i="10"/>
  <c r="AC22" i="10"/>
  <c r="AB22" i="10"/>
  <c r="AB21" i="10"/>
  <c r="AA18" i="10"/>
  <c r="AB16" i="10"/>
  <c r="AC14" i="10"/>
  <c r="AB14" i="10"/>
  <c r="AC11" i="10"/>
  <c r="AB11" i="10"/>
  <c r="AA11" i="10"/>
  <c r="AB10" i="10"/>
  <c r="V10" i="10"/>
  <c r="AA29" i="10" s="1"/>
  <c r="H10" i="10"/>
  <c r="AA21" i="10" s="1"/>
  <c r="X9" i="10"/>
  <c r="J9" i="10"/>
  <c r="K9" i="10" s="1"/>
  <c r="AC20" i="10"/>
  <c r="W9" i="10"/>
  <c r="AB28" i="10" s="1"/>
  <c r="V9" i="10"/>
  <c r="AA9" i="10" s="1"/>
  <c r="I9" i="10"/>
  <c r="AB20" i="10"/>
  <c r="H9" i="10"/>
  <c r="AA20" i="10" s="1"/>
  <c r="X8" i="10"/>
  <c r="J8" i="10"/>
  <c r="W8" i="10"/>
  <c r="AB27" i="10" s="1"/>
  <c r="V8" i="10"/>
  <c r="AA8" i="10" s="1"/>
  <c r="I8" i="10"/>
  <c r="AB19" i="10" s="1"/>
  <c r="H8" i="10"/>
  <c r="AA19" i="10" s="1"/>
  <c r="AA7" i="10"/>
  <c r="AB7" i="10"/>
  <c r="AB18" i="10"/>
  <c r="W6" i="10"/>
  <c r="AB6" i="10" s="1"/>
  <c r="AB25" i="10"/>
  <c r="V6" i="10"/>
  <c r="AA25" i="10" s="1"/>
  <c r="I6" i="10"/>
  <c r="AB17" i="10"/>
  <c r="H6" i="10"/>
  <c r="AA17" i="10" s="1"/>
  <c r="AB5" i="10"/>
  <c r="X5" i="10"/>
  <c r="Y5" i="10" s="1"/>
  <c r="AD24" i="10" s="1"/>
  <c r="V5" i="10"/>
  <c r="AA5" i="10" s="1"/>
  <c r="N5" i="10"/>
  <c r="J5" i="10"/>
  <c r="K5" i="10" s="1"/>
  <c r="AD16" i="10" s="1"/>
  <c r="H5" i="10"/>
  <c r="AA16" i="10" s="1"/>
  <c r="B5" i="10"/>
  <c r="X4" i="10"/>
  <c r="X28" i="10" s="1"/>
  <c r="W4" i="10"/>
  <c r="AB4" i="10" s="1"/>
  <c r="V4" i="10"/>
  <c r="AA23" i="10" s="1"/>
  <c r="N4" i="10"/>
  <c r="AC15" i="10"/>
  <c r="I4" i="10"/>
  <c r="AB15" i="10" s="1"/>
  <c r="H4" i="10"/>
  <c r="AA15" i="10" s="1"/>
  <c r="B4" i="10"/>
  <c r="N3" i="10"/>
  <c r="B3" i="10"/>
  <c r="I50" i="9"/>
  <c r="D50" i="9"/>
  <c r="M42" i="9"/>
  <c r="I40" i="9"/>
  <c r="J40" i="9" s="1"/>
  <c r="H40" i="9"/>
  <c r="D40" i="9"/>
  <c r="E40" i="9" s="1"/>
  <c r="M39" i="9"/>
  <c r="I39" i="9"/>
  <c r="J39" i="9" s="1"/>
  <c r="D39" i="9"/>
  <c r="M38" i="9"/>
  <c r="I38" i="9"/>
  <c r="J38" i="9" s="1"/>
  <c r="D38" i="9"/>
  <c r="M37" i="9"/>
  <c r="I37" i="9"/>
  <c r="J37" i="9" s="1"/>
  <c r="D37" i="9"/>
  <c r="E37" i="9" s="1"/>
  <c r="H37" i="9"/>
  <c r="M36" i="9"/>
  <c r="I36" i="9"/>
  <c r="J36" i="9" s="1"/>
  <c r="H36" i="9"/>
  <c r="D36" i="9"/>
  <c r="I35" i="9"/>
  <c r="H35" i="9"/>
  <c r="D35" i="9"/>
  <c r="E35" i="9" s="1"/>
  <c r="H34" i="9"/>
  <c r="N33" i="9"/>
  <c r="C32" i="9"/>
  <c r="M34" i="9" s="1"/>
  <c r="I30" i="9"/>
  <c r="J30" i="9" s="1"/>
  <c r="D30" i="9"/>
  <c r="E30" i="9" s="1"/>
  <c r="I29" i="9"/>
  <c r="J29" i="9" s="1"/>
  <c r="D29" i="9"/>
  <c r="E29" i="9" s="1"/>
  <c r="I28" i="9"/>
  <c r="J28" i="9" s="1"/>
  <c r="D28" i="9"/>
  <c r="I27" i="9"/>
  <c r="D26" i="9"/>
  <c r="I25" i="9"/>
  <c r="J25" i="9" s="1"/>
  <c r="D25" i="9"/>
  <c r="E25" i="9" s="1"/>
  <c r="I24" i="9"/>
  <c r="J24" i="9" s="1"/>
  <c r="D24" i="9"/>
  <c r="I23" i="9"/>
  <c r="J23" i="9" s="1"/>
  <c r="D23" i="9"/>
  <c r="I22" i="9"/>
  <c r="I21" i="9"/>
  <c r="J21" i="9" s="1"/>
  <c r="D21" i="9"/>
  <c r="I20" i="9"/>
  <c r="J20" i="9" s="1"/>
  <c r="D20" i="9"/>
  <c r="E20" i="9" s="1"/>
  <c r="I19" i="9"/>
  <c r="J19" i="9" s="1"/>
  <c r="D19" i="9"/>
  <c r="I18" i="9"/>
  <c r="J18" i="9" s="1"/>
  <c r="D18" i="9"/>
  <c r="E18" i="9" s="1"/>
  <c r="I16" i="9"/>
  <c r="H16" i="9"/>
  <c r="M18" i="9" s="1"/>
  <c r="D16" i="9"/>
  <c r="C16" i="9"/>
  <c r="M10" i="9" s="1"/>
  <c r="I15" i="9"/>
  <c r="H15" i="9"/>
  <c r="M17" i="9" s="1"/>
  <c r="D15" i="9"/>
  <c r="C15" i="9"/>
  <c r="I14" i="9"/>
  <c r="H14" i="9"/>
  <c r="M16" i="9" s="1"/>
  <c r="I13" i="9"/>
  <c r="H13" i="9"/>
  <c r="M15" i="9" s="1"/>
  <c r="D13" i="9"/>
  <c r="C13" i="9"/>
  <c r="L11" i="9"/>
  <c r="I11" i="9"/>
  <c r="H11" i="9"/>
  <c r="M14" i="9" s="1"/>
  <c r="D11" i="9"/>
  <c r="C11" i="9"/>
  <c r="I10" i="9"/>
  <c r="H10" i="9"/>
  <c r="M13" i="9"/>
  <c r="D10" i="9"/>
  <c r="C10" i="9"/>
  <c r="M6" i="9" s="1"/>
  <c r="I9" i="9"/>
  <c r="H9" i="9"/>
  <c r="M12" i="9" s="1"/>
  <c r="D9" i="9"/>
  <c r="C9" i="9"/>
  <c r="M5" i="9" s="1"/>
  <c r="L4" i="9"/>
  <c r="H2" i="9"/>
  <c r="M11" i="9"/>
  <c r="C2" i="9"/>
  <c r="M4" i="9" s="1"/>
  <c r="AA28" i="10"/>
  <c r="AB23" i="10"/>
  <c r="S18" i="8"/>
  <c r="K18" i="8" s="1"/>
  <c r="R18" i="8"/>
  <c r="Q18" i="8"/>
  <c r="M18" i="8"/>
  <c r="Y34" i="8" s="1"/>
  <c r="J18" i="8"/>
  <c r="L18" i="8" s="1"/>
  <c r="X34" i="8" s="1"/>
  <c r="I18" i="8"/>
  <c r="H18" i="8"/>
  <c r="S17" i="8"/>
  <c r="K17" i="8" s="1"/>
  <c r="W33" i="8" s="1"/>
  <c r="R17" i="8"/>
  <c r="Q17" i="8"/>
  <c r="M17" i="8"/>
  <c r="Y33" i="8" s="1"/>
  <c r="J17" i="8"/>
  <c r="L17" i="8" s="1"/>
  <c r="X33" i="8" s="1"/>
  <c r="I17" i="8"/>
  <c r="H17" i="8"/>
  <c r="G18" i="8"/>
  <c r="F18" i="8"/>
  <c r="E18" i="8"/>
  <c r="S16" i="8"/>
  <c r="K16" i="8"/>
  <c r="W32" i="8" s="1"/>
  <c r="R16" i="8"/>
  <c r="Q16" i="8"/>
  <c r="M16" i="8"/>
  <c r="Y32" i="8" s="1"/>
  <c r="J16" i="8"/>
  <c r="V32" i="8" s="1"/>
  <c r="I16" i="8"/>
  <c r="N16" i="8" s="1"/>
  <c r="Z32" i="8" s="1"/>
  <c r="H16" i="8"/>
  <c r="D17" i="8"/>
  <c r="P18" i="8"/>
  <c r="U15" i="8"/>
  <c r="S15" i="8"/>
  <c r="K15" i="8" s="1"/>
  <c r="R15" i="8"/>
  <c r="Q15" i="8"/>
  <c r="M15" i="8"/>
  <c r="Y31" i="8" s="1"/>
  <c r="J15" i="8"/>
  <c r="V31" i="8" s="1"/>
  <c r="I15" i="8"/>
  <c r="H15" i="8"/>
  <c r="D16" i="8"/>
  <c r="P17" i="8" s="1"/>
  <c r="S14" i="8"/>
  <c r="K14" i="8" s="1"/>
  <c r="R14" i="8"/>
  <c r="R19" i="8" s="1"/>
  <c r="Q14" i="8"/>
  <c r="Q19" i="8" s="1"/>
  <c r="M14" i="8"/>
  <c r="Y30" i="8" s="1"/>
  <c r="J14" i="8"/>
  <c r="V30" i="8" s="1"/>
  <c r="I14" i="8"/>
  <c r="I19" i="8" s="1"/>
  <c r="H14" i="8"/>
  <c r="H19" i="8" s="1"/>
  <c r="D15" i="8"/>
  <c r="U13" i="8"/>
  <c r="D14" i="8"/>
  <c r="P15" i="8"/>
  <c r="D13" i="8"/>
  <c r="G9" i="8"/>
  <c r="X9" i="8" s="1"/>
  <c r="Y9" i="8" s="1"/>
  <c r="F9" i="8"/>
  <c r="X6" i="8" s="1"/>
  <c r="Y6" i="8" s="1"/>
  <c r="R8" i="8"/>
  <c r="Q8" i="8"/>
  <c r="P8" i="8"/>
  <c r="M8" i="8"/>
  <c r="Y28" i="8"/>
  <c r="K8" i="8"/>
  <c r="W28" i="8" s="1"/>
  <c r="J8" i="8"/>
  <c r="L8" i="8" s="1"/>
  <c r="X28" i="8" s="1"/>
  <c r="I8" i="8"/>
  <c r="N8" i="8" s="1"/>
  <c r="Z28" i="8" s="1"/>
  <c r="H8" i="8"/>
  <c r="R7" i="8"/>
  <c r="Q7" i="8"/>
  <c r="P7" i="8"/>
  <c r="M7" i="8"/>
  <c r="Y27" i="8" s="1"/>
  <c r="K7" i="8"/>
  <c r="W27" i="8" s="1"/>
  <c r="J7" i="8"/>
  <c r="L7" i="8"/>
  <c r="X27" i="8" s="1"/>
  <c r="I7" i="8"/>
  <c r="N7" i="8" s="1"/>
  <c r="Z27" i="8" s="1"/>
  <c r="H7" i="8"/>
  <c r="R6" i="8"/>
  <c r="Q6" i="8"/>
  <c r="P6" i="8"/>
  <c r="M6" i="8"/>
  <c r="Y26" i="8" s="1"/>
  <c r="K6" i="8"/>
  <c r="W26" i="8" s="1"/>
  <c r="J6" i="8"/>
  <c r="V26" i="8" s="1"/>
  <c r="I6" i="8"/>
  <c r="H6" i="8"/>
  <c r="U5" i="8"/>
  <c r="R5" i="8"/>
  <c r="Q5" i="8"/>
  <c r="P5" i="8"/>
  <c r="M5" i="8"/>
  <c r="Y25" i="8" s="1"/>
  <c r="K5" i="8"/>
  <c r="W25" i="8" s="1"/>
  <c r="J5" i="8"/>
  <c r="V25" i="8" s="1"/>
  <c r="I5" i="8"/>
  <c r="H5" i="8"/>
  <c r="U4" i="8"/>
  <c r="R4" i="8"/>
  <c r="Q4" i="8"/>
  <c r="P4" i="8"/>
  <c r="P9" i="8" s="1"/>
  <c r="M4" i="8"/>
  <c r="Y24" i="8" s="1"/>
  <c r="K4" i="8"/>
  <c r="W24" i="8" s="1"/>
  <c r="J4" i="8"/>
  <c r="V24" i="8" s="1"/>
  <c r="I4" i="8"/>
  <c r="H4" i="8"/>
  <c r="H9" i="8" s="1"/>
  <c r="X7" i="8" s="1"/>
  <c r="Y7" i="8" s="1"/>
  <c r="V28" i="8"/>
  <c r="S116" i="1"/>
  <c r="D26" i="6" s="1"/>
  <c r="Q116" i="1"/>
  <c r="A26" i="6" s="1"/>
  <c r="S115" i="1"/>
  <c r="T115" i="1" s="1"/>
  <c r="E25" i="6" s="1"/>
  <c r="Q115" i="1"/>
  <c r="A25" i="6" s="1"/>
  <c r="S114" i="1"/>
  <c r="T114" i="1" s="1"/>
  <c r="E24" i="6" s="1"/>
  <c r="S113" i="1"/>
  <c r="D23" i="6" s="1"/>
  <c r="S112" i="1"/>
  <c r="D22" i="6" s="1"/>
  <c r="S111" i="1"/>
  <c r="D21" i="6" s="1"/>
  <c r="S110" i="1"/>
  <c r="D20" i="6" s="1"/>
  <c r="B110" i="1"/>
  <c r="Q106" i="1" s="1"/>
  <c r="A16" i="6" s="1"/>
  <c r="S109" i="1"/>
  <c r="D19" i="6" s="1"/>
  <c r="S108" i="1"/>
  <c r="D18" i="6" s="1"/>
  <c r="Q108" i="1"/>
  <c r="A18" i="6"/>
  <c r="S107" i="1"/>
  <c r="T107" i="1" s="1"/>
  <c r="E17" i="6" s="1"/>
  <c r="R107" i="1"/>
  <c r="C17" i="6" s="1"/>
  <c r="Q107" i="1"/>
  <c r="A17" i="6" s="1"/>
  <c r="N107" i="1"/>
  <c r="S106" i="1"/>
  <c r="R106" i="1"/>
  <c r="C16" i="6" s="1"/>
  <c r="N106" i="1"/>
  <c r="S105" i="1"/>
  <c r="T105" i="1" s="1"/>
  <c r="E15" i="6" s="1"/>
  <c r="R105" i="1"/>
  <c r="C15" i="6" s="1"/>
  <c r="Q105" i="1"/>
  <c r="A15" i="6" s="1"/>
  <c r="N105" i="1"/>
  <c r="E105" i="1"/>
  <c r="D105" i="1"/>
  <c r="S104" i="1"/>
  <c r="T104" i="1" s="1"/>
  <c r="E14" i="6" s="1"/>
  <c r="R104" i="1"/>
  <c r="C14" i="6"/>
  <c r="Q104" i="1"/>
  <c r="A14" i="6" s="1"/>
  <c r="N104" i="1"/>
  <c r="C104" i="1"/>
  <c r="R102" i="1" s="1"/>
  <c r="C12" i="6" s="1"/>
  <c r="B104" i="1"/>
  <c r="K113" i="1" s="1"/>
  <c r="S103" i="1"/>
  <c r="D13" i="6" s="1"/>
  <c r="R103" i="1"/>
  <c r="C13" i="6" s="1"/>
  <c r="Q103" i="1"/>
  <c r="A13" i="6" s="1"/>
  <c r="N103" i="1"/>
  <c r="N102" i="1"/>
  <c r="B102" i="1"/>
  <c r="T100" i="1"/>
  <c r="M115" i="1" s="1"/>
  <c r="R100" i="1"/>
  <c r="S94" i="1"/>
  <c r="D27" i="5" s="1"/>
  <c r="S93" i="1"/>
  <c r="T93" i="1" s="1"/>
  <c r="E26" i="5" s="1"/>
  <c r="Q93" i="1"/>
  <c r="A26" i="5"/>
  <c r="S92" i="1"/>
  <c r="D25" i="5"/>
  <c r="Q92" i="1"/>
  <c r="A25" i="5"/>
  <c r="S89" i="1"/>
  <c r="D22" i="5"/>
  <c r="S88" i="1"/>
  <c r="D21" i="5"/>
  <c r="S87" i="1"/>
  <c r="D20" i="5"/>
  <c r="B87" i="1"/>
  <c r="Q83" i="1"/>
  <c r="A16" i="5" s="1"/>
  <c r="S86" i="1"/>
  <c r="D19" i="5" s="1"/>
  <c r="S85" i="1"/>
  <c r="T85" i="1" s="1"/>
  <c r="E18" i="5" s="1"/>
  <c r="Q85" i="1"/>
  <c r="A18" i="5"/>
  <c r="S84" i="1"/>
  <c r="D17" i="5" s="1"/>
  <c r="R84" i="1"/>
  <c r="C17" i="5"/>
  <c r="Q84" i="1"/>
  <c r="A17" i="5" s="1"/>
  <c r="S83" i="1"/>
  <c r="D16" i="5" s="1"/>
  <c r="R83" i="1"/>
  <c r="C16" i="5" s="1"/>
  <c r="S82" i="1"/>
  <c r="T82" i="1" s="1"/>
  <c r="E15" i="5" s="1"/>
  <c r="D15" i="5"/>
  <c r="R82" i="1"/>
  <c r="C15" i="5" s="1"/>
  <c r="Q82" i="1"/>
  <c r="A15" i="5"/>
  <c r="C82" i="1"/>
  <c r="S81" i="1"/>
  <c r="S91" i="1" s="1"/>
  <c r="R81" i="1"/>
  <c r="C14" i="5" s="1"/>
  <c r="Q81" i="1"/>
  <c r="A14" i="5" s="1"/>
  <c r="B81" i="1"/>
  <c r="G87" i="1" s="1"/>
  <c r="S80" i="1"/>
  <c r="D13" i="5" s="1"/>
  <c r="R80" i="1"/>
  <c r="C13" i="5" s="1"/>
  <c r="Q80" i="1"/>
  <c r="A13" i="5" s="1"/>
  <c r="S79" i="1"/>
  <c r="D12" i="5" s="1"/>
  <c r="R79" i="1"/>
  <c r="C12" i="5" s="1"/>
  <c r="B79" i="1"/>
  <c r="T77" i="1"/>
  <c r="I89" i="1" s="1"/>
  <c r="R77" i="1"/>
  <c r="S68" i="1"/>
  <c r="T68" i="1" s="1"/>
  <c r="E25" i="4" s="1"/>
  <c r="S67" i="1"/>
  <c r="T67" i="1" s="1"/>
  <c r="E24" i="4" s="1"/>
  <c r="Q67" i="1"/>
  <c r="A24" i="4" s="1"/>
  <c r="S65" i="1"/>
  <c r="D22" i="4" s="1"/>
  <c r="S64" i="1"/>
  <c r="D21" i="4" s="1"/>
  <c r="S63" i="1"/>
  <c r="D20" i="4" s="1"/>
  <c r="S62" i="1"/>
  <c r="D19" i="4" s="1"/>
  <c r="S61" i="1"/>
  <c r="D18" i="4" s="1"/>
  <c r="T61" i="1"/>
  <c r="E18" i="4" s="1"/>
  <c r="Q61" i="1"/>
  <c r="A18" i="4"/>
  <c r="S60" i="1"/>
  <c r="D17" i="4" s="1"/>
  <c r="R60" i="1"/>
  <c r="C17" i="4" s="1"/>
  <c r="Q60" i="1"/>
  <c r="A17" i="4" s="1"/>
  <c r="S59" i="1"/>
  <c r="D16" i="4" s="1"/>
  <c r="T59" i="1"/>
  <c r="E16" i="4" s="1"/>
  <c r="R59" i="1"/>
  <c r="C16" i="4"/>
  <c r="Q59" i="1"/>
  <c r="A16" i="4" s="1"/>
  <c r="S58" i="1"/>
  <c r="D15" i="4" s="1"/>
  <c r="R58" i="1"/>
  <c r="C15" i="4" s="1"/>
  <c r="Q58" i="1"/>
  <c r="A15" i="4" s="1"/>
  <c r="S57" i="1"/>
  <c r="T57" i="1" s="1"/>
  <c r="E14" i="4" s="1"/>
  <c r="D14" i="4"/>
  <c r="R57" i="1"/>
  <c r="C14" i="4" s="1"/>
  <c r="Q57" i="1"/>
  <c r="A14" i="4"/>
  <c r="S56" i="1"/>
  <c r="D13" i="4" s="1"/>
  <c r="R56" i="1"/>
  <c r="C13" i="4"/>
  <c r="Q56" i="1"/>
  <c r="A13" i="4" s="1"/>
  <c r="S55" i="1"/>
  <c r="I54" i="1"/>
  <c r="I55" i="1" s="1"/>
  <c r="R55" i="1"/>
  <c r="Q55" i="1"/>
  <c r="A12" i="4" s="1"/>
  <c r="B55" i="1"/>
  <c r="G54" i="1"/>
  <c r="T53" i="1"/>
  <c r="I56" i="1" s="1"/>
  <c r="I57" i="1" s="1"/>
  <c r="I58" i="1" s="1"/>
  <c r="R53" i="1"/>
  <c r="Q48" i="1"/>
  <c r="A27" i="3" s="1"/>
  <c r="S47" i="1"/>
  <c r="D26" i="3" s="1"/>
  <c r="Q47" i="1"/>
  <c r="A26" i="3" s="1"/>
  <c r="S46" i="1"/>
  <c r="T46" i="1" s="1"/>
  <c r="E25" i="3"/>
  <c r="Q46" i="1"/>
  <c r="A25" i="3" s="1"/>
  <c r="S45" i="1"/>
  <c r="D24" i="3"/>
  <c r="S42" i="1"/>
  <c r="T42" i="1" s="1"/>
  <c r="E21" i="3" s="1"/>
  <c r="S41" i="1"/>
  <c r="D20" i="3"/>
  <c r="N41" i="1"/>
  <c r="B41" i="1"/>
  <c r="Q37" i="1"/>
  <c r="A16" i="3"/>
  <c r="S40" i="1"/>
  <c r="T40" i="1" s="1"/>
  <c r="E19" i="3" s="1"/>
  <c r="N40" i="1"/>
  <c r="S39" i="1"/>
  <c r="D18" i="3" s="1"/>
  <c r="Q39" i="1"/>
  <c r="A18" i="3" s="1"/>
  <c r="N39" i="1"/>
  <c r="S38" i="1"/>
  <c r="T38" i="1" s="1"/>
  <c r="E17" i="3" s="1"/>
  <c r="R38" i="1"/>
  <c r="C17" i="3" s="1"/>
  <c r="Q38" i="1"/>
  <c r="A17" i="3" s="1"/>
  <c r="N38" i="1"/>
  <c r="S37" i="1"/>
  <c r="D16" i="3"/>
  <c r="R37" i="1"/>
  <c r="C16" i="3" s="1"/>
  <c r="N37" i="1"/>
  <c r="S36" i="1"/>
  <c r="T36" i="1" s="1"/>
  <c r="E15" i="3" s="1"/>
  <c r="R36" i="1"/>
  <c r="C15" i="3" s="1"/>
  <c r="Q36" i="1"/>
  <c r="A15" i="3"/>
  <c r="N36" i="1"/>
  <c r="E36" i="1"/>
  <c r="D36" i="1"/>
  <c r="S44" i="1" s="1"/>
  <c r="C36" i="1"/>
  <c r="S35" i="1"/>
  <c r="D14" i="3" s="1"/>
  <c r="R35" i="1"/>
  <c r="C14" i="3" s="1"/>
  <c r="Q35" i="1"/>
  <c r="A14" i="3"/>
  <c r="N35" i="1"/>
  <c r="C35" i="1"/>
  <c r="R33" i="1" s="1"/>
  <c r="C12" i="3" s="1"/>
  <c r="B35" i="1"/>
  <c r="Q33" i="1" s="1"/>
  <c r="A12" i="3" s="1"/>
  <c r="R34" i="1"/>
  <c r="C13" i="3" s="1"/>
  <c r="Q34" i="1"/>
  <c r="A13" i="3" s="1"/>
  <c r="N34" i="1"/>
  <c r="N33" i="1"/>
  <c r="B33" i="1"/>
  <c r="T31" i="1"/>
  <c r="M46" i="1" s="1"/>
  <c r="R31" i="1"/>
  <c r="L29" i="1"/>
  <c r="S27" i="1"/>
  <c r="D32" i="2" s="1"/>
  <c r="S26" i="1"/>
  <c r="D31" i="2" s="1"/>
  <c r="S25" i="1"/>
  <c r="D30" i="2" s="1"/>
  <c r="E25" i="1"/>
  <c r="D25" i="1"/>
  <c r="C25" i="1"/>
  <c r="T24" i="1"/>
  <c r="E29" i="2" s="1"/>
  <c r="Q23" i="1"/>
  <c r="A28" i="2" s="1"/>
  <c r="S22" i="1"/>
  <c r="D27" i="2" s="1"/>
  <c r="Q22" i="1"/>
  <c r="A27" i="2" s="1"/>
  <c r="S21" i="1"/>
  <c r="T21" i="1" s="1"/>
  <c r="E26" i="2" s="1"/>
  <c r="Q21" i="1"/>
  <c r="A26" i="2" s="1"/>
  <c r="S20" i="1"/>
  <c r="D25" i="2" s="1"/>
  <c r="Q27" i="1"/>
  <c r="A32" i="2" s="1"/>
  <c r="Q26" i="1"/>
  <c r="A31" i="2" s="1"/>
  <c r="N19" i="1"/>
  <c r="N18" i="1"/>
  <c r="N17" i="1"/>
  <c r="S16" i="1"/>
  <c r="T16" i="1" s="1"/>
  <c r="E21" i="2" s="1"/>
  <c r="N16" i="1"/>
  <c r="S15" i="1"/>
  <c r="D20" i="2" s="1"/>
  <c r="T15" i="1"/>
  <c r="E20" i="2" s="1"/>
  <c r="N15" i="1"/>
  <c r="S14" i="1"/>
  <c r="D19" i="2" s="1"/>
  <c r="N14" i="1"/>
  <c r="S13" i="1"/>
  <c r="D18" i="2" s="1"/>
  <c r="Q13" i="1"/>
  <c r="A18" i="2" s="1"/>
  <c r="N13" i="1"/>
  <c r="S12" i="1"/>
  <c r="T12" i="1" s="1"/>
  <c r="E17" i="2" s="1"/>
  <c r="D17" i="2"/>
  <c r="R12" i="1"/>
  <c r="C17" i="2" s="1"/>
  <c r="Q12" i="1"/>
  <c r="A17" i="2"/>
  <c r="N12" i="1"/>
  <c r="S11" i="1"/>
  <c r="D16" i="2" s="1"/>
  <c r="R11" i="1"/>
  <c r="C16" i="2"/>
  <c r="N11" i="1"/>
  <c r="S10" i="1"/>
  <c r="D15" i="2" s="1"/>
  <c r="R10" i="1"/>
  <c r="C15" i="2" s="1"/>
  <c r="Q10" i="1"/>
  <c r="A15" i="2"/>
  <c r="N10" i="1"/>
  <c r="S9" i="1"/>
  <c r="D14" i="2" s="1"/>
  <c r="R9" i="1"/>
  <c r="C14" i="2"/>
  <c r="Q9" i="1"/>
  <c r="A14" i="2" s="1"/>
  <c r="N9" i="1"/>
  <c r="E9" i="1"/>
  <c r="C9" i="1"/>
  <c r="S19" i="1" s="1"/>
  <c r="R8" i="1"/>
  <c r="C13" i="2" s="1"/>
  <c r="Q8" i="1"/>
  <c r="A13" i="2" s="1"/>
  <c r="N8" i="1"/>
  <c r="C8" i="1"/>
  <c r="R7" i="1" s="1"/>
  <c r="C12" i="2" s="1"/>
  <c r="B8" i="1"/>
  <c r="Q7" i="1" s="1"/>
  <c r="A12" i="2" s="1"/>
  <c r="N7" i="1"/>
  <c r="N6" i="1"/>
  <c r="B6" i="1"/>
  <c r="T5" i="1"/>
  <c r="M23" i="1"/>
  <c r="R5" i="1"/>
  <c r="N5" i="1"/>
  <c r="V4" i="1"/>
  <c r="V3" i="1"/>
  <c r="T55" i="1"/>
  <c r="E12" i="4" s="1"/>
  <c r="T45" i="1"/>
  <c r="E24" i="3"/>
  <c r="S23" i="1"/>
  <c r="T23" i="1" s="1"/>
  <c r="E28" i="2" s="1"/>
  <c r="L4" i="8"/>
  <c r="X24" i="8" s="1"/>
  <c r="X13" i="8"/>
  <c r="Y13" i="8" s="1"/>
  <c r="V27" i="8"/>
  <c r="N17" i="8"/>
  <c r="Z33" i="8" s="1"/>
  <c r="W34" i="8"/>
  <c r="AB9" i="10"/>
  <c r="AA6" i="10"/>
  <c r="T87" i="1"/>
  <c r="E20" i="5" s="1"/>
  <c r="P14" i="8"/>
  <c r="L6" i="8"/>
  <c r="X26" i="8" s="1"/>
  <c r="N6" i="8"/>
  <c r="Z26" i="8" s="1"/>
  <c r="L15" i="8"/>
  <c r="X31" i="8" s="1"/>
  <c r="I32" i="9"/>
  <c r="J32" i="9" s="1"/>
  <c r="I33" i="9"/>
  <c r="D26" i="5"/>
  <c r="T37" i="1"/>
  <c r="E16" i="3"/>
  <c r="A22" i="6"/>
  <c r="D14" i="6"/>
  <c r="A22" i="5"/>
  <c r="T88" i="1"/>
  <c r="E21" i="5" s="1"/>
  <c r="T11" i="1"/>
  <c r="E16" i="2" s="1"/>
  <c r="T116" i="1"/>
  <c r="E26" i="6" s="1"/>
  <c r="T20" i="1"/>
  <c r="E25" i="2" s="1"/>
  <c r="T84" i="1"/>
  <c r="E17" i="5" s="1"/>
  <c r="T27" i="1"/>
  <c r="E32" i="2" s="1"/>
  <c r="T63" i="1"/>
  <c r="E20" i="4" s="1"/>
  <c r="D18" i="5"/>
  <c r="S90" i="1"/>
  <c r="T90" i="1" s="1"/>
  <c r="E23" i="5" s="1"/>
  <c r="T89" i="1"/>
  <c r="E22" i="5" s="1"/>
  <c r="T92" i="1"/>
  <c r="E25" i="5" s="1"/>
  <c r="T80" i="1"/>
  <c r="E13" i="5" s="1"/>
  <c r="D14" i="5"/>
  <c r="T79" i="1"/>
  <c r="E12" i="5" s="1"/>
  <c r="D24" i="5"/>
  <c r="T91" i="1"/>
  <c r="E24" i="5" s="1"/>
  <c r="T86" i="1"/>
  <c r="E19" i="5" s="1"/>
  <c r="T81" i="1"/>
  <c r="E14" i="5" s="1"/>
  <c r="T94" i="1"/>
  <c r="E27" i="5" s="1"/>
  <c r="T83" i="1"/>
  <c r="E16" i="5" s="1"/>
  <c r="T62" i="1"/>
  <c r="E19" i="4"/>
  <c r="D12" i="4"/>
  <c r="T56" i="1"/>
  <c r="E13" i="4" s="1"/>
  <c r="A22" i="3"/>
  <c r="T47" i="1"/>
  <c r="E26" i="3" s="1"/>
  <c r="S34" i="1"/>
  <c r="D13" i="3" s="1"/>
  <c r="D21" i="2"/>
  <c r="T22" i="1"/>
  <c r="E27" i="2" s="1"/>
  <c r="D26" i="2"/>
  <c r="T10" i="1"/>
  <c r="E15" i="2" s="1"/>
  <c r="T44" i="1"/>
  <c r="E23" i="3" s="1"/>
  <c r="D23" i="3"/>
  <c r="D21" i="3"/>
  <c r="D25" i="3"/>
  <c r="S43" i="1"/>
  <c r="D15" i="3"/>
  <c r="S33" i="1"/>
  <c r="T33" i="1" s="1"/>
  <c r="E12" i="3" s="1"/>
  <c r="S48" i="1"/>
  <c r="D27" i="3" s="1"/>
  <c r="T41" i="1"/>
  <c r="E20" i="3"/>
  <c r="T34" i="1"/>
  <c r="E13" i="3" s="1"/>
  <c r="T43" i="1"/>
  <c r="E22" i="3" s="1"/>
  <c r="D22" i="3"/>
  <c r="R9" i="8" l="1"/>
  <c r="T109" i="1"/>
  <c r="E19" i="6" s="1"/>
  <c r="T103" i="1"/>
  <c r="E13" i="6" s="1"/>
  <c r="D17" i="6"/>
  <c r="D24" i="6"/>
  <c r="T112" i="1"/>
  <c r="E22" i="6" s="1"/>
  <c r="D25" i="6"/>
  <c r="L14" i="8"/>
  <c r="X30" i="8" s="1"/>
  <c r="X5" i="8"/>
  <c r="Y5" i="8" s="1"/>
  <c r="X15" i="8"/>
  <c r="Y15" i="8" s="1"/>
  <c r="X17" i="8"/>
  <c r="Y17" i="8" s="1"/>
  <c r="N13" i="9"/>
  <c r="J10" i="9"/>
  <c r="N14" i="9"/>
  <c r="J11" i="9"/>
  <c r="N24" i="9"/>
  <c r="J22" i="9"/>
  <c r="N29" i="9"/>
  <c r="J27" i="9"/>
  <c r="N15" i="9"/>
  <c r="J13" i="9"/>
  <c r="N12" i="9"/>
  <c r="J9" i="9"/>
  <c r="N16" i="9"/>
  <c r="J14" i="9"/>
  <c r="N17" i="9"/>
  <c r="J15" i="9"/>
  <c r="N18" i="9"/>
  <c r="J16" i="9"/>
  <c r="I34" i="9"/>
  <c r="J34" i="9" s="1"/>
  <c r="J33" i="9"/>
  <c r="N37" i="9"/>
  <c r="J35" i="9"/>
  <c r="H32" i="9"/>
  <c r="N27" i="9"/>
  <c r="M9" i="9"/>
  <c r="N41" i="9"/>
  <c r="E39" i="9"/>
  <c r="N40" i="9"/>
  <c r="E38" i="9"/>
  <c r="N5" i="9"/>
  <c r="O5" i="9" s="1"/>
  <c r="E9" i="9"/>
  <c r="N6" i="9"/>
  <c r="E10" i="9"/>
  <c r="N9" i="9"/>
  <c r="E15" i="9"/>
  <c r="N10" i="9"/>
  <c r="E16" i="9"/>
  <c r="N25" i="9"/>
  <c r="E23" i="9"/>
  <c r="N30" i="9"/>
  <c r="E28" i="9"/>
  <c r="N7" i="9"/>
  <c r="E11" i="9"/>
  <c r="N21" i="9"/>
  <c r="E19" i="9"/>
  <c r="N23" i="9"/>
  <c r="E21" i="9"/>
  <c r="N32" i="9"/>
  <c r="N20" i="9"/>
  <c r="N8" i="9"/>
  <c r="E13" i="9"/>
  <c r="N26" i="9"/>
  <c r="E24" i="9"/>
  <c r="N28" i="9"/>
  <c r="E26" i="9"/>
  <c r="M8" i="9"/>
  <c r="M7" i="9"/>
  <c r="N38" i="9"/>
  <c r="E36" i="9"/>
  <c r="AA24" i="10"/>
  <c r="AC23" i="10"/>
  <c r="X29" i="10"/>
  <c r="AC24" i="10"/>
  <c r="X6" i="10"/>
  <c r="X7" i="10" s="1"/>
  <c r="J6" i="10"/>
  <c r="J7" i="10" s="1"/>
  <c r="AC27" i="10"/>
  <c r="Y8" i="10"/>
  <c r="AD27" i="10" s="1"/>
  <c r="AC28" i="10"/>
  <c r="Y9" i="10"/>
  <c r="AC19" i="10"/>
  <c r="AC8" i="10" s="1"/>
  <c r="K8" i="10"/>
  <c r="AD19" i="10" s="1"/>
  <c r="AC16" i="10"/>
  <c r="J28" i="10"/>
  <c r="AC30" i="10" s="1"/>
  <c r="K4" i="10"/>
  <c r="AD15" i="10" s="1"/>
  <c r="J29" i="10"/>
  <c r="N88" i="12"/>
  <c r="N75" i="12"/>
  <c r="G52" i="12"/>
  <c r="Q102" i="1"/>
  <c r="A12" i="6" s="1"/>
  <c r="AA4" i="10"/>
  <c r="N5" i="8"/>
  <c r="Z25" i="8" s="1"/>
  <c r="T113" i="1"/>
  <c r="E23" i="6" s="1"/>
  <c r="D24" i="4"/>
  <c r="T39" i="1"/>
  <c r="E18" i="3" s="1"/>
  <c r="V33" i="8"/>
  <c r="AB8" i="10"/>
  <c r="N22" i="9"/>
  <c r="X10" i="10"/>
  <c r="N40" i="12"/>
  <c r="N39" i="12"/>
  <c r="AA9" i="1"/>
  <c r="I88" i="1"/>
  <c r="I90" i="1" s="1"/>
  <c r="I91" i="1" s="1"/>
  <c r="L5" i="8"/>
  <c r="X25" i="8" s="1"/>
  <c r="D19" i="3"/>
  <c r="T64" i="1"/>
  <c r="E21" i="4" s="1"/>
  <c r="D15" i="6"/>
  <c r="T25" i="1"/>
  <c r="E30" i="2" s="1"/>
  <c r="AC4" i="10"/>
  <c r="T111" i="1"/>
  <c r="E21" i="6" s="1"/>
  <c r="T108" i="1"/>
  <c r="E18" i="6" s="1"/>
  <c r="N4" i="8"/>
  <c r="Z24" i="8" s="1"/>
  <c r="M44" i="1"/>
  <c r="M45" i="1" s="1"/>
  <c r="M47" i="1" s="1"/>
  <c r="M48" i="1" s="1"/>
  <c r="T9" i="1"/>
  <c r="E14" i="2" s="1"/>
  <c r="I87" i="1"/>
  <c r="Q79" i="1"/>
  <c r="S8" i="1"/>
  <c r="D13" i="2" s="1"/>
  <c r="T65" i="1"/>
  <c r="E22" i="4" s="1"/>
  <c r="T110" i="1"/>
  <c r="E20" i="6" s="1"/>
  <c r="T60" i="1"/>
  <c r="E17" i="4" s="1"/>
  <c r="S102" i="1"/>
  <c r="S117" i="1" s="1"/>
  <c r="X14" i="8"/>
  <c r="Y14" i="8" s="1"/>
  <c r="S19" i="8"/>
  <c r="X12" i="8" s="1"/>
  <c r="S66" i="1"/>
  <c r="N42" i="9"/>
  <c r="AC9" i="10"/>
  <c r="AK21" i="12"/>
  <c r="J10" i="10"/>
  <c r="AB2" i="10"/>
  <c r="N5" i="12"/>
  <c r="M5" i="12"/>
  <c r="W30" i="8"/>
  <c r="N14" i="8"/>
  <c r="Z30" i="8" s="1"/>
  <c r="L47" i="12"/>
  <c r="N64" i="12"/>
  <c r="D24" i="2"/>
  <c r="T19" i="1"/>
  <c r="E24" i="2" s="1"/>
  <c r="AP18" i="12"/>
  <c r="AB18" i="12"/>
  <c r="M77" i="12"/>
  <c r="N77" i="12"/>
  <c r="X11" i="8"/>
  <c r="Y11" i="8" s="1"/>
  <c r="V34" i="8"/>
  <c r="N39" i="9"/>
  <c r="M54" i="12"/>
  <c r="X9" i="12"/>
  <c r="H26" i="12"/>
  <c r="I26" i="12" s="1"/>
  <c r="M29" i="12" s="1"/>
  <c r="H27" i="12"/>
  <c r="I27" i="12" s="1"/>
  <c r="H50" i="12"/>
  <c r="I50" i="12" s="1"/>
  <c r="N53" i="12" s="1"/>
  <c r="H75" i="12"/>
  <c r="I75" i="12" s="1"/>
  <c r="T48" i="1"/>
  <c r="E27" i="3" s="1"/>
  <c r="S18" i="1"/>
  <c r="B9" i="3"/>
  <c r="D25" i="4"/>
  <c r="D23" i="5"/>
  <c r="D17" i="3"/>
  <c r="T14" i="1"/>
  <c r="E19" i="2" s="1"/>
  <c r="T35" i="1"/>
  <c r="E14" i="3" s="1"/>
  <c r="T58" i="1"/>
  <c r="E15" i="4" s="1"/>
  <c r="K44" i="1"/>
  <c r="T26" i="1"/>
  <c r="E31" i="2" s="1"/>
  <c r="I9" i="8"/>
  <c r="X4" i="8" s="1"/>
  <c r="Y4" i="8" s="1"/>
  <c r="Q9" i="8"/>
  <c r="X10" i="8" s="1"/>
  <c r="Y10" i="8" s="1"/>
  <c r="AB26" i="10"/>
  <c r="AA10" i="10"/>
  <c r="H3" i="12"/>
  <c r="I3" i="12" s="1"/>
  <c r="H4" i="12"/>
  <c r="I4" i="12" s="1"/>
  <c r="N7" i="12" s="1"/>
  <c r="H25" i="12"/>
  <c r="I25" i="12" s="1"/>
  <c r="N18" i="8"/>
  <c r="Z34" i="8" s="1"/>
  <c r="L16" i="8"/>
  <c r="X32" i="8" s="1"/>
  <c r="G29" i="12"/>
  <c r="N43" i="12" s="1"/>
  <c r="G10" i="15"/>
  <c r="D10" i="15"/>
  <c r="E10" i="15" s="1"/>
  <c r="O8" i="14"/>
  <c r="G46" i="14"/>
  <c r="H46" i="14" s="1"/>
  <c r="L9" i="14"/>
  <c r="G42" i="14"/>
  <c r="H42" i="14" s="1"/>
  <c r="G38" i="14"/>
  <c r="H38" i="14" s="1"/>
  <c r="G50" i="14"/>
  <c r="H50" i="14" s="1"/>
  <c r="G56" i="14"/>
  <c r="H56" i="14" s="1"/>
  <c r="F44" i="14"/>
  <c r="G44" i="14" s="1"/>
  <c r="H44" i="14" s="1"/>
  <c r="H10" i="15"/>
  <c r="D12" i="3"/>
  <c r="C12" i="4"/>
  <c r="B9" i="4"/>
  <c r="X16" i="8"/>
  <c r="Y16" i="8" s="1"/>
  <c r="N27" i="12"/>
  <c r="S17" i="1"/>
  <c r="T13" i="1"/>
  <c r="E18" i="2" s="1"/>
  <c r="D16" i="6"/>
  <c r="T106" i="1"/>
  <c r="E16" i="6" s="1"/>
  <c r="W31" i="8"/>
  <c r="N15" i="8"/>
  <c r="AP19" i="12"/>
  <c r="AB19" i="12"/>
  <c r="M30" i="12"/>
  <c r="N30" i="12"/>
  <c r="M53" i="12"/>
  <c r="P16" i="8"/>
  <c r="P19" i="8" s="1"/>
  <c r="X8" i="8" s="1"/>
  <c r="Y8" i="8" s="1"/>
  <c r="D18" i="8"/>
  <c r="M78" i="12"/>
  <c r="N78" i="12"/>
  <c r="M6" i="12"/>
  <c r="N6" i="12"/>
  <c r="M7" i="12"/>
  <c r="M8" i="12"/>
  <c r="N8" i="12"/>
  <c r="C26" i="1"/>
  <c r="E26" i="1" s="1"/>
  <c r="D32" i="9"/>
  <c r="E32" i="9" s="1"/>
  <c r="N31" i="9"/>
  <c r="AN14" i="12"/>
  <c r="N51" i="12"/>
  <c r="N12" i="12"/>
  <c r="N29" i="12"/>
  <c r="C23" i="12"/>
  <c r="X15" i="12"/>
  <c r="H28" i="12"/>
  <c r="I28" i="12" s="1"/>
  <c r="C92" i="12"/>
  <c r="L71" i="12" s="1"/>
  <c r="N83" i="12"/>
  <c r="AA8" i="1"/>
  <c r="F10" i="14"/>
  <c r="G10" i="14" s="1"/>
  <c r="H10" i="14" s="1"/>
  <c r="F14" i="14"/>
  <c r="G14" i="14" s="1"/>
  <c r="H14" i="14" s="1"/>
  <c r="F18" i="14"/>
  <c r="G18" i="14" s="1"/>
  <c r="H18" i="14" s="1"/>
  <c r="F22" i="14"/>
  <c r="G22" i="14" s="1"/>
  <c r="H22" i="14" s="1"/>
  <c r="F26" i="14"/>
  <c r="G26" i="14" s="1"/>
  <c r="H26" i="14" s="1"/>
  <c r="F30" i="14"/>
  <c r="G30" i="14" s="1"/>
  <c r="H30" i="14" s="1"/>
  <c r="N84" i="12"/>
  <c r="H72" i="12"/>
  <c r="I72" i="12" s="1"/>
  <c r="F9" i="14"/>
  <c r="G9" i="14" s="1"/>
  <c r="H9" i="14" s="1"/>
  <c r="F13" i="14"/>
  <c r="G13" i="14" s="1"/>
  <c r="H13" i="14" s="1"/>
  <c r="F17" i="14"/>
  <c r="G17" i="14" s="1"/>
  <c r="H17" i="14" s="1"/>
  <c r="F21" i="14"/>
  <c r="G21" i="14" s="1"/>
  <c r="H21" i="14" s="1"/>
  <c r="F25" i="14"/>
  <c r="G25" i="14" s="1"/>
  <c r="H25" i="14" s="1"/>
  <c r="F29" i="14"/>
  <c r="G29" i="14" s="1"/>
  <c r="H29" i="14" s="1"/>
  <c r="N3" i="12"/>
  <c r="Z9" i="1"/>
  <c r="Y9" i="1"/>
  <c r="F12" i="14"/>
  <c r="G12" i="14" s="1"/>
  <c r="H12" i="14" s="1"/>
  <c r="F16" i="14"/>
  <c r="G16" i="14" s="1"/>
  <c r="H16" i="14" s="1"/>
  <c r="F20" i="14"/>
  <c r="G20" i="14" s="1"/>
  <c r="H20" i="14" s="1"/>
  <c r="F24" i="14"/>
  <c r="G24" i="14" s="1"/>
  <c r="H24" i="14" s="1"/>
  <c r="F28" i="14"/>
  <c r="G28" i="14" s="1"/>
  <c r="H28" i="14" s="1"/>
  <c r="F32" i="14"/>
  <c r="G32" i="14" s="1"/>
  <c r="H32" i="14" s="1"/>
  <c r="AA27" i="10"/>
  <c r="G6" i="12"/>
  <c r="M52" i="12"/>
  <c r="F11" i="14"/>
  <c r="G11" i="14" s="1"/>
  <c r="H11" i="14" s="1"/>
  <c r="F15" i="14"/>
  <c r="G15" i="14" s="1"/>
  <c r="H15" i="14" s="1"/>
  <c r="F19" i="14"/>
  <c r="G19" i="14" s="1"/>
  <c r="H19" i="14" s="1"/>
  <c r="F23" i="14"/>
  <c r="G23" i="14" s="1"/>
  <c r="H23" i="14" s="1"/>
  <c r="F27" i="14"/>
  <c r="G27" i="14" s="1"/>
  <c r="H27" i="14" s="1"/>
  <c r="F31" i="14"/>
  <c r="G31" i="14" s="1"/>
  <c r="H31" i="14" s="1"/>
  <c r="F52" i="14"/>
  <c r="G52" i="14" s="1"/>
  <c r="H52" i="14" s="1"/>
  <c r="F36" i="14"/>
  <c r="G36" i="14" s="1"/>
  <c r="H36" i="14" s="1"/>
  <c r="N61" i="12"/>
  <c r="N26" i="12"/>
  <c r="AB20" i="12"/>
  <c r="C46" i="12"/>
  <c r="S7" i="1"/>
  <c r="B9" i="2"/>
  <c r="D28" i="2"/>
  <c r="B9" i="6" l="1"/>
  <c r="N9" i="8"/>
  <c r="AC5" i="10"/>
  <c r="AD5" i="10" s="1"/>
  <c r="AC31" i="10"/>
  <c r="AC25" i="10"/>
  <c r="AC6" i="10" s="1"/>
  <c r="AD6" i="10" s="1"/>
  <c r="Y6" i="10"/>
  <c r="AD25" i="10" s="1"/>
  <c r="AC17" i="10"/>
  <c r="K6" i="10"/>
  <c r="AD17" i="10" s="1"/>
  <c r="AC29" i="10"/>
  <c r="Y10" i="10"/>
  <c r="AC26" i="10"/>
  <c r="Y7" i="10"/>
  <c r="AD26" i="10" s="1"/>
  <c r="AC21" i="10"/>
  <c r="AC10" i="10" s="1"/>
  <c r="AD10" i="10" s="1"/>
  <c r="K10" i="10"/>
  <c r="AC18" i="10"/>
  <c r="AC7" i="10" s="1"/>
  <c r="AD7" i="10" s="1"/>
  <c r="K7" i="10"/>
  <c r="AD18" i="10" s="1"/>
  <c r="T8" i="1"/>
  <c r="E13" i="2" s="1"/>
  <c r="D23" i="4"/>
  <c r="T66" i="1"/>
  <c r="E23" i="4" s="1"/>
  <c r="A12" i="5"/>
  <c r="B9" i="5"/>
  <c r="N65" i="12"/>
  <c r="N50" i="12"/>
  <c r="D12" i="6"/>
  <c r="M113" i="1"/>
  <c r="M114" i="1" s="1"/>
  <c r="M116" i="1" s="1"/>
  <c r="M117" i="1" s="1"/>
  <c r="T102" i="1"/>
  <c r="E12" i="6" s="1"/>
  <c r="AB10" i="12"/>
  <c r="AP10" i="12"/>
  <c r="D23" i="2"/>
  <c r="T18" i="1"/>
  <c r="E23" i="2" s="1"/>
  <c r="N28" i="12"/>
  <c r="M28" i="12"/>
  <c r="M79" i="12"/>
  <c r="N79" i="12"/>
  <c r="X10" i="12"/>
  <c r="AN10" i="12"/>
  <c r="E5" i="14"/>
  <c r="M9" i="14"/>
  <c r="N9" i="14" s="1"/>
  <c r="O9" i="14" s="1"/>
  <c r="L10" i="14"/>
  <c r="L11" i="14" s="1"/>
  <c r="AN13" i="12"/>
  <c r="X13" i="12"/>
  <c r="AN11" i="12"/>
  <c r="X11" i="12"/>
  <c r="D22" i="2"/>
  <c r="T17" i="1"/>
  <c r="E22" i="2" s="1"/>
  <c r="N76" i="12"/>
  <c r="M76" i="12"/>
  <c r="N4" i="12"/>
  <c r="N17" i="12"/>
  <c r="N31" i="12"/>
  <c r="M31" i="12"/>
  <c r="AB17" i="12"/>
  <c r="AP17" i="12"/>
  <c r="N34" i="9"/>
  <c r="D33" i="9"/>
  <c r="E33" i="9" s="1"/>
  <c r="X12" i="12"/>
  <c r="AN12" i="12"/>
  <c r="L24" i="12"/>
  <c r="N42" i="12"/>
  <c r="AB12" i="12"/>
  <c r="AP12" i="12"/>
  <c r="D11" i="15"/>
  <c r="G11" i="15"/>
  <c r="AB8" i="12"/>
  <c r="AP8" i="12"/>
  <c r="N16" i="12"/>
  <c r="L1" i="12"/>
  <c r="AP13" i="12"/>
  <c r="AB13" i="12"/>
  <c r="AB11" i="12"/>
  <c r="AP11" i="12"/>
  <c r="Z31" i="8"/>
  <c r="Z35" i="8" s="1"/>
  <c r="N19" i="8"/>
  <c r="D27" i="6"/>
  <c r="T117" i="1"/>
  <c r="E27" i="6" s="1"/>
  <c r="M21" i="1"/>
  <c r="M22" i="1" s="1"/>
  <c r="M24" i="1" s="1"/>
  <c r="M25" i="1" s="1"/>
  <c r="T7" i="1"/>
  <c r="E12" i="2" s="1"/>
  <c r="D12" i="2"/>
  <c r="B5" i="14" l="1"/>
  <c r="G5" i="14"/>
  <c r="M10" i="14"/>
  <c r="N10" i="14" s="1"/>
  <c r="P10" i="14" s="1"/>
  <c r="P9" i="14"/>
  <c r="L12" i="14"/>
  <c r="M11" i="14"/>
  <c r="AP22" i="12"/>
  <c r="AB22" i="12"/>
  <c r="AP9" i="12"/>
  <c r="AB9" i="12"/>
  <c r="N35" i="9"/>
  <c r="D34" i="9"/>
  <c r="AP21" i="12"/>
  <c r="AB21" i="12"/>
  <c r="E11" i="15"/>
  <c r="N36" i="9" l="1"/>
  <c r="E34" i="9"/>
  <c r="H11" i="15"/>
  <c r="N11" i="14"/>
  <c r="P11" i="14" s="1"/>
  <c r="O10" i="14"/>
  <c r="M12" i="14"/>
  <c r="L13" i="14"/>
  <c r="M13" i="14" l="1"/>
  <c r="L14" i="14"/>
  <c r="O11" i="14"/>
  <c r="N12" i="14"/>
  <c r="P12" i="14" s="1"/>
  <c r="D12" i="15"/>
  <c r="G12" i="15"/>
  <c r="O12" i="14" l="1"/>
  <c r="M14" i="14"/>
  <c r="L15" i="14"/>
  <c r="E12" i="15"/>
  <c r="N13" i="14"/>
  <c r="P13" i="14" s="1"/>
  <c r="H12" i="15" l="1"/>
  <c r="L16" i="14"/>
  <c r="M15" i="14"/>
  <c r="O13" i="14"/>
  <c r="N14" i="14"/>
  <c r="P14" i="14" s="1"/>
  <c r="O14" i="14" l="1"/>
  <c r="N15" i="14"/>
  <c r="P15" i="14" s="1"/>
  <c r="L17" i="14"/>
  <c r="M16" i="14"/>
  <c r="D13" i="15"/>
  <c r="G13" i="15"/>
  <c r="L18" i="14" l="1"/>
  <c r="M17" i="14"/>
  <c r="O15" i="14"/>
  <c r="E13" i="15"/>
  <c r="N16" i="14"/>
  <c r="P16" i="14" s="1"/>
  <c r="H13" i="15" l="1"/>
  <c r="M18" i="14"/>
  <c r="L19" i="14"/>
  <c r="O16" i="14"/>
  <c r="N17" i="14"/>
  <c r="P17" i="14" s="1"/>
  <c r="J5" i="14" l="1"/>
  <c r="G14" i="15"/>
  <c r="D14" i="15"/>
  <c r="L20" i="14"/>
  <c r="M19" i="14"/>
  <c r="O17" i="14"/>
  <c r="O6" i="14" s="1"/>
  <c r="N18" i="14"/>
  <c r="P18" i="14" s="1"/>
  <c r="M20" i="14" l="1"/>
  <c r="L21" i="14"/>
  <c r="O18" i="14"/>
  <c r="N19" i="14"/>
  <c r="P19" i="14" s="1"/>
  <c r="E14" i="15"/>
  <c r="H14" i="15" l="1"/>
  <c r="L22" i="14"/>
  <c r="M21" i="14"/>
  <c r="O19" i="14"/>
  <c r="N20" i="14"/>
  <c r="P20" i="14" s="1"/>
  <c r="O20" i="14" l="1"/>
  <c r="N21" i="14"/>
  <c r="P21" i="14" s="1"/>
  <c r="D15" i="15"/>
  <c r="G15" i="15"/>
  <c r="M22" i="14"/>
  <c r="L23" i="14"/>
  <c r="O21" i="14" l="1"/>
  <c r="L24" i="14"/>
  <c r="M23" i="14"/>
  <c r="N22" i="14"/>
  <c r="P22" i="14" s="1"/>
  <c r="E15" i="15"/>
  <c r="O22" i="14" l="1"/>
  <c r="N23" i="14"/>
  <c r="P23" i="14" s="1"/>
  <c r="H15" i="15"/>
  <c r="M24" i="14"/>
  <c r="L25" i="14"/>
  <c r="L26" i="14" l="1"/>
  <c r="M25" i="14"/>
  <c r="G16" i="15"/>
  <c r="D16" i="15"/>
  <c r="E16" i="15" s="1"/>
  <c r="H16" i="15" s="1"/>
  <c r="N24" i="14"/>
  <c r="P24" i="14" s="1"/>
  <c r="O23" i="14"/>
  <c r="O24" i="14" l="1"/>
  <c r="D17" i="15"/>
  <c r="G17" i="15"/>
  <c r="N25" i="14"/>
  <c r="P25" i="14" s="1"/>
  <c r="M26" i="14"/>
  <c r="L27" i="14"/>
  <c r="L28" i="14" l="1"/>
  <c r="M27" i="14"/>
  <c r="N26" i="14"/>
  <c r="P26" i="14" s="1"/>
  <c r="O25" i="14"/>
  <c r="E17" i="15"/>
  <c r="H17" i="15" s="1"/>
  <c r="O26" i="14" l="1"/>
  <c r="G18" i="15"/>
  <c r="D18" i="15"/>
  <c r="E18" i="15" s="1"/>
  <c r="H18" i="15" s="1"/>
  <c r="N27" i="14"/>
  <c r="P27" i="14" s="1"/>
  <c r="L29" i="14"/>
  <c r="M28" i="14"/>
  <c r="O27" i="14" l="1"/>
  <c r="D19" i="15"/>
  <c r="G19" i="15"/>
  <c r="N28" i="14"/>
  <c r="P28" i="14" s="1"/>
  <c r="L30" i="14"/>
  <c r="M29" i="14"/>
  <c r="O28" i="14" l="1"/>
  <c r="N29" i="14"/>
  <c r="P29" i="14" s="1"/>
  <c r="M30" i="14"/>
  <c r="L31" i="14"/>
  <c r="E19" i="15"/>
  <c r="H19" i="15" s="1"/>
  <c r="O29" i="14" l="1"/>
  <c r="N30" i="14"/>
  <c r="P30" i="14" s="1"/>
  <c r="G20" i="15"/>
  <c r="D20" i="15"/>
  <c r="E20" i="15" s="1"/>
  <c r="H20" i="15" s="1"/>
  <c r="M31" i="14"/>
  <c r="L32" i="14"/>
  <c r="G21" i="15" l="1"/>
  <c r="D21" i="15"/>
  <c r="E21" i="15" s="1"/>
  <c r="H21" i="15" s="1"/>
  <c r="L33" i="14"/>
  <c r="M32" i="14"/>
  <c r="N31" i="14"/>
  <c r="P31" i="14" s="1"/>
  <c r="O30" i="14"/>
  <c r="O31" i="14" l="1"/>
  <c r="G22" i="15"/>
  <c r="D22" i="15"/>
  <c r="E22" i="15" s="1"/>
  <c r="H22" i="15" s="1"/>
  <c r="L34" i="14"/>
  <c r="M33" i="14"/>
  <c r="N32" i="14"/>
  <c r="P32" i="14" s="1"/>
  <c r="O32" i="14" l="1"/>
  <c r="D23" i="15"/>
  <c r="G23" i="15"/>
  <c r="L35" i="14"/>
  <c r="M34" i="14"/>
  <c r="N33" i="14"/>
  <c r="P33" i="14" s="1"/>
  <c r="E23" i="15" l="1"/>
  <c r="H23" i="15" s="1"/>
  <c r="G24" i="15"/>
  <c r="D24" i="15"/>
  <c r="E24" i="15" s="1"/>
  <c r="H24" i="15" s="1"/>
  <c r="O33" i="14"/>
  <c r="L36" i="14"/>
  <c r="M35" i="14"/>
  <c r="N34" i="14"/>
  <c r="P34" i="14" s="1"/>
  <c r="D25" i="15" l="1"/>
  <c r="G25" i="15"/>
  <c r="N35" i="14"/>
  <c r="P35" i="14" s="1"/>
  <c r="L37" i="14"/>
  <c r="M36" i="14"/>
  <c r="O34" i="14"/>
  <c r="O35" i="14" l="1"/>
  <c r="N36" i="14"/>
  <c r="P36" i="14" s="1"/>
  <c r="L38" i="14"/>
  <c r="M37" i="14"/>
  <c r="E25" i="15"/>
  <c r="H25" i="15" s="1"/>
  <c r="D26" i="15" l="1"/>
  <c r="G26" i="15"/>
  <c r="N37" i="14"/>
  <c r="P37" i="14" s="1"/>
  <c r="L39" i="14"/>
  <c r="M38" i="14"/>
  <c r="O36" i="14"/>
  <c r="E26" i="15" l="1"/>
  <c r="H26" i="15" s="1"/>
  <c r="G27" i="15"/>
  <c r="D27" i="15"/>
  <c r="E27" i="15" s="1"/>
  <c r="H27" i="15"/>
  <c r="N38" i="14"/>
  <c r="P38" i="14" s="1"/>
  <c r="L40" i="14"/>
  <c r="M39" i="14"/>
  <c r="O37" i="14"/>
  <c r="O38" i="14" l="1"/>
  <c r="N39" i="14"/>
  <c r="P39" i="14" s="1"/>
  <c r="G28" i="15"/>
  <c r="D28" i="15"/>
  <c r="L41" i="14"/>
  <c r="M40" i="14"/>
  <c r="O39" i="14" l="1"/>
  <c r="N40" i="14"/>
  <c r="P40" i="14" s="1"/>
  <c r="L42" i="14"/>
  <c r="M41" i="14"/>
  <c r="E28" i="15"/>
  <c r="H28" i="15" s="1"/>
  <c r="L43" i="14" l="1"/>
  <c r="M42" i="14"/>
  <c r="D29" i="15"/>
  <c r="G29" i="15"/>
  <c r="N41" i="14"/>
  <c r="P41" i="14" s="1"/>
  <c r="O40" i="14"/>
  <c r="E29" i="15" l="1"/>
  <c r="H29" i="15" s="1"/>
  <c r="O41" i="14"/>
  <c r="G30" i="15"/>
  <c r="D30" i="15"/>
  <c r="E30" i="15" s="1"/>
  <c r="H30" i="15" s="1"/>
  <c r="N42" i="14"/>
  <c r="P42" i="14" s="1"/>
  <c r="L44" i="14"/>
  <c r="M43" i="14"/>
  <c r="O42" i="14" l="1"/>
  <c r="N43" i="14"/>
  <c r="P43" i="14" s="1"/>
  <c r="G31" i="15"/>
  <c r="D31" i="15"/>
  <c r="L45" i="14"/>
  <c r="M44" i="14"/>
  <c r="N44" i="14" l="1"/>
  <c r="P44" i="14" s="1"/>
  <c r="L46" i="14"/>
  <c r="M45" i="14"/>
  <c r="E31" i="15"/>
  <c r="H31" i="15" s="1"/>
  <c r="O43" i="14"/>
  <c r="O44" i="14" l="1"/>
  <c r="L47" i="14"/>
  <c r="M46" i="14"/>
  <c r="G32" i="15"/>
  <c r="D32" i="15"/>
  <c r="N45" i="14"/>
  <c r="P45" i="14" s="1"/>
  <c r="E32" i="15" l="1"/>
  <c r="H32" i="15" s="1"/>
  <c r="G33" i="15"/>
  <c r="D33" i="15"/>
  <c r="E33" i="15" s="1"/>
  <c r="H33" i="15" s="1"/>
  <c r="O45" i="14"/>
  <c r="N46" i="14"/>
  <c r="P46" i="14" s="1"/>
  <c r="L48" i="14"/>
  <c r="M47" i="14"/>
  <c r="O46" i="14" l="1"/>
  <c r="G34" i="15"/>
  <c r="D34" i="15"/>
  <c r="E34" i="15" s="1"/>
  <c r="H34" i="15" s="1"/>
  <c r="L49" i="14"/>
  <c r="M48" i="14"/>
  <c r="N47" i="14"/>
  <c r="P47" i="14" s="1"/>
  <c r="O47" i="14" l="1"/>
  <c r="G35" i="15"/>
  <c r="D35" i="15"/>
  <c r="E35" i="15" s="1"/>
  <c r="H35" i="15" s="1"/>
  <c r="L50" i="14"/>
  <c r="M49" i="14"/>
  <c r="N48" i="14"/>
  <c r="P48" i="14" s="1"/>
  <c r="D36" i="15" l="1"/>
  <c r="G36" i="15"/>
  <c r="L51" i="14"/>
  <c r="M50" i="14"/>
  <c r="O48" i="14"/>
  <c r="N49" i="14"/>
  <c r="P49" i="14" s="1"/>
  <c r="E36" i="15" l="1"/>
  <c r="H36" i="15" s="1"/>
  <c r="G37" i="15"/>
  <c r="D37" i="15"/>
  <c r="E37" i="15" s="1"/>
  <c r="H37" i="15" s="1"/>
  <c r="L52" i="14"/>
  <c r="M51" i="14"/>
  <c r="O49" i="14"/>
  <c r="N50" i="14"/>
  <c r="P50" i="14" s="1"/>
  <c r="G38" i="15" l="1"/>
  <c r="D38" i="15"/>
  <c r="E38" i="15" s="1"/>
  <c r="H38" i="15" s="1"/>
  <c r="L53" i="14"/>
  <c r="M52" i="14"/>
  <c r="O50" i="14"/>
  <c r="N51" i="14"/>
  <c r="P51" i="14" s="1"/>
  <c r="D39" i="15" l="1"/>
  <c r="G39" i="15"/>
  <c r="L54" i="14"/>
  <c r="M53" i="14"/>
  <c r="O51" i="14"/>
  <c r="N52" i="14"/>
  <c r="P52" i="14" s="1"/>
  <c r="N53" i="14" l="1"/>
  <c r="P53" i="14" s="1"/>
  <c r="E39" i="15"/>
  <c r="H39" i="15" s="1"/>
  <c r="O52" i="14"/>
  <c r="L55" i="14"/>
  <c r="M54" i="14"/>
  <c r="O53" i="14" l="1"/>
  <c r="D40" i="15"/>
  <c r="G40" i="15"/>
  <c r="N54" i="14"/>
  <c r="P54" i="14" s="1"/>
  <c r="M55" i="14"/>
  <c r="L56" i="14"/>
  <c r="L57" i="14" l="1"/>
  <c r="M56" i="14"/>
  <c r="N55" i="14"/>
  <c r="P55" i="14" s="1"/>
  <c r="O54" i="14"/>
  <c r="E40" i="15"/>
  <c r="H40" i="15" s="1"/>
  <c r="O55" i="14" l="1"/>
  <c r="G41" i="15"/>
  <c r="D41" i="15"/>
  <c r="E41" i="15" s="1"/>
  <c r="H41" i="15" s="1"/>
  <c r="N56" i="14"/>
  <c r="P56" i="14" s="1"/>
  <c r="M57" i="14"/>
  <c r="G42" i="15" l="1"/>
  <c r="D42" i="15"/>
  <c r="E42" i="15" s="1"/>
  <c r="H42" i="15" s="1"/>
  <c r="N57" i="14"/>
  <c r="P57" i="14" s="1"/>
  <c r="O56" i="14"/>
  <c r="O57" i="14" l="1"/>
  <c r="G43" i="15"/>
  <c r="D43" i="15"/>
  <c r="E43" i="15" s="1"/>
  <c r="H43" i="15" s="1"/>
  <c r="D44" i="15" l="1"/>
  <c r="G44" i="15"/>
  <c r="E44" i="15" l="1"/>
  <c r="H44" i="15" s="1"/>
  <c r="G45" i="15" l="1"/>
  <c r="D45" i="15"/>
  <c r="E45" i="15" s="1"/>
  <c r="H45" i="15" s="1"/>
  <c r="D46" i="15" l="1"/>
  <c r="E46" i="15" s="1"/>
  <c r="H46" i="15" s="1"/>
  <c r="G46" i="15"/>
  <c r="G47" i="15" l="1"/>
  <c r="D47" i="15"/>
  <c r="E47" i="15" s="1"/>
  <c r="H47" i="15" s="1"/>
  <c r="D48" i="15" l="1"/>
  <c r="E48" i="15" s="1"/>
  <c r="H48" i="15" s="1"/>
  <c r="G48" i="15"/>
  <c r="G49" i="15" l="1"/>
  <c r="D49" i="15"/>
  <c r="E49" i="15" s="1"/>
  <c r="H49" i="15" s="1"/>
  <c r="D50" i="15" l="1"/>
  <c r="G50" i="15"/>
  <c r="E50" i="15" l="1"/>
  <c r="H50" i="15" s="1"/>
  <c r="G51" i="15" l="1"/>
  <c r="D51" i="15"/>
  <c r="E51" i="15" s="1"/>
  <c r="H51" i="15" s="1"/>
  <c r="D52" i="15" l="1"/>
  <c r="E52" i="15" s="1"/>
  <c r="H52" i="15" s="1"/>
  <c r="G52" i="15"/>
  <c r="G53" i="15" l="1"/>
  <c r="D53" i="15"/>
  <c r="E53" i="15" s="1"/>
  <c r="H53" i="15" s="1"/>
  <c r="D54" i="15" l="1"/>
  <c r="G54" i="15"/>
  <c r="E54" i="15" l="1"/>
  <c r="H54" i="15" s="1"/>
  <c r="G55" i="15" l="1"/>
  <c r="D55" i="15"/>
  <c r="E55" i="15" s="1"/>
  <c r="H55" i="15" s="1"/>
  <c r="D56" i="15" l="1"/>
  <c r="E56" i="15" s="1"/>
  <c r="H56" i="15" s="1"/>
  <c r="G56" i="15"/>
  <c r="G57" i="15" l="1"/>
  <c r="D57" i="15"/>
  <c r="E57" i="15" s="1"/>
  <c r="H57" i="15" s="1"/>
  <c r="D58" i="15" l="1"/>
  <c r="G58" i="15"/>
  <c r="E58" i="15" l="1"/>
  <c r="H58" i="15" s="1"/>
  <c r="G59" i="15" l="1"/>
  <c r="D59" i="15"/>
  <c r="E59" i="15" s="1"/>
  <c r="H59" i="15" s="1"/>
  <c r="D60" i="15" l="1"/>
  <c r="G60" i="15"/>
  <c r="E60" i="15" l="1"/>
  <c r="H60" i="15" s="1"/>
  <c r="G61" i="15" l="1"/>
  <c r="D61" i="15"/>
  <c r="E61" i="15" s="1"/>
  <c r="H61" i="15" s="1"/>
  <c r="D62" i="15" l="1"/>
  <c r="G62" i="15"/>
  <c r="E62" i="15" l="1"/>
  <c r="H62" i="15" s="1"/>
  <c r="G63" i="15" l="1"/>
  <c r="D63" i="15"/>
  <c r="E63" i="15" s="1"/>
  <c r="H63" i="15" s="1"/>
  <c r="D64" i="15" l="1"/>
  <c r="E64" i="15" s="1"/>
  <c r="H64" i="15" s="1"/>
  <c r="G64" i="15"/>
  <c r="G65" i="15" l="1"/>
  <c r="D65" i="15"/>
  <c r="E65" i="15" s="1"/>
  <c r="H65" i="15" s="1"/>
  <c r="D66" i="15" l="1"/>
  <c r="G66" i="15"/>
  <c r="E66" i="15" l="1"/>
  <c r="H66" i="15" s="1"/>
  <c r="G67" i="15" l="1"/>
  <c r="D67" i="15"/>
  <c r="E67" i="15" s="1"/>
  <c r="H67" i="15" s="1"/>
  <c r="D68" i="15" l="1"/>
  <c r="G68" i="15"/>
  <c r="E68" i="15" l="1"/>
  <c r="H68" i="15" s="1"/>
  <c r="G69" i="15" l="1"/>
  <c r="D69" i="15"/>
  <c r="E69" i="15" s="1"/>
  <c r="H69" i="15" s="1"/>
  <c r="D70" i="15" l="1"/>
  <c r="G70" i="15"/>
  <c r="E70" i="15" l="1"/>
  <c r="H70" i="15" s="1"/>
  <c r="G71" i="15" l="1"/>
  <c r="D71" i="15"/>
  <c r="E71" i="15" s="1"/>
  <c r="H71" i="15" s="1"/>
  <c r="D72" i="15" l="1"/>
  <c r="G72" i="15"/>
  <c r="E72" i="15" l="1"/>
  <c r="H72" i="15" s="1"/>
  <c r="G73" i="15" l="1"/>
  <c r="D73" i="15"/>
  <c r="E73" i="15" s="1"/>
  <c r="H73" i="15" s="1"/>
  <c r="D74" i="15" l="1"/>
  <c r="G74" i="15"/>
  <c r="E74" i="15" l="1"/>
  <c r="H74" i="15" s="1"/>
  <c r="G75" i="15" l="1"/>
  <c r="D75" i="15"/>
  <c r="E75" i="15" s="1"/>
  <c r="H75" i="15" s="1"/>
  <c r="D76" i="15" l="1"/>
  <c r="E76" i="15" s="1"/>
  <c r="H76" i="15" s="1"/>
  <c r="G76" i="15"/>
  <c r="G77" i="15" l="1"/>
  <c r="D77" i="15"/>
  <c r="E77" i="15" s="1"/>
  <c r="H77" i="15" s="1"/>
  <c r="D78" i="15" l="1"/>
  <c r="G78" i="15"/>
  <c r="E78" i="15" l="1"/>
  <c r="H78" i="15" s="1"/>
  <c r="G79" i="15" l="1"/>
  <c r="D79" i="15"/>
  <c r="E79" i="15" s="1"/>
  <c r="H79" i="15" s="1"/>
  <c r="D80" i="15" l="1"/>
  <c r="G80" i="15"/>
  <c r="E80" i="15" l="1"/>
  <c r="H80" i="15" s="1"/>
  <c r="G81" i="15" l="1"/>
  <c r="D81" i="15"/>
  <c r="E81" i="15" s="1"/>
  <c r="H81" i="15" s="1"/>
  <c r="D82" i="15" l="1"/>
  <c r="G82" i="15"/>
  <c r="E82" i="15" l="1"/>
  <c r="H82" i="15" s="1"/>
  <c r="G83" i="15" l="1"/>
  <c r="D83" i="15"/>
  <c r="E83" i="15" s="1"/>
  <c r="H83" i="15" s="1"/>
  <c r="D84" i="15" l="1"/>
  <c r="G84" i="15"/>
  <c r="E84" i="15" l="1"/>
  <c r="H84" i="15" s="1"/>
  <c r="G85" i="15" l="1"/>
  <c r="D85" i="15"/>
  <c r="E85" i="15" s="1"/>
  <c r="H85" i="15" s="1"/>
  <c r="D86" i="15" l="1"/>
  <c r="G86" i="15"/>
  <c r="E86" i="15" l="1"/>
  <c r="H86" i="15" s="1"/>
  <c r="G87" i="15" l="1"/>
  <c r="D87" i="15"/>
  <c r="E87" i="15" s="1"/>
  <c r="H87" i="15" s="1"/>
  <c r="D88" i="15" l="1"/>
  <c r="G88" i="15"/>
  <c r="E88" i="15" l="1"/>
  <c r="H88" i="15" s="1"/>
  <c r="G89" i="15" l="1"/>
  <c r="D89" i="15"/>
  <c r="E89" i="15" s="1"/>
  <c r="H89" i="15" s="1"/>
  <c r="D90" i="15" l="1"/>
  <c r="E90" i="15" s="1"/>
  <c r="H90" i="15" s="1"/>
  <c r="G90" i="15"/>
  <c r="G91" i="15" l="1"/>
  <c r="D91" i="15"/>
  <c r="E91" i="15" s="1"/>
  <c r="H91" i="15" s="1"/>
  <c r="D92" i="15" l="1"/>
  <c r="E92" i="15" s="1"/>
  <c r="H92" i="15" s="1"/>
  <c r="G92" i="15"/>
  <c r="G93" i="15" l="1"/>
  <c r="D93" i="15"/>
  <c r="E93" i="15" s="1"/>
  <c r="H93" i="15" s="1"/>
  <c r="D94" i="15" l="1"/>
  <c r="G94" i="15"/>
  <c r="E94" i="15" l="1"/>
  <c r="H94" i="15" s="1"/>
  <c r="G95" i="15" l="1"/>
  <c r="D95" i="15"/>
  <c r="E95" i="15" s="1"/>
  <c r="H95" i="15" s="1"/>
  <c r="D96" i="15" l="1"/>
  <c r="G96" i="15"/>
  <c r="E96" i="15" l="1"/>
  <c r="H96" i="15" s="1"/>
  <c r="G97" i="15" l="1"/>
  <c r="D97" i="15"/>
  <c r="E97" i="15" s="1"/>
  <c r="H97" i="15" s="1"/>
  <c r="D98" i="15" l="1"/>
  <c r="E98" i="15" s="1"/>
  <c r="H98" i="15" s="1"/>
  <c r="G98" i="15"/>
  <c r="G99" i="15" l="1"/>
  <c r="D99" i="15"/>
  <c r="E99" i="15" s="1"/>
  <c r="H99" i="15" s="1"/>
  <c r="D100" i="15" l="1"/>
  <c r="G100" i="15"/>
  <c r="E100" i="15" l="1"/>
  <c r="H100" i="15" s="1"/>
  <c r="G101" i="15" l="1"/>
  <c r="D101" i="15"/>
  <c r="E101" i="15" s="1"/>
  <c r="H101" i="15" s="1"/>
  <c r="D102" i="15" l="1"/>
  <c r="G102" i="15"/>
  <c r="E102" i="15" l="1"/>
  <c r="H102" i="15" s="1"/>
  <c r="G103" i="15" l="1"/>
  <c r="D103" i="15"/>
  <c r="E103" i="15" s="1"/>
  <c r="H103" i="15" s="1"/>
  <c r="D104" i="15" l="1"/>
  <c r="E104" i="15" s="1"/>
  <c r="H104" i="15" s="1"/>
  <c r="G104" i="15"/>
  <c r="G105" i="15" l="1"/>
  <c r="D105" i="15"/>
  <c r="E105" i="15" s="1"/>
  <c r="H105" i="15" s="1"/>
  <c r="D106" i="15" l="1"/>
  <c r="G106" i="15"/>
  <c r="E106" i="15" l="1"/>
  <c r="H106" i="15" s="1"/>
  <c r="G107" i="15" l="1"/>
  <c r="D107" i="15"/>
  <c r="E107" i="15" s="1"/>
  <c r="H107" i="15" s="1"/>
  <c r="D108" i="15" l="1"/>
  <c r="E108" i="15" s="1"/>
  <c r="H108" i="15" s="1"/>
  <c r="G108" i="15"/>
  <c r="G109" i="15" l="1"/>
  <c r="D109" i="15"/>
  <c r="E109" i="15" s="1"/>
  <c r="H109" i="15"/>
  <c r="D110" i="15" l="1"/>
  <c r="G110" i="15"/>
  <c r="E110" i="15" l="1"/>
  <c r="H110" i="15" s="1"/>
  <c r="G111" i="15" l="1"/>
  <c r="D111" i="15"/>
  <c r="E111" i="15" s="1"/>
  <c r="H111" i="15" s="1"/>
  <c r="D112" i="15" l="1"/>
  <c r="G112" i="15"/>
  <c r="E112" i="15" l="1"/>
  <c r="H112" i="15" s="1"/>
  <c r="G113" i="15" l="1"/>
  <c r="D113" i="15"/>
  <c r="E113" i="15" s="1"/>
  <c r="H113" i="15" s="1"/>
  <c r="D114" i="15" l="1"/>
  <c r="G114" i="15"/>
  <c r="E114" i="15" l="1"/>
  <c r="H114" i="15" s="1"/>
  <c r="D115" i="15" l="1"/>
  <c r="G115" i="15"/>
  <c r="E115" i="15" l="1"/>
  <c r="H115" i="15" s="1"/>
  <c r="D116" i="15" l="1"/>
  <c r="E116" i="15" s="1"/>
  <c r="H116" i="15" s="1"/>
  <c r="G116" i="15"/>
  <c r="G117" i="15" l="1"/>
  <c r="D117" i="15"/>
  <c r="E117" i="15" s="1"/>
  <c r="H117" i="15" s="1"/>
  <c r="D118" i="15" l="1"/>
  <c r="G118" i="15"/>
  <c r="E118" i="15" l="1"/>
  <c r="H118" i="15" s="1"/>
  <c r="D119" i="15" l="1"/>
  <c r="E119" i="15" s="1"/>
  <c r="H119" i="15" s="1"/>
  <c r="G119" i="15"/>
  <c r="D120" i="15" l="1"/>
  <c r="E120" i="15" s="1"/>
  <c r="H120" i="15" s="1"/>
  <c r="G120" i="15"/>
  <c r="G121" i="15" l="1"/>
  <c r="D121" i="15"/>
  <c r="E121" i="15" s="1"/>
  <c r="H121" i="15" s="1"/>
  <c r="D122" i="15" l="1"/>
  <c r="G122" i="15"/>
  <c r="E122" i="15" l="1"/>
  <c r="H122" i="15" s="1"/>
  <c r="D123" i="15" l="1"/>
  <c r="G123" i="15"/>
  <c r="E123" i="15" l="1"/>
  <c r="H123" i="15" s="1"/>
  <c r="D124" i="15" l="1"/>
  <c r="G124" i="15"/>
  <c r="E124" i="15" l="1"/>
  <c r="H124" i="15" s="1"/>
  <c r="G125" i="15" l="1"/>
  <c r="D125" i="15"/>
  <c r="E125" i="15" s="1"/>
  <c r="H125" i="15" s="1"/>
  <c r="D126" i="15" l="1"/>
  <c r="E126" i="15" s="1"/>
  <c r="H126" i="15" s="1"/>
  <c r="G126" i="15"/>
  <c r="D127" i="15" l="1"/>
  <c r="G127" i="15"/>
  <c r="E127" i="15" l="1"/>
  <c r="H127" i="15" s="1"/>
  <c r="D128" i="15" l="1"/>
  <c r="G128" i="15"/>
  <c r="I4" i="15" s="1"/>
  <c r="G249" i="15" l="1"/>
  <c r="E128" i="15"/>
  <c r="D249" i="15"/>
  <c r="I5" i="15" s="1"/>
  <c r="E249" i="15" l="1"/>
  <c r="H128" i="15"/>
</calcChain>
</file>

<file path=xl/comments1.xml><?xml version="1.0" encoding="utf-8"?>
<comments xmlns="http://schemas.openxmlformats.org/spreadsheetml/2006/main">
  <authors>
    <author>User</author>
  </authors>
  <commentList>
    <comment ref="E10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선택하지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>.  1P=25mm, 2p=32mm, 12.5T 2p=38mm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5" authorId="0" shapeId="0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<sst xmlns="http://schemas.openxmlformats.org/spreadsheetml/2006/main" count="1517" uniqueCount="690">
  <si>
    <t>일자</t>
    <phoneticPr fontId="5" type="noConversion"/>
  </si>
  <si>
    <t>수정 내용</t>
    <phoneticPr fontId="5" type="noConversion"/>
  </si>
  <si>
    <t>경량철골 천정자재 물량산출 사용 설명서.</t>
  </si>
  <si>
    <t xml:space="preserve">천정 석고피스 및 스터드 칸막이 피스 수량 수정. </t>
    <phoneticPr fontId="5" type="noConversion"/>
  </si>
  <si>
    <t>노란색 입력란 : 필수 입력</t>
  </si>
  <si>
    <t>포인트타일 함수 수정</t>
    <phoneticPr fontId="5" type="noConversion"/>
  </si>
  <si>
    <r>
      <t xml:space="preserve">1. </t>
    </r>
    <r>
      <rPr>
        <sz val="11"/>
        <color rgb="FFFF0000"/>
        <rFont val="맑은 고딕"/>
        <family val="3"/>
        <charset val="129"/>
        <scheme val="minor"/>
      </rPr>
      <t>품목 코드</t>
    </r>
    <r>
      <rPr>
        <sz val="11"/>
        <color rgb="FF000000"/>
        <rFont val="맑은 고딕"/>
        <family val="3"/>
        <charset val="129"/>
        <scheme val="minor"/>
      </rPr>
      <t xml:space="preserve"> : H열 품명을 보고, G열 코드 확인 후 입력</t>
    </r>
  </si>
  <si>
    <r>
      <t>2. “</t>
    </r>
    <r>
      <rPr>
        <sz val="11"/>
        <color rgb="FFFF0000"/>
        <rFont val="맑은 고딕"/>
        <family val="3"/>
        <charset val="129"/>
        <scheme val="minor"/>
      </rPr>
      <t>가로, 세로</t>
    </r>
    <r>
      <rPr>
        <sz val="11"/>
        <color rgb="FF000000"/>
        <rFont val="맑은 고딕"/>
        <family val="3"/>
        <charset val="129"/>
        <scheme val="minor"/>
      </rPr>
      <t>” 길이를 모를 때 : 우측 신라 로고 옆 평수 또는 헤베 입력하여 가로.세로 환산 수치 입력.</t>
    </r>
  </si>
  <si>
    <r>
      <t xml:space="preserve">3. </t>
    </r>
    <r>
      <rPr>
        <sz val="11"/>
        <color rgb="FFFF0000"/>
        <rFont val="맑은 고딕"/>
        <family val="3"/>
        <charset val="129"/>
        <scheme val="minor"/>
      </rPr>
      <t>색상코드</t>
    </r>
    <r>
      <rPr>
        <sz val="11"/>
        <color rgb="FF000000"/>
        <rFont val="맑은 고딕"/>
        <family val="3"/>
        <charset val="129"/>
        <scheme val="minor"/>
      </rPr>
      <t>, 모양 코드 1번과 동일</t>
    </r>
  </si>
  <si>
    <t>4. 마이너 시공 여부 : 시공시 1 입력 시공 안 하면 비워둘 것</t>
  </si>
  <si>
    <t xml:space="preserve">5. 마이너 시공 간격 : 기본 2.5 입력 되어 있는데 수정 시 변경. </t>
  </si>
  <si>
    <t>6. 몰딩 색상 코드 : 크립바 시스템은 제품 색상을 기본으로 선택됨으로 입력하지 않아도 되지만, 판 색상과 다른 경우 선택. 엠바 시스템은 필수 입력(항상 사용하는 몰딩은 기본 설정 입력)</t>
    <phoneticPr fontId="5" type="noConversion"/>
  </si>
  <si>
    <t>7. 볼트는 선택 사항임 : 볼트 길이 확인하여 직접 입력, 볼트/천고(개수)는 1개의 볼트를 몇 번 잘라서 사용할 것인지 입력.</t>
  </si>
  <si>
    <t>8. 내진 1, 내풍압 2 : 내진 내풍압 번호 선택시 부속자재 내진 내풍압으로 변경됨.</t>
  </si>
  <si>
    <t xml:space="preserve">9. 내풍압 마이너 시공 간격 : 기본 볼트 간격(0.9m)의 2배인 1.8m 설정함. 시공 간격에 따라 입력. </t>
  </si>
  <si>
    <t>10. 캐링 시공 간격 : 기본 0.9m 입력되어 있으나 시공 간격 조정 입력</t>
  </si>
  <si>
    <t>11. 자재 로스 : 자재 로스는 기본 5% 정도 줄 것. (0%일 때 소수단위 숫자만 반올림한 수량). 자재 로스 비율은 부속 자재 및 모든 자재 동일 적용됨.</t>
  </si>
  <si>
    <t>12. 크립바 시스템에서 포인트 타일 수량은 직접 계산하여 입력. 색상도 위와 동일하게 선택하여 입력 (포인트 타일 수량 입력 시 전체 타일에서 포인트 타일 수량만큼 빠짐. 포인트 타일 로스는 별도 선택 입력)</t>
  </si>
  <si>
    <t>13, 물량산출 후 빨간 선의 셀 안에 이론상 실제 시공 가능 면적 및 최대 로스 잔량 확인.</t>
  </si>
  <si>
    <t>14. 스판드럴 시공 길이 : 스판드럴 판 재단 길이 입력. (예 시공 길이가 12m일 경우 6m로 절단하면 쪼인 몰딩 수량 산출됨) 가로 세로 입력시 시공 길이 방향 입력란 확인 입력.</t>
  </si>
  <si>
    <t>15. 잠겨 있는 셀은 수식 및 내용이 보호되어 있습니다. 색상이 있는 셀만 수정 가능.</t>
  </si>
  <si>
    <t xml:space="preserve">※ 기타 스터드, 행거도어, 큐비클, SGP 물량 산출은 별도. </t>
  </si>
  <si>
    <r>
      <t xml:space="preserve">★ 사용후 틀린 부분이나 의견이 있을 때 </t>
    </r>
    <r>
      <rPr>
        <b/>
        <sz val="11"/>
        <color rgb="FF000000"/>
        <rFont val="맑은 고딕"/>
        <family val="3"/>
        <charset val="129"/>
        <scheme val="minor"/>
      </rPr>
      <t>010-3571-3380</t>
    </r>
    <r>
      <rPr>
        <sz val="11"/>
        <color rgb="FF000000"/>
        <rFont val="맑은 고딕"/>
        <family val="3"/>
        <charset val="129"/>
        <scheme val="minor"/>
      </rPr>
      <t>으로 문의</t>
    </r>
  </si>
  <si>
    <r>
      <t xml:space="preserve">☆ 가로 세로를 이용한 산출이 아닌 평이나 헤베로 산출 할 경우 </t>
    </r>
    <r>
      <rPr>
        <sz val="11"/>
        <color rgb="FFFF0000"/>
        <rFont val="맑은 고딕"/>
        <family val="3"/>
        <charset val="129"/>
        <scheme val="minor"/>
      </rPr>
      <t>물량 차이가 많이 나는 품목: 몰딩, 판스프링</t>
    </r>
    <phoneticPr fontId="5" type="noConversion"/>
  </si>
  <si>
    <t>※ 온라인 링크를 사용 할 경우 업데이트 내용을 적용 받을 수 있으나. 산출한 물량을 다른 사람이 편집 하거나 삭제 할 수 있습니다.</t>
    <phoneticPr fontId="5" type="noConversion"/>
  </si>
  <si>
    <t>온라인 링크는 휴데폰에서 다운없이 바로 간단하게 계산 가능 합니다.</t>
    <phoneticPr fontId="5" type="noConversion"/>
  </si>
  <si>
    <t>★ 발주서 비고란 필터 기능이 있어서 불필요한 자재는 비고란에 숫자 1을 입력하면 자재가 지워집니다. 다시 1을 삭제하면 복구.</t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</si>
  <si>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업데이트 지원 : 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 xml:space="preserve">é </t>
    </r>
    <r>
      <rPr>
        <u/>
        <sz val="12"/>
        <color rgb="FFFF0000"/>
        <rFont val="맑은 고딕"/>
        <family val="3"/>
        <charset val="129"/>
        <scheme val="minor"/>
      </rPr>
      <t>경량철골자재 물량산출 파일</t>
    </r>
    <phoneticPr fontId="5" type="noConversion"/>
  </si>
  <si>
    <t>요청사항 및 의견 전화 또는 문자, 카톡, 카페 댓글로 남겨주시면 반영해 드립니다.</t>
    <phoneticPr fontId="5" type="noConversion"/>
  </si>
  <si>
    <r>
      <t>제작 및 배포:</t>
    </r>
    <r>
      <rPr>
        <sz val="11"/>
        <color rgb="FF333333"/>
        <rFont val="맑은 고딕"/>
        <family val="3"/>
        <charset val="129"/>
        <scheme val="minor"/>
      </rPr>
      <t> (주)신라스틸판넬.신라기업사</t>
    </r>
  </si>
  <si>
    <r>
      <t>[</t>
    </r>
    <r>
      <rPr>
        <b/>
        <sz val="11"/>
        <color rgb="FFFF0010"/>
        <rFont val="맑은 고딕"/>
        <family val="3"/>
        <charset val="129"/>
        <scheme val="minor"/>
      </rPr>
      <t>이용 안내 및 주의사항</t>
    </r>
    <r>
      <rPr>
        <b/>
        <sz val="11"/>
        <color rgb="FF000000"/>
        <rFont val="맑은 고딕"/>
        <family val="3"/>
        <charset val="129"/>
        <scheme val="minor"/>
      </rPr>
      <t>]</t>
    </r>
  </si>
  <si>
    <r>
      <t>★ 본 파일의 </t>
    </r>
    <r>
      <rPr>
        <b/>
        <sz val="11"/>
        <color rgb="FFFF0010"/>
        <rFont val="맑은 고딕"/>
        <family val="3"/>
        <charset val="129"/>
        <scheme val="minor"/>
      </rPr>
      <t>상업적 이용</t>
    </r>
    <r>
      <rPr>
        <b/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맑은 고딕"/>
        <family val="3"/>
        <charset val="129"/>
        <scheme val="minor"/>
      </rPr>
      <t>개인 사업 홍보 및 파일 판매 등 </t>
    </r>
    <r>
      <rPr>
        <sz val="11"/>
        <color rgb="FFFF0010"/>
        <rFont val="맑은 고딕"/>
        <family val="3"/>
        <charset val="129"/>
        <scheme val="minor"/>
      </rPr>
      <t>수익 창출 행위</t>
    </r>
    <r>
      <rPr>
        <b/>
        <sz val="11"/>
        <color rgb="FF000000"/>
        <rFont val="맑은 고딕"/>
        <family val="3"/>
        <charset val="129"/>
        <scheme val="minor"/>
      </rPr>
      <t>)</t>
    </r>
    <r>
      <rPr>
        <b/>
        <sz val="11"/>
        <color rgb="FFFF0010"/>
        <rFont val="맑은 고딕"/>
        <family val="3"/>
        <charset val="129"/>
        <scheme val="minor"/>
      </rPr>
      <t>을</t>
    </r>
    <r>
      <rPr>
        <b/>
        <sz val="11"/>
        <color rgb="FF333333"/>
        <rFont val="맑은 고딕"/>
        <family val="3"/>
        <charset val="129"/>
        <scheme val="minor"/>
      </rPr>
      <t> </t>
    </r>
    <r>
      <rPr>
        <b/>
        <sz val="11"/>
        <color rgb="FF000000"/>
        <rFont val="맑은 고딕"/>
        <family val="3"/>
        <charset val="129"/>
        <scheme val="minor"/>
      </rPr>
      <t>엄격히 </t>
    </r>
    <r>
      <rPr>
        <b/>
        <sz val="11"/>
        <color rgb="FFFF0010"/>
        <rFont val="맑은 고딕"/>
        <family val="3"/>
        <charset val="129"/>
        <scheme val="minor"/>
      </rPr>
      <t>금합</t>
    </r>
    <r>
      <rPr>
        <b/>
        <sz val="11"/>
        <color rgb="FF000000"/>
        <rFont val="맑은 고딕"/>
        <family val="3"/>
        <charset val="129"/>
        <scheme val="minor"/>
      </rPr>
      <t>니다.</t>
    </r>
  </si>
  <si>
    <r>
      <t>★ </t>
    </r>
    <r>
      <rPr>
        <b/>
        <sz val="11"/>
        <color rgb="FF0078CB"/>
        <rFont val="맑은 고딕"/>
        <family val="3"/>
        <charset val="129"/>
        <scheme val="minor"/>
      </rPr>
      <t>개인 업무용으로 사용하시거나 원본 그대로 스크랩하여 활용해 주시기 바랍니다.</t>
    </r>
  </si>
  <si>
    <r>
      <t>★ 본 파일을 </t>
    </r>
    <r>
      <rPr>
        <b/>
        <sz val="11"/>
        <color rgb="FFFF0010"/>
        <rFont val="맑은 고딕"/>
        <family val="3"/>
        <charset val="129"/>
        <scheme val="minor"/>
      </rPr>
      <t>무단 수정하여 재배포하는 행위는 금지</t>
    </r>
    <r>
      <rPr>
        <b/>
        <sz val="11"/>
        <color rgb="FF000000"/>
        <rFont val="맑은 고딕"/>
        <family val="3"/>
        <charset val="129"/>
        <scheme val="minor"/>
      </rPr>
      <t>하며, </t>
    </r>
    <r>
      <rPr>
        <b/>
        <sz val="11"/>
        <color rgb="FF0078CB"/>
        <rFont val="맑은 고딕"/>
        <family val="3"/>
        <charset val="129"/>
        <scheme val="minor"/>
      </rPr>
      <t>수정하지 않은 원본 상태의 공유는 허용합니다.</t>
    </r>
  </si>
  <si>
    <t>​</t>
  </si>
  <si>
    <t>※ 물량 산출 내역은 현장 작업 상황에따라 다를 수 있으니 참고용으로 사용 바랍니다.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</si>
  <si>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</si>
  <si>
    <t>SHILLA Steel Panel &amp; Shilla Enterprise</t>
  </si>
  <si>
    <t>건축용 내∙외장재 | 경량철공 | 열경화성수지 | 큐비클 | 샌드위치 판넬 | 금속흡음 천정재</t>
  </si>
  <si>
    <r>
      <t xml:space="preserve">※ 본 파일은 </t>
    </r>
    <r>
      <rPr>
        <sz val="11"/>
        <color rgb="FFFF0000"/>
        <rFont val="휴먼모음T"/>
        <family val="1"/>
        <charset val="129"/>
      </rPr>
      <t>수식 보호</t>
    </r>
    <r>
      <rPr>
        <sz val="11"/>
        <color theme="1"/>
        <rFont val="휴먼모음T"/>
        <family val="1"/>
        <charset val="129"/>
      </rPr>
      <t xml:space="preserve">가 되어 있으며, </t>
    </r>
    <r>
      <rPr>
        <sz val="11"/>
        <color rgb="FFFF0000"/>
        <rFont val="휴먼모음T"/>
        <family val="1"/>
        <charset val="129"/>
      </rPr>
      <t>password</t>
    </r>
    <r>
      <rPr>
        <sz val="11"/>
        <color theme="1"/>
        <rFont val="휴먼모음T"/>
        <family val="1"/>
        <charset val="129"/>
      </rPr>
      <t>는 공유하지 않습니다. 오류가 있거나 개선이 필요한 부분이 있다면 전화 주세요. 개인 맞춤형 편집은 직접 전화 주세요. 010-3571-3380</t>
    </r>
    <phoneticPr fontId="5" type="noConversion"/>
  </si>
  <si>
    <t>경량철골 천정자재 물량 산출</t>
    <phoneticPr fontId="5" type="noConversion"/>
  </si>
  <si>
    <r>
      <rPr>
        <b/>
        <sz val="14"/>
        <color theme="1"/>
        <rFont val="맑은 고딕"/>
        <family val="3"/>
        <charset val="129"/>
        <scheme val="minor"/>
      </rPr>
      <t>(주) 신라스틸판넬 . 신라기업사</t>
    </r>
    <r>
      <rPr>
        <sz val="11"/>
        <color theme="1"/>
        <rFont val="맑은 고딕"/>
        <family val="2"/>
        <charset val="129"/>
        <scheme val="minor"/>
      </rPr>
      <t xml:space="preserve">  전 화 : 051-501-2642 팩 스 : 051-501-2593</t>
    </r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</si>
  <si>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>é</t>
    </r>
    <phoneticPr fontId="5" type="noConversion"/>
  </si>
  <si>
    <t>1. 크립바 시스템</t>
    <phoneticPr fontId="5" type="noConversion"/>
  </si>
  <si>
    <t>S M C . AL 담파 . STMC 분류번호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</si>
  <si>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평</t>
    </r>
    <r>
      <rPr>
        <sz val="11"/>
        <color theme="1"/>
        <rFont val="맑은 고딕"/>
        <family val="3"/>
        <charset val="129"/>
        <scheme val="minor"/>
      </rPr>
      <t>으로 불러줄때</t>
    </r>
    <phoneticPr fontId="5" type="noConversion"/>
  </si>
  <si>
    <t>캐링 시공 간격/m</t>
    <phoneticPr fontId="5" type="noConversion"/>
  </si>
  <si>
    <t>품목코드</t>
    <phoneticPr fontId="5" type="noConversion"/>
  </si>
  <si>
    <t>품  명</t>
    <phoneticPr fontId="5" type="noConversion"/>
  </si>
  <si>
    <t>규  격</t>
    <phoneticPr fontId="5" type="noConversion"/>
  </si>
  <si>
    <t>가로</t>
    <phoneticPr fontId="5" type="noConversion"/>
  </si>
  <si>
    <t>세로</t>
    <phoneticPr fontId="5" type="noConversion"/>
  </si>
  <si>
    <t>비  고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</si>
  <si>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M</t>
    </r>
    <r>
      <rPr>
        <b/>
        <vertAlign val="superscript"/>
        <sz val="11"/>
        <color rgb="FFFF0000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로 불러줄때</t>
    </r>
    <phoneticPr fontId="5" type="noConversion"/>
  </si>
  <si>
    <t>시공 면적/평</t>
    <phoneticPr fontId="5" type="noConversion"/>
  </si>
  <si>
    <t>자재 로스 추가</t>
    <phoneticPr fontId="5" type="noConversion"/>
  </si>
  <si>
    <t>가로 방향 m</t>
    <phoneticPr fontId="5" type="noConversion"/>
  </si>
  <si>
    <t xml:space="preserve">SMC </t>
    <phoneticPr fontId="5" type="noConversion"/>
  </si>
  <si>
    <t>300*300</t>
    <phoneticPr fontId="20" type="noConversion"/>
  </si>
  <si>
    <t>※ 시공면적 :</t>
    <phoneticPr fontId="5" type="noConversion"/>
  </si>
  <si>
    <t>평</t>
    <phoneticPr fontId="5" type="noConversion"/>
  </si>
  <si>
    <r>
      <t>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</si>
  <si>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세로 방향 m</t>
    <phoneticPr fontId="5" type="noConversion"/>
  </si>
  <si>
    <t>300*600</t>
    <phoneticPr fontId="20" type="noConversion"/>
  </si>
  <si>
    <t>품명</t>
  </si>
  <si>
    <t>수  량</t>
    <phoneticPr fontId="5" type="noConversion"/>
  </si>
  <si>
    <t>단  가</t>
    <phoneticPr fontId="5" type="noConversion"/>
  </si>
  <si>
    <t>비고</t>
  </si>
  <si>
    <t>품명/색상/모양</t>
    <phoneticPr fontId="5" type="noConversion"/>
  </si>
  <si>
    <t>규       격</t>
    <phoneticPr fontId="5" type="noConversion"/>
  </si>
  <si>
    <t>색상코드</t>
    <phoneticPr fontId="5" type="noConversion"/>
  </si>
  <si>
    <t>450*450</t>
    <phoneticPr fontId="20" type="noConversion"/>
  </si>
  <si>
    <t>모양코드</t>
    <phoneticPr fontId="5" type="noConversion"/>
  </si>
  <si>
    <t>600*600</t>
    <phoneticPr fontId="5" type="noConversion"/>
  </si>
  <si>
    <t>가로(크립바 방향)</t>
    <phoneticPr fontId="5" type="noConversion"/>
  </si>
  <si>
    <t>SMC 외부용</t>
    <phoneticPr fontId="5" type="noConversion"/>
  </si>
  <si>
    <t>600*600</t>
    <phoneticPr fontId="20" type="noConversion"/>
  </si>
  <si>
    <t>품   명</t>
    <phoneticPr fontId="5" type="noConversion"/>
  </si>
  <si>
    <t>길이/mm</t>
    <phoneticPr fontId="5" type="noConversion"/>
  </si>
  <si>
    <t xml:space="preserve"> 비  고</t>
    <phoneticPr fontId="5" type="noConversion"/>
  </si>
  <si>
    <t>A/L 담파</t>
    <phoneticPr fontId="5" type="noConversion"/>
  </si>
  <si>
    <t>크립바</t>
    <phoneticPr fontId="5" type="noConversion"/>
  </si>
  <si>
    <t>캐 링 ks</t>
    <phoneticPr fontId="5" type="noConversion"/>
  </si>
  <si>
    <r>
      <t xml:space="preserve">마이너 시공 </t>
    </r>
    <r>
      <rPr>
        <b/>
        <sz val="11"/>
        <color rgb="FFFF0000"/>
        <rFont val="맑은 고딕"/>
        <family val="3"/>
        <charset val="129"/>
        <scheme val="minor"/>
      </rPr>
      <t>1</t>
    </r>
    <phoneticPr fontId="5" type="noConversion"/>
  </si>
  <si>
    <t>마이너 KS</t>
    <phoneticPr fontId="5" type="noConversion"/>
  </si>
  <si>
    <t>마이너 간격 / m</t>
    <phoneticPr fontId="5" type="noConversion"/>
  </si>
  <si>
    <t>몰딩 색상 코드</t>
    <phoneticPr fontId="5" type="noConversion"/>
  </si>
  <si>
    <t xml:space="preserve"> 담파 외부용</t>
    <phoneticPr fontId="5" type="noConversion"/>
  </si>
  <si>
    <t>항가핀</t>
  </si>
  <si>
    <t>볼 트</t>
    <phoneticPr fontId="5" type="noConversion"/>
  </si>
  <si>
    <t>볼트/천고(개수)</t>
    <phoneticPr fontId="5" type="noConversion"/>
  </si>
  <si>
    <t>STMC</t>
    <phoneticPr fontId="5" type="noConversion"/>
  </si>
  <si>
    <t>앙카</t>
    <phoneticPr fontId="5" type="noConversion"/>
  </si>
  <si>
    <t>항가 150 KS</t>
    <phoneticPr fontId="5" type="noConversion"/>
  </si>
  <si>
    <r>
      <t xml:space="preserve">내진 </t>
    </r>
    <r>
      <rPr>
        <b/>
        <sz val="10"/>
        <color rgb="FFFF0000"/>
        <rFont val="맑은 고딕"/>
        <family val="3"/>
        <charset val="129"/>
        <scheme val="minor"/>
      </rPr>
      <t>1</t>
    </r>
    <r>
      <rPr>
        <sz val="10"/>
        <color theme="1"/>
        <rFont val="맑은 고딕"/>
        <family val="2"/>
        <charset val="129"/>
        <scheme val="minor"/>
      </rPr>
      <t xml:space="preserve">, 내풍압 </t>
    </r>
    <r>
      <rPr>
        <b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</si>
  <si>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t>너트</t>
  </si>
  <si>
    <t>내풍압 마이너 시공간격</t>
    <phoneticPr fontId="5" type="noConversion"/>
  </si>
  <si>
    <t>판스프링</t>
  </si>
  <si>
    <r>
      <t xml:space="preserve">신라 </t>
    </r>
    <r>
      <rPr>
        <b/>
        <u/>
        <sz val="11"/>
        <color rgb="FFFF0000"/>
        <rFont val="맑은 고딕"/>
        <family val="3"/>
        <charset val="129"/>
        <scheme val="minor"/>
      </rPr>
      <t>Da</t>
    </r>
    <r>
      <rPr>
        <b/>
        <u/>
        <sz val="11"/>
        <color rgb="FF00B050"/>
        <rFont val="맑은 고딕"/>
        <family val="3"/>
        <charset val="129"/>
        <scheme val="minor"/>
      </rPr>
      <t>um</t>
    </r>
    <r>
      <rPr>
        <b/>
        <u/>
        <sz val="11"/>
        <color theme="1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C</t>
    </r>
    <r>
      <rPr>
        <b/>
        <u/>
        <sz val="11"/>
        <color theme="1"/>
        <rFont val="맑은 고딕"/>
        <family val="3"/>
        <charset val="129"/>
        <scheme val="minor"/>
      </rPr>
      <t>afé</t>
    </r>
    <phoneticPr fontId="5" type="noConversion"/>
  </si>
  <si>
    <r>
      <rPr>
        <b/>
        <u/>
        <sz val="11"/>
        <color rgb="FFFF0000"/>
        <rFont val="맑은 고딕"/>
        <family val="3"/>
        <charset val="129"/>
        <scheme val="minor"/>
      </rPr>
      <t>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</si>
  <si>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r>
      <t xml:space="preserve">문의 전화 : </t>
    </r>
    <r>
      <rPr>
        <b/>
        <sz val="11"/>
        <color theme="1"/>
        <rFont val="맑은 고딕"/>
        <family val="3"/>
        <charset val="129"/>
        <scheme val="minor"/>
      </rPr>
      <t>010-3571-3380</t>
    </r>
    <phoneticPr fontId="5" type="noConversion"/>
  </si>
  <si>
    <t>STMC 외부용</t>
    <phoneticPr fontId="5" type="noConversion"/>
  </si>
  <si>
    <r>
      <rPr>
        <sz val="10"/>
        <color theme="1"/>
        <rFont val="돋움"/>
        <family val="3"/>
        <charset val="129"/>
      </rPr>
      <t>크립바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</si>
  <si>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캐링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</si>
  <si>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t>포인트 타일</t>
    <phoneticPr fontId="5" type="noConversion"/>
  </si>
  <si>
    <t>A 타입</t>
    <phoneticPr fontId="5" type="noConversion"/>
  </si>
  <si>
    <t>B 타입</t>
    <phoneticPr fontId="5" type="noConversion"/>
  </si>
  <si>
    <t>C 타입</t>
    <phoneticPr fontId="5" type="noConversion"/>
  </si>
  <si>
    <t>NO</t>
    <phoneticPr fontId="2" type="noConversion"/>
  </si>
  <si>
    <t>색상</t>
    <phoneticPr fontId="2" type="noConversion"/>
  </si>
  <si>
    <t>모양</t>
    <phoneticPr fontId="2" type="noConversion"/>
  </si>
  <si>
    <t>판넬 수량/장</t>
    <phoneticPr fontId="5" type="noConversion"/>
  </si>
  <si>
    <t>타일 수량</t>
    <phoneticPr fontId="5" type="noConversion"/>
  </si>
  <si>
    <t xml:space="preserve"> I/V</t>
    <phoneticPr fontId="2" type="noConversion"/>
  </si>
  <si>
    <t xml:space="preserve"> 평판</t>
    <phoneticPr fontId="2" type="noConversion"/>
  </si>
  <si>
    <r>
      <t>시공 가능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</si>
  <si>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색상 코드</t>
    <phoneticPr fontId="5" type="noConversion"/>
  </si>
  <si>
    <t xml:space="preserve"> W/T</t>
    <phoneticPr fontId="2" type="noConversion"/>
  </si>
  <si>
    <t xml:space="preserve"> 원형</t>
    <phoneticPr fontId="2" type="noConversion"/>
  </si>
  <si>
    <r>
      <t>실제 시공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</si>
  <si>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모양 코드</t>
    <phoneticPr fontId="5" type="noConversion"/>
  </si>
  <si>
    <t xml:space="preserve"> S/V</t>
    <phoneticPr fontId="2" type="noConversion"/>
  </si>
  <si>
    <t xml:space="preserve"> 사각</t>
    <phoneticPr fontId="2" type="noConversion"/>
  </si>
  <si>
    <r>
      <t>최대 로스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</si>
  <si>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 xml:space="preserve">부분 면적 </t>
    <phoneticPr fontId="5" type="noConversion"/>
  </si>
  <si>
    <t xml:space="preserve"> B/L</t>
    <phoneticPr fontId="2" type="noConversion"/>
  </si>
  <si>
    <t xml:space="preserve"> 나뭇잎</t>
    <phoneticPr fontId="2" type="noConversion"/>
  </si>
  <si>
    <t>최대 잔량 / 장</t>
    <phoneticPr fontId="5" type="noConversion"/>
  </si>
  <si>
    <r>
      <t>A~C타입 합계 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</si>
  <si>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전체-부분면적 m2</t>
    <phoneticPr fontId="5" type="noConversion"/>
  </si>
  <si>
    <t xml:space="preserve"> P/K</t>
    <phoneticPr fontId="2" type="noConversion"/>
  </si>
  <si>
    <t>포인트 타일 로스</t>
    <phoneticPr fontId="5" type="noConversion"/>
  </si>
  <si>
    <t xml:space="preserve"> G/Y</t>
    <phoneticPr fontId="2" type="noConversion"/>
  </si>
  <si>
    <t>가로 ×</t>
    <phoneticPr fontId="5" type="noConversion"/>
  </si>
  <si>
    <t>합계</t>
    <phoneticPr fontId="5" type="noConversion"/>
  </si>
  <si>
    <r>
      <rPr>
        <sz val="10"/>
        <color rgb="FFFF0000"/>
        <rFont val="맑은 고딕"/>
        <family val="2"/>
        <charset val="129"/>
      </rPr>
      <t>※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내풍앞</t>
    </r>
    <r>
      <rPr>
        <sz val="10"/>
        <color rgb="FFFF0000"/>
        <rFont val="Arial"/>
        <family val="2"/>
      </rPr>
      <t xml:space="preserve"> : </t>
    </r>
    <r>
      <rPr>
        <sz val="10"/>
        <color rgb="FFFF0000"/>
        <rFont val="맑은 고딕"/>
        <family val="2"/>
        <charset val="129"/>
      </rPr>
      <t>마이너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볼트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보강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추가</t>
    </r>
    <r>
      <rPr>
        <sz val="10"/>
        <color rgb="FFFF0000"/>
        <rFont val="Arial"/>
        <family val="2"/>
      </rPr>
      <t xml:space="preserve"> (</t>
    </r>
    <r>
      <rPr>
        <sz val="10"/>
        <color rgb="FFFF0000"/>
        <rFont val="맑은 고딕"/>
        <family val="2"/>
        <charset val="129"/>
      </rPr>
      <t>풍압에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흔들림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방지</t>
    </r>
    <r>
      <rPr>
        <sz val="10"/>
        <color rgb="FFFF0000"/>
        <rFont val="Arial"/>
        <family val="2"/>
      </rPr>
      <t xml:space="preserve">), </t>
    </r>
    <r>
      <rPr>
        <sz val="10"/>
        <color rgb="FFFF0000"/>
        <rFont val="맑은 고딕"/>
        <family val="2"/>
        <charset val="129"/>
      </rPr>
      <t>내진은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내진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크립만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체결</t>
    </r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</si>
  <si>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2. 엠바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</si>
  <si>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품목코드 1~9번</t>
    <phoneticPr fontId="5" type="noConversion"/>
  </si>
  <si>
    <t>매수/box</t>
    <phoneticPr fontId="5" type="noConversion"/>
  </si>
  <si>
    <t>수량</t>
  </si>
  <si>
    <t>마이텍스 12T</t>
    <phoneticPr fontId="5" type="noConversion"/>
  </si>
  <si>
    <t>300*600</t>
    <phoneticPr fontId="5" type="noConversion"/>
  </si>
  <si>
    <t>품        명</t>
    <phoneticPr fontId="5" type="noConversion"/>
  </si>
  <si>
    <t>몰딩 색상코드</t>
  </si>
  <si>
    <t>집텍스 9.5T</t>
    <phoneticPr fontId="5" type="noConversion"/>
  </si>
  <si>
    <t>가로(엠바 방향)</t>
    <phoneticPr fontId="5" type="noConversion"/>
  </si>
  <si>
    <t>석고텍스 9.5T</t>
    <phoneticPr fontId="5" type="noConversion"/>
  </si>
  <si>
    <t>매 수</t>
    <phoneticPr fontId="5" type="noConversion"/>
  </si>
  <si>
    <t>마이톤 9T</t>
    <phoneticPr fontId="5" type="noConversion"/>
  </si>
  <si>
    <t>마이톤 12T</t>
    <phoneticPr fontId="5" type="noConversion"/>
  </si>
  <si>
    <t>KS 엠바</t>
    <phoneticPr fontId="5" type="noConversion"/>
  </si>
  <si>
    <t>캐 링 KS</t>
    <phoneticPr fontId="5" type="noConversion"/>
  </si>
  <si>
    <t>마이톤 15T</t>
    <phoneticPr fontId="5" type="noConversion"/>
  </si>
  <si>
    <t>300*1210</t>
    <phoneticPr fontId="5" type="noConversion"/>
  </si>
  <si>
    <t>395*1210</t>
    <phoneticPr fontId="5" type="noConversion"/>
  </si>
  <si>
    <t>NO</t>
  </si>
  <si>
    <t>몰딩 코드</t>
  </si>
  <si>
    <r>
      <t>KS 엠바</t>
    </r>
    <r>
      <rPr>
        <sz val="10"/>
        <rFont val="돋움"/>
        <family val="2"/>
        <charset val="129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</si>
  <si>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ㄱ W/T</t>
  </si>
  <si>
    <r>
      <rPr>
        <sz val="10"/>
        <rFont val="돋움"/>
        <family val="3"/>
        <charset val="129"/>
      </rPr>
      <t>캐링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</si>
  <si>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W W/T</t>
  </si>
  <si>
    <t>ㄱ 무도장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</si>
  <si>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</si>
  <si>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W 무도장</t>
  </si>
  <si>
    <t>최대 잔량 / 박스</t>
    <phoneticPr fontId="5" type="noConversion"/>
  </si>
  <si>
    <t>※ 무단 변경 및 상업적 사용을 금지합니다.</t>
    <phoneticPr fontId="5" type="noConversion"/>
  </si>
  <si>
    <t>ㄱ 갈색</t>
  </si>
  <si>
    <t>W 갈색</t>
  </si>
  <si>
    <r>
      <rPr>
        <b/>
        <sz val="14"/>
        <color rgb="FF7030A0"/>
        <rFont val="맑은 고딕"/>
        <family val="3"/>
        <charset val="129"/>
        <scheme val="minor"/>
      </rPr>
      <t>3. 메인티바 시스템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</si>
  <si>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>600×600</t>
    <phoneticPr fontId="5" type="noConversion"/>
  </si>
  <si>
    <t>메인티바</t>
    <phoneticPr fontId="5" type="noConversion"/>
  </si>
  <si>
    <t>(주) 신라스틸판넬 . 신라기업사</t>
    <phoneticPr fontId="5" type="noConversion"/>
  </si>
  <si>
    <r>
      <t xml:space="preserve">전 화 : </t>
    </r>
    <r>
      <rPr>
        <b/>
        <sz val="11"/>
        <color theme="1"/>
        <rFont val="맑은 고딕"/>
        <family val="3"/>
        <charset val="129"/>
        <scheme val="minor"/>
      </rPr>
      <t>051-501-2642</t>
    </r>
    <r>
      <rPr>
        <sz val="11"/>
        <color theme="1"/>
        <rFont val="맑은 고딕"/>
        <family val="3"/>
        <charset val="129"/>
        <scheme val="minor"/>
      </rPr>
      <t xml:space="preserve"> 051-504-4685~6</t>
    </r>
    <phoneticPr fontId="5" type="noConversion"/>
  </si>
  <si>
    <t>티바몰딩</t>
    <phoneticPr fontId="5" type="noConversion"/>
  </si>
  <si>
    <r>
      <t xml:space="preserve">팩 스 : </t>
    </r>
    <r>
      <rPr>
        <b/>
        <sz val="11"/>
        <color theme="1"/>
        <rFont val="맑은 고딕"/>
        <family val="3"/>
        <charset val="129"/>
        <scheme val="minor"/>
      </rPr>
      <t>051-501-2593</t>
    </r>
    <phoneticPr fontId="5" type="noConversion"/>
  </si>
  <si>
    <t xml:space="preserve">주소 : 부산시 부산 동래구 반송로 213  </t>
    <phoneticPr fontId="5" type="noConversion"/>
  </si>
  <si>
    <t>나비크립</t>
    <phoneticPr fontId="5" type="noConversion"/>
  </si>
  <si>
    <t>※지번 : 부산 동래구 안락동 420-49번지</t>
    <phoneticPr fontId="5" type="noConversion"/>
  </si>
  <si>
    <r>
      <t>크로스티바</t>
    </r>
    <r>
      <rPr>
        <sz val="10"/>
        <color theme="1"/>
        <rFont val="돋움"/>
        <family val="2"/>
        <charset val="129"/>
      </rPr>
      <t xml:space="preserve"> 600</t>
    </r>
    <phoneticPr fontId="5" type="noConversion"/>
  </si>
  <si>
    <t>Home Page : http://www.shillasteel.kr/index.php</t>
    <phoneticPr fontId="5" type="noConversion"/>
  </si>
  <si>
    <r>
      <rPr>
        <b/>
        <sz val="14"/>
        <color rgb="FF7030A0"/>
        <rFont val="맑은 고딕"/>
        <family val="2"/>
        <charset val="129"/>
        <scheme val="minor"/>
      </rPr>
      <t>4</t>
    </r>
    <r>
      <rPr>
        <b/>
        <sz val="14"/>
        <color rgb="FF7030A0"/>
        <rFont val="맑은 고딕"/>
        <family val="3"/>
        <charset val="129"/>
        <scheme val="minor"/>
      </rPr>
      <t>. 스판드럴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</si>
  <si>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폭</t>
    <phoneticPr fontId="5" type="noConversion"/>
  </si>
  <si>
    <t>스판드럴 시공 방향</t>
    <phoneticPr fontId="5" type="noConversion"/>
  </si>
  <si>
    <t xml:space="preserve">100S </t>
    <phoneticPr fontId="20" type="noConversion"/>
  </si>
  <si>
    <t>100S×0.45</t>
    <phoneticPr fontId="20" type="noConversion"/>
  </si>
  <si>
    <t>품명/규격</t>
    <phoneticPr fontId="5" type="noConversion"/>
  </si>
  <si>
    <t xml:space="preserve">200S </t>
    <phoneticPr fontId="20" type="noConversion"/>
  </si>
  <si>
    <t>200S×0.60</t>
    <phoneticPr fontId="20" type="noConversion"/>
  </si>
  <si>
    <t>스판드럴 길이/mm</t>
    <phoneticPr fontId="5" type="noConversion"/>
  </si>
  <si>
    <t>스판드럴 폭 mm</t>
    <phoneticPr fontId="5" type="noConversion"/>
  </si>
  <si>
    <t>스판드럴 로스</t>
    <phoneticPr fontId="5" type="noConversion"/>
  </si>
  <si>
    <t>색상</t>
  </si>
  <si>
    <t>I/V</t>
  </si>
  <si>
    <t>W/T</t>
  </si>
  <si>
    <t>S/V</t>
  </si>
  <si>
    <r>
      <t>KS 엠바</t>
    </r>
    <r>
      <rPr>
        <sz val="10"/>
        <color theme="1"/>
        <rFont val="돋움"/>
        <family val="2"/>
        <charset val="129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</si>
  <si>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스판드럴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몰딩</t>
    </r>
    <phoneticPr fontId="5" type="noConversion"/>
  </si>
  <si>
    <t>5. 천정 석고 시스템</t>
    <phoneticPr fontId="5" type="noConversion"/>
  </si>
  <si>
    <r>
      <rPr>
        <sz val="11"/>
        <color theme="1"/>
        <rFont val="맑은 고딕"/>
        <family val="3"/>
        <charset val="129"/>
        <scheme val="minor"/>
      </rPr>
      <t>석고보드</t>
    </r>
    <r>
      <rPr>
        <b/>
        <sz val="11"/>
        <color theme="1"/>
        <rFont val="맑은 고딕"/>
        <family val="3"/>
        <charset val="129"/>
        <scheme val="minor"/>
      </rPr>
      <t xml:space="preserve"> 1p</t>
    </r>
    <r>
      <rPr>
        <sz val="11"/>
        <color theme="1"/>
        <rFont val="맑은 고딕"/>
        <family val="3"/>
        <charset val="129"/>
        <scheme val="minor"/>
      </rPr>
      <t>&amp;</t>
    </r>
    <r>
      <rPr>
        <b/>
        <sz val="11"/>
        <color theme="1"/>
        <rFont val="맑은 고딕"/>
        <family val="3"/>
        <charset val="129"/>
        <scheme val="minor"/>
      </rPr>
      <t>2p</t>
    </r>
    <phoneticPr fontId="5" type="noConversion"/>
  </si>
  <si>
    <t>일반석고 9.5T</t>
    <phoneticPr fontId="5" type="noConversion"/>
  </si>
  <si>
    <t>900×1800</t>
    <phoneticPr fontId="5" type="noConversion"/>
  </si>
  <si>
    <t>장</t>
    <phoneticPr fontId="5" type="noConversion"/>
  </si>
  <si>
    <t>900×2400</t>
    <phoneticPr fontId="5" type="noConversion"/>
  </si>
  <si>
    <t>석고피스 코드</t>
    <phoneticPr fontId="5" type="noConversion"/>
  </si>
  <si>
    <t>방수석고 9.5T</t>
    <phoneticPr fontId="5" type="noConversion"/>
  </si>
  <si>
    <t>일반석고 12.5</t>
    <phoneticPr fontId="5" type="noConversion"/>
  </si>
  <si>
    <t>방수석고 12.5</t>
    <phoneticPr fontId="5" type="noConversion"/>
  </si>
  <si>
    <t>방화석고 12.5</t>
    <phoneticPr fontId="5" type="noConversion"/>
  </si>
  <si>
    <t>석고피스</t>
    <phoneticPr fontId="5" type="noConversion"/>
  </si>
  <si>
    <t>6×25 외날</t>
    <phoneticPr fontId="5" type="noConversion"/>
  </si>
  <si>
    <t>6×32 외날</t>
    <phoneticPr fontId="5" type="noConversion"/>
  </si>
  <si>
    <t>6×38 외날</t>
    <phoneticPr fontId="5" type="noConversion"/>
  </si>
  <si>
    <t>6×41 외날</t>
    <phoneticPr fontId="5" type="noConversion"/>
  </si>
  <si>
    <t>6×51 외날</t>
    <phoneticPr fontId="5" type="noConversion"/>
  </si>
  <si>
    <t>양날 선택시</t>
    <phoneticPr fontId="5" type="noConversion"/>
  </si>
  <si>
    <t>6×25 양날</t>
    <phoneticPr fontId="5" type="noConversion"/>
  </si>
  <si>
    <t>6×32 양날</t>
    <phoneticPr fontId="5" type="noConversion"/>
  </si>
  <si>
    <t>6×38 양날</t>
    <phoneticPr fontId="5" type="noConversion"/>
  </si>
  <si>
    <t>6×41 양날</t>
    <phoneticPr fontId="5" type="noConversion"/>
  </si>
  <si>
    <t>6×51 양날</t>
    <phoneticPr fontId="5" type="noConversion"/>
  </si>
  <si>
    <t>자재 발주서</t>
    <phoneticPr fontId="5" type="noConversion"/>
  </si>
  <si>
    <t>수신</t>
    <phoneticPr fontId="5" type="noConversion"/>
  </si>
  <si>
    <t>신라스틸판넬</t>
    <phoneticPr fontId="5" type="noConversion"/>
  </si>
  <si>
    <t>발신</t>
    <phoneticPr fontId="5" type="noConversion"/>
  </si>
  <si>
    <t>전화</t>
    <phoneticPr fontId="5" type="noConversion"/>
  </si>
  <si>
    <t>051-501-2642 팩스 051-501-2593</t>
    <phoneticPr fontId="5" type="noConversion"/>
  </si>
  <si>
    <t>주소</t>
    <phoneticPr fontId="5" type="noConversion"/>
  </si>
  <si>
    <t>담당자</t>
    <phoneticPr fontId="5" type="noConversion"/>
  </si>
  <si>
    <t>발주일</t>
    <phoneticPr fontId="5" type="noConversion"/>
  </si>
  <si>
    <t>발주 담당</t>
    <phoneticPr fontId="5" type="noConversion"/>
  </si>
  <si>
    <t>현장명</t>
    <phoneticPr fontId="5" type="noConversion"/>
  </si>
  <si>
    <t>현장 담당</t>
    <phoneticPr fontId="5" type="noConversion"/>
  </si>
  <si>
    <t>납품일</t>
    <phoneticPr fontId="5" type="noConversion"/>
  </si>
  <si>
    <t>현장 주소</t>
    <phoneticPr fontId="5" type="noConversion"/>
  </si>
  <si>
    <t>발주품목</t>
    <phoneticPr fontId="5" type="noConversion"/>
  </si>
  <si>
    <r>
      <rPr>
        <b/>
        <sz val="11"/>
        <color theme="1"/>
        <rFont val="돋움"/>
        <family val="3"/>
        <charset val="129"/>
      </rPr>
      <t>품</t>
    </r>
    <r>
      <rPr>
        <b/>
        <sz val="11"/>
        <color theme="1"/>
        <rFont val="Arial"/>
        <family val="2"/>
      </rPr>
      <t xml:space="preserve">      </t>
    </r>
    <r>
      <rPr>
        <b/>
        <sz val="11"/>
        <color theme="1"/>
        <rFont val="돋움"/>
        <family val="3"/>
        <charset val="129"/>
      </rPr>
      <t>명</t>
    </r>
    <phoneticPr fontId="5" type="noConversion"/>
  </si>
  <si>
    <r>
      <rPr>
        <b/>
        <sz val="11"/>
        <color theme="1"/>
        <rFont val="돋움"/>
        <family val="3"/>
        <charset val="129"/>
      </rPr>
      <t>수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theme="1"/>
        <rFont val="돋움"/>
        <family val="3"/>
        <charset val="129"/>
      </rPr>
      <t>량</t>
    </r>
    <phoneticPr fontId="5" type="noConversion"/>
  </si>
  <si>
    <r>
      <rPr>
        <b/>
        <sz val="11"/>
        <color theme="1"/>
        <rFont val="돋움"/>
        <family val="3"/>
        <charset val="129"/>
      </rPr>
      <t>비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돋움"/>
        <family val="3"/>
        <charset val="129"/>
      </rPr>
      <t>고</t>
    </r>
    <phoneticPr fontId="5" type="noConversion"/>
  </si>
  <si>
    <r>
      <rPr>
        <sz val="10"/>
        <color theme="1"/>
        <rFont val="돋움"/>
        <family val="3"/>
        <charset val="129"/>
      </rPr>
      <t>※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메모</t>
    </r>
    <r>
      <rPr>
        <sz val="10"/>
        <color theme="1"/>
        <rFont val="Arial"/>
        <family val="2"/>
      </rPr>
      <t xml:space="preserve"> :</t>
    </r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</si>
  <si>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일자타입</t>
    </r>
    <r>
      <rPr>
        <b/>
        <sz val="14"/>
        <color theme="1"/>
        <rFont val="맑은 고딕"/>
        <family val="3"/>
        <charset val="129"/>
        <scheme val="minor"/>
      </rPr>
      <t xml:space="preserve"> 물량 산출</t>
    </r>
    <phoneticPr fontId="5" type="noConversion"/>
  </si>
  <si>
    <t>※ 색상 있는 셀만 입력 (판넬 색상은 색상만 입력)</t>
    <phoneticPr fontId="5" type="noConversion"/>
  </si>
  <si>
    <t>몰딩 자재</t>
    <phoneticPr fontId="5" type="noConversion"/>
  </si>
  <si>
    <t>※ 주문 도어는 색상칸에 추가</t>
    <phoneticPr fontId="5" type="noConversion"/>
  </si>
  <si>
    <t>공통 선택  품명</t>
    <phoneticPr fontId="5" type="noConversion"/>
  </si>
  <si>
    <t>시 공 폭</t>
    <phoneticPr fontId="5" type="noConversion"/>
  </si>
  <si>
    <t>도   어</t>
    <phoneticPr fontId="5" type="noConversion"/>
  </si>
  <si>
    <t>칸막이판</t>
    <phoneticPr fontId="5" type="noConversion"/>
  </si>
  <si>
    <t>정 면 판</t>
    <phoneticPr fontId="5" type="noConversion"/>
  </si>
  <si>
    <t>벽면 쪽판</t>
    <phoneticPr fontId="5" type="noConversion"/>
  </si>
  <si>
    <t>수량</t>
    <phoneticPr fontId="5" type="noConversion"/>
  </si>
  <si>
    <t>문 사이 중앙판</t>
    <phoneticPr fontId="5" type="noConversion"/>
  </si>
  <si>
    <t>정면 판 로스</t>
    <phoneticPr fontId="5" type="noConversion"/>
  </si>
  <si>
    <t>하부</t>
    <phoneticPr fontId="5" type="noConversion"/>
  </si>
  <si>
    <t>문틀</t>
    <phoneticPr fontId="5" type="noConversion"/>
  </si>
  <si>
    <t>벽</t>
    <phoneticPr fontId="5" type="noConversion"/>
  </si>
  <si>
    <t>규격</t>
    <phoneticPr fontId="5" type="noConversion"/>
  </si>
  <si>
    <t>수   량</t>
    <phoneticPr fontId="5" type="noConversion"/>
  </si>
  <si>
    <t>딘위</t>
    <phoneticPr fontId="5" type="noConversion"/>
  </si>
  <si>
    <t>비   고</t>
    <phoneticPr fontId="5" type="noConversion"/>
  </si>
  <si>
    <t>일자 타입</t>
    <phoneticPr fontId="5" type="noConversion"/>
  </si>
  <si>
    <t>A</t>
    <phoneticPr fontId="5" type="noConversion"/>
  </si>
  <si>
    <t>판넬 색상</t>
    <phoneticPr fontId="5" type="noConversion"/>
  </si>
  <si>
    <t>B</t>
    <phoneticPr fontId="5" type="noConversion"/>
  </si>
  <si>
    <t>흰   지</t>
    <phoneticPr fontId="5" type="noConversion"/>
  </si>
  <si>
    <t>일반 흰지</t>
    <phoneticPr fontId="5" type="noConversion"/>
  </si>
  <si>
    <t>개</t>
    <phoneticPr fontId="5" type="noConversion"/>
  </si>
  <si>
    <t>C</t>
    <phoneticPr fontId="5" type="noConversion"/>
  </si>
  <si>
    <t>잠금쇠</t>
    <phoneticPr fontId="5" type="noConversion"/>
  </si>
  <si>
    <t>일반 잠금쇠</t>
    <phoneticPr fontId="5" type="noConversion"/>
  </si>
  <si>
    <t>상부 몰딩 3.6</t>
    <phoneticPr fontId="5" type="noConversion"/>
  </si>
  <si>
    <t>D</t>
    <phoneticPr fontId="5" type="noConversion"/>
  </si>
  <si>
    <t>도어 폭</t>
    <phoneticPr fontId="5" type="noConversion"/>
  </si>
  <si>
    <t>상부 몰딩 2.5</t>
    <phoneticPr fontId="5" type="noConversion"/>
  </si>
  <si>
    <t>E</t>
    <phoneticPr fontId="5" type="noConversion"/>
  </si>
  <si>
    <t>하부 몰딩</t>
    <phoneticPr fontId="5" type="noConversion"/>
  </si>
  <si>
    <t>합     계</t>
    <phoneticPr fontId="5" type="noConversion"/>
  </si>
  <si>
    <t>카바 몰딩</t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</si>
  <si>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ㄴ타입</t>
    </r>
    <r>
      <rPr>
        <b/>
        <sz val="14"/>
        <rFont val="맑은 고딕"/>
        <family val="3"/>
        <charset val="129"/>
        <scheme val="minor"/>
      </rPr>
      <t xml:space="preserve"> 물량 산출</t>
    </r>
    <phoneticPr fontId="5" type="noConversion"/>
  </si>
  <si>
    <t>문틀 몰딩</t>
    <phoneticPr fontId="5" type="noConversion"/>
  </si>
  <si>
    <t>벽 몰딩</t>
    <phoneticPr fontId="5" type="noConversion"/>
  </si>
  <si>
    <t>코너+정면폭</t>
    <phoneticPr fontId="5" type="noConversion"/>
  </si>
  <si>
    <t>코너(옆면)</t>
    <phoneticPr fontId="5" type="noConversion"/>
  </si>
  <si>
    <t>정면 폭</t>
    <phoneticPr fontId="5" type="noConversion"/>
  </si>
  <si>
    <t>코너 몰딩</t>
    <phoneticPr fontId="5" type="noConversion"/>
  </si>
  <si>
    <t>ㄴ자 타입</t>
    <phoneticPr fontId="5" type="noConversion"/>
  </si>
  <si>
    <t>ㄱ</t>
    <phoneticPr fontId="5" type="noConversion"/>
  </si>
  <si>
    <t>코너</t>
    <phoneticPr fontId="5" type="noConversion"/>
  </si>
  <si>
    <t>ㄴ</t>
    <phoneticPr fontId="5" type="noConversion"/>
  </si>
  <si>
    <t>받침대</t>
    <phoneticPr fontId="5" type="noConversion"/>
  </si>
  <si>
    <t>ㄷ</t>
    <phoneticPr fontId="5" type="noConversion"/>
  </si>
  <si>
    <t>ㄹ</t>
    <phoneticPr fontId="5" type="noConversion"/>
  </si>
  <si>
    <t>보호대</t>
    <phoneticPr fontId="5" type="noConversion"/>
  </si>
  <si>
    <t>ㅁ</t>
    <phoneticPr fontId="5" type="noConversion"/>
  </si>
  <si>
    <t>옷걸이</t>
    <phoneticPr fontId="5" type="noConversion"/>
  </si>
  <si>
    <t>로스판 활용 -</t>
    <phoneticPr fontId="5" type="noConversion"/>
  </si>
  <si>
    <r>
      <t xml:space="preserve">※ 본 산출서는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7030A0"/>
        <rFont val="맑은 고딕"/>
        <family val="3"/>
        <charset val="129"/>
        <scheme val="minor"/>
      </rPr>
      <t>스틸</t>
    </r>
    <r>
      <rPr>
        <b/>
        <sz val="11"/>
        <color rgb="FF00B05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제공 양식입니다.</t>
    </r>
    <phoneticPr fontId="5" type="noConversion"/>
  </si>
  <si>
    <t>* 노란색 셀 필수 입력 : 일자 타입과 ㄴ자 타입 공통사항</t>
    <phoneticPr fontId="5" type="noConversion"/>
  </si>
  <si>
    <r>
      <t xml:space="preserve">※ 무단 변경 및 상업적 사용을 금지합니다. </t>
    </r>
    <r>
      <rPr>
        <b/>
        <sz val="11"/>
        <rFont val="맑은 고딕"/>
        <family val="3"/>
        <charset val="129"/>
        <scheme val="minor"/>
      </rPr>
      <t xml:space="preserve">전화 : 010-3571-3380 </t>
    </r>
    <phoneticPr fontId="5" type="noConversion"/>
  </si>
  <si>
    <t>* 시공 폭 및 도어 수량 입력</t>
    <phoneticPr fontId="5" type="noConversion"/>
  </si>
  <si>
    <t>* 도어 폭 : 도어 폭 +문 사이 공간 포함</t>
    <phoneticPr fontId="5" type="noConversion"/>
  </si>
  <si>
    <t>* 쪽판 칫수 : 균등 분할 한 칫수(몰딩 포함)</t>
    <phoneticPr fontId="5" type="noConversion"/>
  </si>
  <si>
    <t>* 상부 몰딩 : 3.6은 정면 수량, 2.5는 칸막이 수량.</t>
    <phoneticPr fontId="5" type="noConversion"/>
  </si>
  <si>
    <t>판 넬   A</t>
    <phoneticPr fontId="5" type="noConversion"/>
  </si>
  <si>
    <t>※ 물량 산출 내용은 참고 용이며 작업 환경에 따라 변경.</t>
    <phoneticPr fontId="5" type="noConversion"/>
  </si>
  <si>
    <t>코너 타입</t>
    <phoneticPr fontId="5" type="noConversion"/>
  </si>
  <si>
    <t>판 넬  ㄱ</t>
    <phoneticPr fontId="5" type="noConversion"/>
  </si>
  <si>
    <t>자재 물량 산출 문의 : 010-3571-3380</t>
    <phoneticPr fontId="5" type="noConversion"/>
  </si>
  <si>
    <t>신라 Daum Cafe</t>
  </si>
  <si>
    <t>신라스틸판넬 Home Page</t>
    <phoneticPr fontId="5" type="noConversion"/>
  </si>
  <si>
    <t>로스 합계</t>
    <phoneticPr fontId="5" type="noConversion"/>
  </si>
  <si>
    <t>행거도어 부속자재 물량 산출</t>
    <phoneticPr fontId="5" type="noConversion"/>
  </si>
  <si>
    <t>물량 산출 문의 : 010-3571-3380</t>
    <phoneticPr fontId="5" type="noConversion"/>
  </si>
  <si>
    <r>
      <t xml:space="preserve">신라 </t>
    </r>
    <r>
      <rPr>
        <b/>
        <u/>
        <sz val="11"/>
        <color rgb="FF0070C0"/>
        <rFont val="맑은 고딕"/>
        <family val="3"/>
        <charset val="129"/>
        <scheme val="minor"/>
      </rPr>
      <t>D</t>
    </r>
    <r>
      <rPr>
        <b/>
        <u/>
        <sz val="11"/>
        <color rgb="FFFF0000"/>
        <rFont val="맑은 고딕"/>
        <family val="3"/>
        <charset val="129"/>
        <scheme val="minor"/>
      </rPr>
      <t>a</t>
    </r>
    <r>
      <rPr>
        <b/>
        <u/>
        <sz val="11"/>
        <color rgb="FF00B050"/>
        <rFont val="맑은 고딕"/>
        <family val="3"/>
        <charset val="129"/>
        <scheme val="minor"/>
      </rPr>
      <t>u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m </t>
    </r>
    <r>
      <rPr>
        <b/>
        <u/>
        <sz val="11"/>
        <color theme="1"/>
        <rFont val="맑은 고딕"/>
        <family val="3"/>
        <charset val="129"/>
        <scheme val="minor"/>
      </rPr>
      <t>Cafe</t>
    </r>
    <phoneticPr fontId="5" type="noConversion"/>
  </si>
  <si>
    <t xml:space="preserve">편개도어 : </t>
    <phoneticPr fontId="5" type="noConversion"/>
  </si>
  <si>
    <t xml:space="preserve">양개도어 : </t>
    <phoneticPr fontId="5" type="noConversion"/>
  </si>
  <si>
    <t>행거도어 부속자재 물량 산출 합계</t>
    <phoneticPr fontId="5" type="noConversion"/>
  </si>
  <si>
    <t>도어 두께 / T</t>
    <phoneticPr fontId="5" type="noConversion"/>
  </si>
  <si>
    <t>개 수</t>
    <phoneticPr fontId="5" type="noConversion"/>
  </si>
  <si>
    <t>수량 / 단위</t>
    <phoneticPr fontId="5" type="noConversion"/>
  </si>
  <si>
    <t>폭 / mm</t>
    <phoneticPr fontId="5" type="noConversion"/>
  </si>
  <si>
    <t>높이 / mm</t>
    <phoneticPr fontId="5" type="noConversion"/>
  </si>
  <si>
    <t>C 트랙 / mm</t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</si>
  <si>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(주) 신라스틸판넬 . 신라기업사</t>
    </r>
    <r>
      <rPr>
        <b/>
        <sz val="14"/>
        <color theme="1"/>
        <rFont val="맑은 고딕"/>
        <family val="3"/>
        <charset val="129"/>
        <scheme val="minor"/>
      </rPr>
      <t xml:space="preserve">  </t>
    </r>
    <r>
      <rPr>
        <b/>
        <sz val="14"/>
        <color rgb="FFFF0000"/>
        <rFont val="맑은 고딕"/>
        <family val="3"/>
        <charset val="129"/>
        <scheme val="minor"/>
      </rPr>
      <t>전화</t>
    </r>
    <r>
      <rPr>
        <b/>
        <sz val="14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</si>
  <si>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rPr>
        <u/>
        <sz val="11"/>
        <rFont val="맑은 고딕"/>
        <family val="3"/>
        <charset val="129"/>
        <scheme val="minor"/>
      </rPr>
      <t>주소 :</t>
    </r>
    <r>
      <rPr>
        <u/>
        <sz val="11"/>
        <color theme="10"/>
        <rFont val="맑은 고딕"/>
        <family val="2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부산시 부산 동래구 반송로 213</t>
    </r>
    <r>
      <rPr>
        <u/>
        <sz val="11"/>
        <color theme="10"/>
        <rFont val="맑은 고딕"/>
        <family val="2"/>
        <charset val="129"/>
        <scheme val="minor"/>
      </rPr>
      <t xml:space="preserve">  충렬사역 3번출구(</t>
    </r>
    <r>
      <rPr>
        <b/>
        <u/>
        <sz val="11"/>
        <color rgb="FF00B0F0"/>
        <rFont val="맑은 고딕"/>
        <family val="3"/>
        <charset val="129"/>
        <scheme val="minor"/>
      </rPr>
      <t>네</t>
    </r>
    <r>
      <rPr>
        <b/>
        <u/>
        <sz val="11"/>
        <color rgb="FF00B050"/>
        <rFont val="맑은 고딕"/>
        <family val="3"/>
        <charset val="129"/>
        <scheme val="minor"/>
      </rPr>
      <t>이</t>
    </r>
    <r>
      <rPr>
        <b/>
        <u/>
        <sz val="11"/>
        <color rgb="FFFF0000"/>
        <rFont val="맑은 고딕"/>
        <family val="3"/>
        <charset val="129"/>
        <scheme val="minor"/>
      </rPr>
      <t>버</t>
    </r>
    <r>
      <rPr>
        <b/>
        <u/>
        <sz val="11"/>
        <color theme="10"/>
        <rFont val="맑은 고딕"/>
        <family val="3"/>
        <charset val="129"/>
        <scheme val="minor"/>
      </rPr>
      <t xml:space="preserve"> 지도</t>
    </r>
    <r>
      <rPr>
        <u/>
        <sz val="11"/>
        <color theme="10"/>
        <rFont val="맑은 고딕"/>
        <family val="2"/>
        <charset val="129"/>
        <scheme val="minor"/>
      </rPr>
      <t xml:space="preserve"> 클릭)</t>
    </r>
    <phoneticPr fontId="5" type="noConversion"/>
  </si>
  <si>
    <t>측면바 / mm</t>
    <phoneticPr fontId="5" type="noConversion"/>
  </si>
  <si>
    <t>중앙바 / mm</t>
    <phoneticPr fontId="5" type="noConversion"/>
  </si>
  <si>
    <t>하부 가이드 / mm</t>
    <phoneticPr fontId="5" type="noConversion"/>
  </si>
  <si>
    <t>오형 손잡이 / mm</t>
    <phoneticPr fontId="5" type="noConversion"/>
  </si>
  <si>
    <t>상부 브라켓</t>
    <phoneticPr fontId="5" type="noConversion"/>
  </si>
  <si>
    <t>상부 로라</t>
    <phoneticPr fontId="5" type="noConversion"/>
  </si>
  <si>
    <t>중앙 브라켓</t>
    <phoneticPr fontId="5" type="noConversion"/>
  </si>
  <si>
    <t>상부 스토파</t>
    <phoneticPr fontId="5" type="noConversion"/>
  </si>
  <si>
    <t>중앙 스토파</t>
    <phoneticPr fontId="5" type="noConversion"/>
  </si>
  <si>
    <t>하부 스토파</t>
    <phoneticPr fontId="5" type="noConversion"/>
  </si>
  <si>
    <t>스토파 고무</t>
    <phoneticPr fontId="5" type="noConversion"/>
  </si>
  <si>
    <t>하부 로라</t>
    <phoneticPr fontId="5" type="noConversion"/>
  </si>
  <si>
    <t>편개 빗장</t>
    <phoneticPr fontId="5" type="noConversion"/>
  </si>
  <si>
    <t>양개 빗장</t>
    <phoneticPr fontId="5" type="noConversion"/>
  </si>
  <si>
    <t>인핸들</t>
    <phoneticPr fontId="5" type="noConversion"/>
  </si>
  <si>
    <t>오형 손잡이 마개</t>
    <phoneticPr fontId="5" type="noConversion"/>
  </si>
  <si>
    <t>양날 고무</t>
    <phoneticPr fontId="5" type="noConversion"/>
  </si>
  <si>
    <t>C트랙  맞 볼트</t>
    <phoneticPr fontId="5" type="noConversion"/>
  </si>
  <si>
    <t>너트</t>
    <phoneticPr fontId="5" type="noConversion"/>
  </si>
  <si>
    <t>와샤</t>
    <phoneticPr fontId="5" type="noConversion"/>
  </si>
  <si>
    <t>10×20</t>
    <phoneticPr fontId="5" type="noConversion"/>
  </si>
  <si>
    <t>리벳 소</t>
    <phoneticPr fontId="5" type="noConversion"/>
  </si>
  <si>
    <t>4.8-11</t>
    <phoneticPr fontId="5" type="noConversion"/>
  </si>
  <si>
    <t>리벳 대</t>
    <phoneticPr fontId="5" type="noConversion"/>
  </si>
  <si>
    <t>4.8-16</t>
    <phoneticPr fontId="5" type="noConversion"/>
  </si>
  <si>
    <t>셋트 앙카</t>
    <phoneticPr fontId="5" type="noConversion"/>
  </si>
  <si>
    <t>3/8 75mm</t>
    <phoneticPr fontId="5" type="noConversion"/>
  </si>
  <si>
    <t>보강 앵글</t>
    <phoneticPr fontId="5" type="noConversion"/>
  </si>
  <si>
    <t>보강 삼각판</t>
    <phoneticPr fontId="5" type="noConversion"/>
  </si>
  <si>
    <t>육각 볼트</t>
    <phoneticPr fontId="5" type="noConversion"/>
  </si>
  <si>
    <t>14-38mm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</si>
  <si>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문의 전화</t>
    </r>
    <r>
      <rPr>
        <sz val="11"/>
        <color theme="1"/>
        <rFont val="맑은 고딕"/>
        <family val="2"/>
        <charset val="129"/>
        <scheme val="minor"/>
      </rPr>
      <t xml:space="preserve"> :</t>
    </r>
    <r>
      <rPr>
        <b/>
        <sz val="11"/>
        <color theme="1"/>
        <rFont val="맑은 고딕"/>
        <family val="3"/>
        <charset val="129"/>
        <scheme val="minor"/>
      </rPr>
      <t xml:space="preserve"> 010-3571-3380</t>
    </r>
    <phoneticPr fontId="5" type="noConversion"/>
  </si>
  <si>
    <t>육각 볼트 32mm</t>
    <phoneticPr fontId="5" type="noConversion"/>
  </si>
  <si>
    <t>상부 브라켓 6×2</t>
    <phoneticPr fontId="5" type="noConversion"/>
  </si>
  <si>
    <t>상부 브라켓 6×4</t>
    <phoneticPr fontId="5" type="noConversion"/>
  </si>
  <si>
    <t>상부 스톱바 2×2</t>
    <phoneticPr fontId="5" type="noConversion"/>
  </si>
  <si>
    <t>여분</t>
    <phoneticPr fontId="5" type="noConversion"/>
  </si>
  <si>
    <t>중앙 스톱바 4×1</t>
    <phoneticPr fontId="5" type="noConversion"/>
  </si>
  <si>
    <t>폭 2800mm 이상</t>
    <phoneticPr fontId="5" type="noConversion"/>
  </si>
  <si>
    <t>중앙 브라켓 4×1</t>
    <phoneticPr fontId="5" type="noConversion"/>
  </si>
  <si>
    <t>폭 5600mm 이상</t>
    <phoneticPr fontId="5" type="noConversion"/>
  </si>
  <si>
    <t>중앙 브라켓 4×2</t>
    <phoneticPr fontId="5" type="noConversion"/>
  </si>
  <si>
    <t xml:space="preserve">리벳 수량은 최소 수량. </t>
    <phoneticPr fontId="5" type="noConversion"/>
  </si>
  <si>
    <t>경량 스터드 석고 칸막이 물량 산출</t>
    <phoneticPr fontId="5" type="noConversion"/>
  </si>
  <si>
    <t>문의 전화 : 010-3571-3380</t>
    <phoneticPr fontId="5" type="noConversion"/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</si>
  <si>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>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</si>
  <si>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★ A+B타입 모두 합계 산출(작업 조건이 동일할때 참조)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</si>
  <si>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A타입</t>
    </r>
    <r>
      <rPr>
        <sz val="11"/>
        <color theme="1"/>
        <rFont val="맑은 고딕"/>
        <family val="2"/>
        <charset val="129"/>
        <scheme val="minor"/>
      </rPr>
      <t xml:space="preserve"> 일자 칸막이 1~3칸</t>
    </r>
    <phoneticPr fontId="5" type="noConversion"/>
  </si>
  <si>
    <t>노란색 칸 필수 확인 입력. 기타 색상 있는 셀 참고 확인 및 수정 입력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</si>
  <si>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ㄱ자 칸막이 1~3칸</t>
    </r>
    <phoneticPr fontId="5" type="noConversion"/>
  </si>
  <si>
    <t>시공면적 합계 :</t>
    <phoneticPr fontId="5" type="noConversion"/>
  </si>
  <si>
    <t>시공 면적</t>
    <phoneticPr fontId="5" type="noConversion"/>
  </si>
  <si>
    <r>
      <t>m</t>
    </r>
    <r>
      <rPr>
        <vertAlign val="superscript"/>
        <sz val="11"/>
        <rFont val="맑은 고딕"/>
        <family val="3"/>
        <charset val="129"/>
        <scheme val="minor"/>
      </rPr>
      <t>2</t>
    </r>
    <phoneticPr fontId="5" type="noConversion"/>
  </si>
  <si>
    <t>시공폭</t>
    <phoneticPr fontId="5" type="noConversion"/>
  </si>
  <si>
    <t>m</t>
    <phoneticPr fontId="5" type="noConversion"/>
  </si>
  <si>
    <t>단위</t>
    <phoneticPr fontId="5" type="noConversion"/>
  </si>
  <si>
    <t>석고보드 1장</t>
    <phoneticPr fontId="5" type="noConversion"/>
  </si>
  <si>
    <r>
      <t>m</t>
    </r>
    <r>
      <rPr>
        <vertAlign val="superscript"/>
        <sz val="11"/>
        <color theme="0" tint="-0.14999847407452621"/>
        <rFont val="맑은 고딕"/>
        <family val="3"/>
        <charset val="129"/>
        <scheme val="minor"/>
      </rPr>
      <t>2</t>
    </r>
    <phoneticPr fontId="5" type="noConversion"/>
  </si>
  <si>
    <t>크린매트 1롤</t>
    <phoneticPr fontId="5" type="noConversion"/>
  </si>
  <si>
    <t>시공 높이</t>
    <phoneticPr fontId="5" type="noConversion"/>
  </si>
  <si>
    <t>mm</t>
    <phoneticPr fontId="5" type="noConversion"/>
  </si>
  <si>
    <t>석고보드 종류 및 두께</t>
    <phoneticPr fontId="5" type="noConversion"/>
  </si>
  <si>
    <t>일반석고보드 9.5</t>
    <phoneticPr fontId="5" type="noConversion"/>
  </si>
  <si>
    <t>스터드 두께</t>
    <phoneticPr fontId="5" type="noConversion"/>
  </si>
  <si>
    <t>석고보드 1p &amp; 2p</t>
    <phoneticPr fontId="5" type="noConversion"/>
  </si>
  <si>
    <t>P</t>
    <phoneticPr fontId="5" type="noConversion"/>
  </si>
  <si>
    <t>양면=2, 단면=1</t>
    <phoneticPr fontId="5" type="noConversion"/>
  </si>
  <si>
    <t>면</t>
    <phoneticPr fontId="5" type="noConversion"/>
  </si>
  <si>
    <t>크린매트 50t 24k</t>
    <phoneticPr fontId="5" type="noConversion"/>
  </si>
  <si>
    <t>매</t>
    <phoneticPr fontId="5" type="noConversion"/>
  </si>
  <si>
    <t>문 개수</t>
    <phoneticPr fontId="5" type="noConversion"/>
  </si>
  <si>
    <t>※ 조건이 다를때 A타입</t>
    <phoneticPr fontId="5" type="noConversion"/>
  </si>
  <si>
    <t>스터드 여유 개수</t>
    <phoneticPr fontId="5" type="noConversion"/>
  </si>
  <si>
    <t>스터드 여유 추가 개수</t>
    <phoneticPr fontId="5" type="noConversion"/>
  </si>
  <si>
    <t xml:space="preserve">창문 </t>
    <phoneticPr fontId="5" type="noConversion"/>
  </si>
  <si>
    <t>창문 크기</t>
    <phoneticPr fontId="5" type="noConversion"/>
  </si>
  <si>
    <t>1000*1000</t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</si>
  <si>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전화</t>
    </r>
    <r>
      <rPr>
        <b/>
        <sz val="11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</si>
  <si>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팩스 :</t>
    </r>
    <r>
      <rPr>
        <b/>
        <sz val="11"/>
        <rFont val="맑은 고딕"/>
        <family val="3"/>
        <charset val="129"/>
        <scheme val="minor"/>
      </rPr>
      <t xml:space="preserve"> 051-501-2593</t>
    </r>
    <phoneticPr fontId="5" type="noConversion"/>
  </si>
  <si>
    <r>
      <rPr>
        <b/>
        <u/>
        <sz val="11"/>
        <rFont val="맑은 고딕"/>
        <family val="3"/>
        <charset val="129"/>
        <scheme val="minor"/>
      </rPr>
      <t>신라기업사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 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</si>
  <si>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t>※ 조건이 다를때 B타입</t>
    <phoneticPr fontId="5" type="noConversion"/>
  </si>
  <si>
    <t>※ 코너와 벽면 스터드 자동으로 2개씩 추가 계산됨</t>
    <phoneticPr fontId="5" type="noConversion"/>
  </si>
  <si>
    <t>※ 문 1개에 스터드 2개 추가</t>
    <phoneticPr fontId="5" type="noConversion"/>
  </si>
  <si>
    <t>※ 참조 사항 (규격 변경시 수정)</t>
    <phoneticPr fontId="5" type="noConversion"/>
  </si>
  <si>
    <t>문 크기</t>
    <phoneticPr fontId="5" type="noConversion"/>
  </si>
  <si>
    <t>900×2100</t>
    <phoneticPr fontId="5" type="noConversion"/>
  </si>
  <si>
    <t>철판피스 8-16</t>
  </si>
  <si>
    <t>시공 간격</t>
    <phoneticPr fontId="5" type="noConversion"/>
  </si>
  <si>
    <t>칼부룩 앙카</t>
  </si>
  <si>
    <t>석고보드 폭</t>
    <phoneticPr fontId="5" type="noConversion"/>
  </si>
  <si>
    <t>※ 석고피스는 석고 9.5t기준 1~2P 기준으로 설정함</t>
    <phoneticPr fontId="5" type="noConversion"/>
  </si>
  <si>
    <t>석고보드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</si>
  <si>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A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</si>
  <si>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t>판넬</t>
    <phoneticPr fontId="5" type="noConversion"/>
  </si>
  <si>
    <t>쪽판</t>
    <phoneticPr fontId="5" type="noConversion"/>
  </si>
  <si>
    <t>출고증</t>
    <phoneticPr fontId="5" type="noConversion"/>
  </si>
  <si>
    <t>A 시공 폭</t>
    <phoneticPr fontId="5" type="noConversion"/>
  </si>
  <si>
    <t>공급받는자</t>
    <phoneticPr fontId="5" type="noConversion"/>
  </si>
  <si>
    <t>상     호</t>
    <phoneticPr fontId="5" type="noConversion"/>
  </si>
  <si>
    <t>貴 中</t>
    <phoneticPr fontId="5" type="noConversion"/>
  </si>
  <si>
    <t>공급자</t>
    <phoneticPr fontId="5" type="noConversion"/>
  </si>
  <si>
    <t>㈜신라스틸판넬</t>
    <phoneticPr fontId="5" type="noConversion"/>
  </si>
  <si>
    <t>TEL</t>
    <phoneticPr fontId="5" type="noConversion"/>
  </si>
  <si>
    <t>051-501-2642</t>
    <phoneticPr fontId="5" type="noConversion"/>
  </si>
  <si>
    <t>상    호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</si>
  <si>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A타입 :</t>
    </r>
    <r>
      <rPr>
        <sz val="11"/>
        <color theme="1"/>
        <rFont val="맑은 고딕"/>
        <family val="2"/>
        <charset val="129"/>
        <scheme val="minor"/>
      </rPr>
      <t xml:space="preserve"> 가장 기본적인 형태로, 심플한 디자인과 실용성을 강조합니다.</t>
    </r>
    <phoneticPr fontId="5" type="noConversion"/>
  </si>
  <si>
    <t>B 시공 폭</t>
    <phoneticPr fontId="5" type="noConversion"/>
  </si>
  <si>
    <t>주     소</t>
    <phoneticPr fontId="5" type="noConversion"/>
  </si>
  <si>
    <t>사업자번호</t>
    <phoneticPr fontId="5" type="noConversion"/>
  </si>
  <si>
    <t>607-81-85298</t>
    <phoneticPr fontId="5" type="noConversion"/>
  </si>
  <si>
    <t>성 명</t>
    <phoneticPr fontId="5" type="noConversion"/>
  </si>
  <si>
    <t>전 병건</t>
    <phoneticPr fontId="5" type="noConversion"/>
  </si>
  <si>
    <t>주    소</t>
    <phoneticPr fontId="5" type="noConversion"/>
  </si>
  <si>
    <t>전     화</t>
    <phoneticPr fontId="5" type="noConversion"/>
  </si>
  <si>
    <t>* 완전 차단된 공간으로 방음효과와 쾌적한 환경으로 사무능률을 향상시켜 줍니다.</t>
    <phoneticPr fontId="5" type="noConversion"/>
  </si>
  <si>
    <t>C 시공 폭</t>
    <phoneticPr fontId="5" type="noConversion"/>
  </si>
  <si>
    <t>S.G.P 판넬</t>
    <phoneticPr fontId="5" type="noConversion"/>
  </si>
  <si>
    <t>HP</t>
    <phoneticPr fontId="5" type="noConversion"/>
  </si>
  <si>
    <t>부산광역시 기장군 정관면 산단7로 50-19</t>
    <phoneticPr fontId="5" type="noConversion"/>
  </si>
  <si>
    <t>전    화</t>
    <phoneticPr fontId="5" type="noConversion"/>
  </si>
  <si>
    <t>담 당 자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</si>
  <si>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주의</t>
    </r>
    <r>
      <rPr>
        <sz val="11"/>
        <color rgb="FFFF0000"/>
        <rFont val="맑은 고딕"/>
        <family val="2"/>
        <charset val="129"/>
        <scheme val="minor"/>
      </rPr>
      <t xml:space="preserve"> : 현재 버전은 테스트 및 참고용이므로 실제 현장 적용 시 오차가 발생할 수 있습니다.</t>
    </r>
    <phoneticPr fontId="5" type="noConversion"/>
  </si>
  <si>
    <t>D 시공 폭</t>
    <phoneticPr fontId="5" type="noConversion"/>
  </si>
  <si>
    <t>S.G.P 판넬 쪽판</t>
    <phoneticPr fontId="5" type="noConversion"/>
  </si>
  <si>
    <t>발주일자</t>
    <phoneticPr fontId="5" type="noConversion"/>
  </si>
  <si>
    <t>일련번호</t>
    <phoneticPr fontId="5" type="noConversion"/>
  </si>
  <si>
    <t>출고일자</t>
    <phoneticPr fontId="5" type="noConversion"/>
  </si>
  <si>
    <t>▣ 참조</t>
    <phoneticPr fontId="5" type="noConversion"/>
  </si>
  <si>
    <t>A~D 합계</t>
    <phoneticPr fontId="5" type="noConversion"/>
  </si>
  <si>
    <t>현 장 명</t>
  </si>
  <si>
    <t>현장담당 HP</t>
    <phoneticPr fontId="5" type="noConversion"/>
  </si>
  <si>
    <t>현 장 명</t>
    <phoneticPr fontId="5" type="noConversion"/>
  </si>
  <si>
    <t>현장담당자</t>
    <phoneticPr fontId="5" type="noConversion"/>
  </si>
  <si>
    <t>1. S.G.P 판넬 : 천고(스터드 높이 기준)-110mm</t>
    <phoneticPr fontId="5" type="noConversion"/>
  </si>
  <si>
    <t>스터드 높이 H</t>
    <phoneticPr fontId="5" type="noConversion"/>
  </si>
  <si>
    <t>NO</t>
    <phoneticPr fontId="5" type="noConversion"/>
  </si>
  <si>
    <t>규    격</t>
    <phoneticPr fontId="5" type="noConversion"/>
  </si>
  <si>
    <t>수 량</t>
    <phoneticPr fontId="5" type="noConversion"/>
  </si>
  <si>
    <t>비    고</t>
    <phoneticPr fontId="5" type="noConversion"/>
  </si>
  <si>
    <t>품    명</t>
    <phoneticPr fontId="5" type="noConversion"/>
  </si>
  <si>
    <t>2. S.G.P 도어 상부 난바판 : 판넬 높이 - 2000 (도어 높이 2,100 기준)</t>
    <phoneticPr fontId="5" type="noConversion"/>
  </si>
  <si>
    <t>3. 판넬 폭 : 판과 판의 중심선 기준 폭</t>
    <phoneticPr fontId="5" type="noConversion"/>
  </si>
  <si>
    <t>스터드 두깨</t>
    <phoneticPr fontId="5" type="noConversion"/>
  </si>
  <si>
    <t>S.G.P 도어 상부 난바판</t>
    <phoneticPr fontId="5" type="noConversion"/>
  </si>
  <si>
    <t>S.G.P 도어</t>
    <phoneticPr fontId="5" type="noConversion"/>
  </si>
  <si>
    <t>S.G.P  도어</t>
    <phoneticPr fontId="5" type="noConversion"/>
  </si>
  <si>
    <t>S.G.P 양개 도어</t>
    <phoneticPr fontId="5" type="noConversion"/>
  </si>
  <si>
    <t>S.G.P  양개도어</t>
    <phoneticPr fontId="5" type="noConversion"/>
  </si>
  <si>
    <t>상부 마감</t>
    <phoneticPr fontId="5" type="noConversion"/>
  </si>
  <si>
    <t>벽 마감</t>
    <phoneticPr fontId="5" type="noConversion"/>
  </si>
  <si>
    <t>걸레 받이</t>
    <phoneticPr fontId="5" type="noConversion"/>
  </si>
  <si>
    <t>시린다</t>
    <phoneticPr fontId="5" type="noConversion"/>
  </si>
  <si>
    <t>제작 및 배포: (주)신라스틸판넬.신라기업사</t>
    <phoneticPr fontId="5" type="noConversion"/>
  </si>
  <si>
    <t>고무 메지</t>
    <phoneticPr fontId="5" type="noConversion"/>
  </si>
  <si>
    <t>네이버 지도 클릭 → 부산 신라 기업사. 신라 스틸 판넬</t>
    <phoneticPr fontId="5" type="noConversion"/>
  </si>
  <si>
    <t>S.G.P 판넬 폭</t>
    <phoneticPr fontId="5" type="noConversion"/>
  </si>
  <si>
    <t>※ 참고용으로 사용 바랍니다.</t>
    <phoneticPr fontId="5" type="noConversion"/>
  </si>
  <si>
    <t>※ 산출 내용에 대한 책임은 지지 않습니다.</t>
    <phoneticPr fontId="5" type="noConversion"/>
  </si>
  <si>
    <r>
      <t>m</t>
    </r>
    <r>
      <rPr>
        <vertAlign val="superscript"/>
        <sz val="10"/>
        <color theme="1"/>
        <rFont val="맑은 고딕"/>
        <family val="3"/>
        <charset val="129"/>
        <scheme val="minor"/>
      </rPr>
      <t>2</t>
    </r>
    <phoneticPr fontId="5" type="noConversion"/>
  </si>
  <si>
    <t>S.G.P 판넬 높이</t>
    <phoneticPr fontId="5" type="noConversion"/>
  </si>
  <si>
    <r>
      <t>m</t>
    </r>
    <r>
      <rPr>
        <vertAlign val="superscript"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</si>
  <si>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B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</si>
  <si>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: 중간에 유리를 넣어 내부를 볼 수 있게 함으로써 개방감과 채광을 확보합니다.</t>
    </r>
    <phoneticPr fontId="5" type="noConversion"/>
  </si>
  <si>
    <t>※ 물량 산출 내역은 참고용으로 사용 바랍니다.</t>
    <phoneticPr fontId="5" type="noConversion"/>
  </si>
  <si>
    <t>※ 자재 주문은 도면을 이용하세요.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</si>
  <si>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  <phoneticPr fontId="5" type="noConversion"/>
  </si>
  <si>
    <t>업그레이드(Upgrade) 지원</t>
    <phoneticPr fontId="5" type="noConversion"/>
  </si>
  <si>
    <t>S.G.P 판넬 자료실</t>
    <phoneticPr fontId="5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</si>
  <si>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: →신라 Daum Café </t>
    </r>
    <r>
      <rPr>
        <b/>
        <u/>
        <sz val="11"/>
        <color rgb="FFFF0000"/>
        <rFont val="맑은 고딕"/>
        <family val="3"/>
        <charset val="129"/>
        <scheme val="minor"/>
      </rPr>
      <t>S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7030A0"/>
        <rFont val="맑은 고딕"/>
        <family val="3"/>
        <charset val="129"/>
        <scheme val="minor"/>
      </rPr>
      <t>G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00B050"/>
        <rFont val="맑은 고딕"/>
        <family val="3"/>
        <charset val="129"/>
        <scheme val="minor"/>
      </rPr>
      <t>P</t>
    </r>
    <r>
      <rPr>
        <b/>
        <u/>
        <sz val="11"/>
        <color theme="1"/>
        <rFont val="맑은 고딕"/>
        <family val="3"/>
        <charset val="129"/>
        <scheme val="minor"/>
      </rPr>
      <t xml:space="preserve"> 자료실</t>
    </r>
    <phoneticPr fontId="5" type="noConversion"/>
  </si>
  <si>
    <t>S.G.P 픽스창 높이</t>
    <phoneticPr fontId="5" type="noConversion"/>
  </si>
  <si>
    <t>하부 판+걸레받이 포함</t>
    <phoneticPr fontId="5" type="noConversion"/>
  </si>
  <si>
    <t>S.G.P 창 하부 판넬</t>
    <phoneticPr fontId="5" type="noConversion"/>
  </si>
  <si>
    <t>[ 물량 산출 시 주의사항 ]</t>
    <phoneticPr fontId="5" type="noConversion"/>
  </si>
  <si>
    <t>S.G.P 픽스창</t>
    <phoneticPr fontId="5" type="noConversion"/>
  </si>
  <si>
    <t>픽스창 상부 난바판</t>
    <phoneticPr fontId="5" type="noConversion"/>
  </si>
  <si>
    <t xml:space="preserve"> 본 자료는 정확한 S.G.P 판넬 자재 산출을 돕기 위해 제작된 참고용 데이터입니다.</t>
    <phoneticPr fontId="5" type="noConversion"/>
  </si>
  <si>
    <t xml:space="preserve"> 현장 실측 및 시공 조건에 따라 실제 소요량과 차이가 발생할 수 있으므로, 재검토를 권장합니다. </t>
    <phoneticPr fontId="5" type="noConversion"/>
  </si>
  <si>
    <t>지속적인 업데이트를 통해 정확도를 보완해 나갈 예정입니다.</t>
  </si>
  <si>
    <t>※ 주의 : 현재 버전은 테스트 및 참고용이므로 실제 현장 적용 시 오차가 발생할 수 있습니다.</t>
    <phoneticPr fontId="5" type="noConversion"/>
  </si>
  <si>
    <t>건축용 내∙외장재 | 경량철공 | 열경화성수지 | 큐비클 | 샌드위치 판넬 | 금속흡음 천정재</t>
    <phoneticPr fontId="5" type="noConversion"/>
  </si>
  <si>
    <t>SHILLA Steel Panel &amp; Shilla Enterprise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</si>
  <si>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C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</si>
  <si>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C타입</t>
    </r>
    <r>
      <rPr>
        <sz val="11"/>
        <color theme="1"/>
        <rFont val="맑은 고딕"/>
        <family val="2"/>
        <charset val="129"/>
        <scheme val="minor"/>
      </rPr>
      <t xml:space="preserve"> : 시각적 개방감과 실무적 프라이버시를 동시에 챙긴 형태입니다.</t>
    </r>
    <phoneticPr fontId="5" type="noConversion"/>
  </si>
  <si>
    <t>S.G.P 하부 판넬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</si>
  <si>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D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</si>
  <si>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D타입</t>
    </r>
    <r>
      <rPr>
        <sz val="11"/>
        <color theme="1"/>
        <rFont val="맑은 고딕"/>
        <family val="2"/>
        <charset val="129"/>
        <scheme val="minor"/>
      </rPr>
      <t xml:space="preserve"> : 가장 개방감이 뛰어나며 고사양 인테리어에 주로 사용됩니다.</t>
    </r>
    <phoneticPr fontId="5" type="noConversion"/>
  </si>
  <si>
    <t>S.G.P 판넬 원판</t>
    <phoneticPr fontId="5" type="noConversion"/>
  </si>
  <si>
    <t>S.G.P OPEN 픽스 창</t>
    <phoneticPr fontId="5" type="noConversion"/>
  </si>
  <si>
    <t>S.G.P 판넬 원판 칸수</t>
    <phoneticPr fontId="5" type="noConversion"/>
  </si>
  <si>
    <t>칸</t>
    <phoneticPr fontId="5" type="noConversion"/>
  </si>
  <si>
    <t>D 타입</t>
    <phoneticPr fontId="5" type="noConversion"/>
  </si>
  <si>
    <t>내진 크립바 시스템</t>
    <phoneticPr fontId="5" type="noConversion"/>
  </si>
  <si>
    <t>내진 엠바 시스템</t>
    <phoneticPr fontId="5" type="noConversion"/>
  </si>
  <si>
    <t>내진 + 내풍앞 시스템</t>
    <phoneticPr fontId="5" type="noConversion"/>
  </si>
  <si>
    <t>구분</t>
  </si>
  <si>
    <t>내진 시스템</t>
  </si>
  <si>
    <t>내풍압 시스템</t>
  </si>
  <si>
    <t>주요 위협</t>
  </si>
  <si>
    <t>지진 (좌우 흔들림, 진동)</t>
  </si>
  <si>
    <t>강풍 (기압 차, 위아래 들림)</t>
  </si>
  <si>
    <t>목표</t>
  </si>
  <si>
    <t>천정 구조물의 붕괴 방지</t>
  </si>
  <si>
    <t>천정판의 탈락 및 비산 방지</t>
  </si>
  <si>
    <t>지번 : 부산 동래구 안락동 420-49번지</t>
    <phoneticPr fontId="5" type="noConversion"/>
  </si>
  <si>
    <t>보강 포인트</t>
  </si>
  <si>
    <r>
      <rPr>
        <sz val="10"/>
        <color theme="1"/>
        <rFont val="돋움"/>
        <family val="3"/>
        <charset val="129"/>
      </rPr>
      <t>내진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골조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바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>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구조물의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결속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phoneticPr fontId="5" type="noConversion"/>
  </si>
  <si>
    <r>
      <rPr>
        <sz val="10"/>
        <color theme="1"/>
        <rFont val="돋움"/>
        <family val="3"/>
        <charset val="129"/>
      </rPr>
      <t>골조와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마감판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사이의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고정력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추가
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볼트와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볼트사이</t>
    </r>
    <r>
      <rPr>
        <sz val="10"/>
        <color theme="1"/>
        <rFont val="Arial"/>
        <family val="2"/>
      </rPr>
      <t xml:space="preserve"> MB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마이너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보강</t>
    </r>
    <r>
      <rPr>
        <sz val="10"/>
        <color theme="1"/>
        <rFont val="Arial"/>
        <family val="2"/>
      </rPr>
      <t>)</t>
    </r>
    <phoneticPr fontId="5" type="noConversion"/>
  </si>
  <si>
    <t>설치 위치</t>
  </si>
  <si>
    <t>주로 실내 전체</t>
  </si>
  <si>
    <t>주로 외부와 접한 노출 부위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</si>
  <si>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시스템은</t>
    </r>
    <r>
      <rPr>
        <b/>
        <sz val="11"/>
        <color theme="1"/>
        <rFont val="맑은 고딕"/>
        <family val="3"/>
        <charset val="129"/>
        <scheme val="minor"/>
      </rPr>
      <t xml:space="preserve"> 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 xml:space="preserve">판넬 . 신라기업사 </t>
    </r>
    <r>
      <rPr>
        <b/>
        <sz val="11"/>
        <rFont val="맑은 고딕"/>
        <family val="3"/>
        <charset val="129"/>
        <scheme val="minor"/>
      </rPr>
      <t xml:space="preserve"> 자재 시스템입니다.</t>
    </r>
    <phoneticPr fontId="5" type="noConversion"/>
  </si>
  <si>
    <r>
      <rPr>
        <b/>
        <u/>
        <sz val="11"/>
        <color rgb="FFFF0000"/>
        <rFont val="맑은 고딕"/>
        <family val="2"/>
        <charset val="129"/>
        <scheme val="minor"/>
      </rPr>
      <t>Ho</t>
    </r>
    <r>
      <rPr>
        <b/>
        <u/>
        <sz val="11"/>
        <color theme="10"/>
        <rFont val="맑은 고딕"/>
        <family val="2"/>
        <charset val="129"/>
        <scheme val="minor"/>
      </rPr>
      <t xml:space="preserve">me </t>
    </r>
    <r>
      <rPr>
        <b/>
        <u/>
        <sz val="11"/>
        <color rgb="FFFF0000"/>
        <rFont val="맑은 고딕"/>
        <family val="2"/>
        <charset val="129"/>
        <scheme val="minor"/>
      </rPr>
      <t>P</t>
    </r>
    <r>
      <rPr>
        <b/>
        <u/>
        <sz val="11"/>
        <color theme="10"/>
        <rFont val="맑은 고딕"/>
        <family val="2"/>
        <charset val="129"/>
        <scheme val="minor"/>
      </rPr>
      <t>age</t>
    </r>
    <r>
      <rPr>
        <u/>
        <sz val="11"/>
        <color theme="10"/>
        <rFont val="맑은 고딕"/>
        <family val="2"/>
        <charset val="129"/>
        <scheme val="minor"/>
      </rPr>
      <t xml:space="preserve"> : </t>
    </r>
    <r>
      <rPr>
        <u/>
        <sz val="11"/>
        <color theme="1"/>
        <rFont val="맑은 고딕"/>
        <family val="2"/>
        <charset val="129"/>
        <scheme val="minor"/>
      </rPr>
      <t>http://www.shillasteel.kr/index.php</t>
    </r>
    <phoneticPr fontId="5" type="noConversion"/>
  </si>
  <si>
    <t>구역</t>
    <phoneticPr fontId="5" type="noConversion"/>
  </si>
  <si>
    <t>가로/m</t>
    <phoneticPr fontId="5" type="noConversion"/>
  </si>
  <si>
    <t>세로/m</t>
    <phoneticPr fontId="5" type="noConversion"/>
  </si>
  <si>
    <t>시공 면적을 합해서 적용</t>
    <phoneticPr fontId="5" type="noConversion"/>
  </si>
  <si>
    <t>시공면적</t>
    <phoneticPr fontId="5" type="noConversion"/>
  </si>
  <si>
    <t>몰딩 수량</t>
    <phoneticPr fontId="5" type="noConversion"/>
  </si>
  <si>
    <r>
      <t>m</t>
    </r>
    <r>
      <rPr>
        <vertAlign val="superscript"/>
        <sz val="11"/>
        <color theme="0"/>
        <rFont val="맑은 고딕"/>
        <family val="3"/>
        <charset val="129"/>
        <scheme val="minor"/>
      </rPr>
      <t>2</t>
    </r>
    <phoneticPr fontId="5" type="noConversion"/>
  </si>
  <si>
    <r>
      <t xml:space="preserve">예금 . 적금 이자 계산기 </t>
    </r>
    <r>
      <rPr>
        <sz val="14"/>
        <color theme="1"/>
        <rFont val="맑은 고딕"/>
        <family val="3"/>
        <charset val="129"/>
        <scheme val="minor"/>
      </rPr>
      <t>(년 복리)</t>
    </r>
    <phoneticPr fontId="5" type="noConversion"/>
  </si>
  <si>
    <t>목표 금액을 찾고 싶을때 :</t>
    <phoneticPr fontId="5" type="noConversion"/>
  </si>
  <si>
    <r>
      <t xml:space="preserve">[데이터] 탭 → </t>
    </r>
    <r>
      <rPr>
        <b/>
        <sz val="11"/>
        <rFont val="맑은 고딕"/>
        <family val="3"/>
        <charset val="129"/>
        <scheme val="minor"/>
      </rPr>
      <t>[예측] 그룹</t>
    </r>
    <r>
      <rPr>
        <b/>
        <sz val="11"/>
        <color rgb="FFFF0000"/>
        <rFont val="맑은 고딕"/>
        <family val="3"/>
        <charset val="129"/>
        <scheme val="minor"/>
      </rPr>
      <t xml:space="preserve"> → [가상 분석] → [목표값 찾기] 활용.  찾는 방법 ↓↓</t>
    </r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</si>
  <si>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00B050"/>
        <rFont val="HY목각파임B"/>
        <family val="1"/>
        <charset val="129"/>
      </rPr>
      <t>예금</t>
    </r>
    <phoneticPr fontId="5" type="noConversion"/>
  </si>
  <si>
    <t>원 금</t>
    <phoneticPr fontId="5" type="noConversion"/>
  </si>
  <si>
    <t>이자 과세율</t>
    <phoneticPr fontId="5" type="noConversion"/>
  </si>
  <si>
    <t>일반 과세 15.4%</t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</si>
  <si>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FF0000"/>
        <rFont val="HY목각파임B"/>
        <family val="1"/>
        <charset val="129"/>
      </rPr>
      <t>적</t>
    </r>
    <r>
      <rPr>
        <sz val="20"/>
        <color rgb="FF00B050"/>
        <rFont val="HY목각파임B"/>
        <family val="1"/>
        <charset val="129"/>
      </rPr>
      <t>금</t>
    </r>
    <phoneticPr fontId="5" type="noConversion"/>
  </si>
  <si>
    <t>월 불입액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</si>
  <si>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1.수식 셀</t>
    </r>
    <r>
      <rPr>
        <sz val="11"/>
        <color theme="1"/>
        <rFont val="맑은 고딕"/>
        <family val="3"/>
        <charset val="129"/>
        <scheme val="minor"/>
      </rPr>
      <t>: 목표 년 차 실 수령액이 적힌 셀 클릭하여 입력</t>
    </r>
    <phoneticPr fontId="5" type="noConversion"/>
  </si>
  <si>
    <t>목표 년</t>
    <phoneticPr fontId="5" type="noConversion"/>
  </si>
  <si>
    <t>이 율</t>
    <phoneticPr fontId="5" type="noConversion"/>
  </si>
  <si>
    <t>예치일</t>
    <phoneticPr fontId="5" type="noConversion"/>
  </si>
  <si>
    <t>세금우대 1.4%~9.5%</t>
    <phoneticPr fontId="5" type="noConversion"/>
  </si>
  <si>
    <r>
      <t>2.찾는 값</t>
    </r>
    <r>
      <rPr>
        <sz val="11"/>
        <color theme="1"/>
        <rFont val="맑은 고딕"/>
        <family val="3"/>
        <charset val="129"/>
        <scheme val="minor"/>
      </rPr>
      <t>: 목표 금액, 콤마 없이 숫자만 (예 10000000</t>
    </r>
    <phoneticPr fontId="5" type="noConversion"/>
  </si>
  <si>
    <t>예상 수령액</t>
    <phoneticPr fontId="5" type="noConversion"/>
  </si>
  <si>
    <t>예상 이자</t>
    <phoneticPr fontId="5" type="noConversion"/>
  </si>
  <si>
    <t>비과세 0%</t>
    <phoneticPr fontId="5" type="noConversion"/>
  </si>
  <si>
    <t>년 납입액</t>
    <phoneticPr fontId="5" type="noConversion"/>
  </si>
  <si>
    <t>예상 금액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</si>
  <si>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3.값을 바꿀 셀</t>
    </r>
    <r>
      <rPr>
        <sz val="11"/>
        <color theme="1"/>
        <rFont val="맑은 고딕"/>
        <family val="3"/>
        <charset val="129"/>
        <scheme val="minor"/>
      </rPr>
      <t xml:space="preserve">: </t>
    </r>
    <r>
      <rPr>
        <sz val="11"/>
        <color rgb="FFFF0000"/>
        <rFont val="맑은 고딕"/>
        <family val="3"/>
        <charset val="129"/>
        <scheme val="minor"/>
      </rPr>
      <t>M3</t>
    </r>
    <r>
      <rPr>
        <sz val="11"/>
        <color theme="1"/>
        <rFont val="맑은 고딕"/>
        <family val="3"/>
        <charset val="129"/>
        <scheme val="minor"/>
      </rPr>
      <t xml:space="preserve">  셀 클릭하여 입력 (※ 아래 이미지 참조)</t>
    </r>
    <phoneticPr fontId="5" type="noConversion"/>
  </si>
  <si>
    <t>납입 원금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</si>
  <si>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예금 목표</t>
    </r>
    <r>
      <rPr>
        <sz val="11"/>
        <rFont val="맑은 고딕"/>
        <family val="3"/>
        <charset val="129"/>
        <scheme val="minor"/>
      </rPr>
      <t xml:space="preserve">도 </t>
    </r>
    <r>
      <rPr>
        <b/>
        <sz val="11"/>
        <rFont val="맑은 고딕"/>
        <family val="3"/>
        <charset val="129"/>
        <scheme val="minor"/>
      </rPr>
      <t>목표값 찾기</t>
    </r>
    <r>
      <rPr>
        <b/>
        <sz val="11"/>
        <color rgb="FFFF0000"/>
        <rFont val="맑은 고딕"/>
        <family val="3"/>
        <charset val="129"/>
        <scheme val="minor"/>
      </rPr>
      <t xml:space="preserve"> [데이터]탭</t>
    </r>
    <r>
      <rPr>
        <sz val="11"/>
        <color rgb="FFFF0000"/>
        <rFont val="맑은 고딕"/>
        <family val="2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을 활용하여 찾으시면 정확합니다.</t>
    </r>
    <phoneticPr fontId="5" type="noConversion"/>
  </si>
  <si>
    <r>
      <rPr>
        <b/>
        <sz val="10"/>
        <color rgb="FF1F1F1F"/>
        <rFont val="돋움"/>
        <family val="3"/>
        <charset val="129"/>
      </rPr>
      <t>기간</t>
    </r>
    <r>
      <rPr>
        <b/>
        <sz val="10"/>
        <color rgb="FF1F1F1F"/>
        <rFont val="Arial"/>
        <family val="2"/>
      </rPr>
      <t>(</t>
    </r>
    <r>
      <rPr>
        <b/>
        <sz val="10"/>
        <color rgb="FF1F1F1F"/>
        <rFont val="돋움"/>
        <family val="3"/>
        <charset val="129"/>
      </rPr>
      <t>년</t>
    </r>
    <r>
      <rPr>
        <b/>
        <sz val="10"/>
        <color rgb="FF1F1F1F"/>
        <rFont val="Arial"/>
        <family val="2"/>
      </rPr>
      <t>)</t>
    </r>
    <phoneticPr fontId="5" type="noConversion"/>
  </si>
  <si>
    <r>
      <rPr>
        <b/>
        <sz val="11"/>
        <color rgb="FF1F1F1F"/>
        <rFont val="돋움"/>
        <family val="3"/>
        <charset val="129"/>
      </rPr>
      <t>세전</t>
    </r>
    <r>
      <rPr>
        <b/>
        <sz val="11"/>
        <color rgb="FF1F1F1F"/>
        <rFont val="Arial"/>
        <family val="2"/>
      </rPr>
      <t xml:space="preserve"> </t>
    </r>
    <r>
      <rPr>
        <b/>
        <sz val="11"/>
        <color rgb="FF1F1F1F"/>
        <rFont val="돋움"/>
        <family val="3"/>
        <charset val="129"/>
      </rPr>
      <t>금액</t>
    </r>
    <phoneticPr fontId="5" type="noConversion"/>
  </si>
  <si>
    <t>세전 이자</t>
    <phoneticPr fontId="5" type="noConversion"/>
  </si>
  <si>
    <t>세금</t>
    <phoneticPr fontId="5" type="noConversion"/>
  </si>
  <si>
    <t>세후 이자</t>
    <phoneticPr fontId="5" type="noConversion"/>
  </si>
  <si>
    <t>실 수령액</t>
    <phoneticPr fontId="5" type="noConversion"/>
  </si>
  <si>
    <t>대출 계산기</t>
    <phoneticPr fontId="5" type="noConversion"/>
  </si>
  <si>
    <t>※ 중도 상환 수수료 및 면제 기간은 개별 대출 약관에 따라 다를 수 있으니 
   반드시 확인 후 활용 바랍니다.</t>
    <phoneticPr fontId="5" type="noConversion"/>
  </si>
  <si>
    <t>대출 정보</t>
    <phoneticPr fontId="5" type="noConversion"/>
  </si>
  <si>
    <t>대출 시작일</t>
    <phoneticPr fontId="5" type="noConversion"/>
  </si>
  <si>
    <t>대출 요약</t>
    <phoneticPr fontId="5" type="noConversion"/>
  </si>
  <si>
    <t>대출 금액</t>
  </si>
  <si>
    <t>중도 상환 수수료</t>
    <phoneticPr fontId="5" type="noConversion"/>
  </si>
  <si>
    <t>대출 이자 예상액</t>
    <phoneticPr fontId="5" type="noConversion"/>
  </si>
  <si>
    <t>연 이자율</t>
  </si>
  <si>
    <t>수수료 면제 기간</t>
    <phoneticPr fontId="5" type="noConversion"/>
  </si>
  <si>
    <t>이자 절감 예상액</t>
    <phoneticPr fontId="5" type="noConversion"/>
  </si>
  <si>
    <t>대출 기간</t>
    <phoneticPr fontId="5" type="noConversion"/>
  </si>
  <si>
    <t>중도 상환 합계액</t>
    <phoneticPr fontId="5" type="noConversion"/>
  </si>
  <si>
    <t>예상 상환 합계액</t>
    <phoneticPr fontId="5" type="noConversion"/>
  </si>
  <si>
    <r>
      <t xml:space="preserve">※ 본 계산기는 일반적인 산식에 기초한 참고용입니다. 이자 산정 방식에 따라 </t>
    </r>
    <r>
      <rPr>
        <sz val="11"/>
        <color rgb="FFFF0000"/>
        <rFont val="맑은 고딕"/>
        <family val="3"/>
        <charset val="129"/>
        <scheme val="major"/>
      </rPr>
      <t>이자 절감 예상액 오차</t>
    </r>
    <r>
      <rPr>
        <sz val="11"/>
        <color rgb="FF1F1F1F"/>
        <rFont val="맑은 고딕"/>
        <family val="3"/>
        <charset val="129"/>
        <scheme val="major"/>
      </rPr>
      <t>가 있습니다.</t>
    </r>
    <phoneticPr fontId="5" type="noConversion"/>
  </si>
  <si>
    <t>년-월-일</t>
    <phoneticPr fontId="5" type="noConversion"/>
  </si>
  <si>
    <t>회차</t>
  </si>
  <si>
    <t>월 납입액
원금+이자</t>
    <phoneticPr fontId="5" type="noConversion"/>
  </si>
  <si>
    <t>원금 상환액</t>
  </si>
  <si>
    <t>중도 상환</t>
    <phoneticPr fontId="5" type="noConversion"/>
  </si>
  <si>
    <t>이자 납입액</t>
  </si>
  <si>
    <t>대출 잔액</t>
  </si>
  <si>
    <t>중도상환 수수료</t>
  </si>
  <si>
    <t>※ 계산 결과는 예상치이므로 실제 납입액과 다를 수 있음을 유의 바랍니다.</t>
    <phoneticPr fontId="5" type="noConversion"/>
  </si>
  <si>
    <t>합 계</t>
    <phoneticPr fontId="5" type="noConversion"/>
  </si>
  <si>
    <t>예금 적금 이자 및 대출 상환 계산기 추가</t>
    <phoneticPr fontId="5" type="noConversion"/>
  </si>
  <si>
    <r>
      <t xml:space="preserve">※ 이름 검색시 </t>
    </r>
    <r>
      <rPr>
        <b/>
        <sz val="11"/>
        <color rgb="FFFF0000"/>
        <rFont val="맑은 고딕"/>
        <family val="3"/>
        <charset val="129"/>
        <scheme val="minor"/>
      </rPr>
      <t>장부와 똑같이 띄어쓰기까지</t>
    </r>
    <r>
      <rPr>
        <sz val="11"/>
        <color theme="1"/>
        <rFont val="맑은 고딕"/>
        <family val="2"/>
        <charset val="129"/>
        <scheme val="minor"/>
      </rPr>
      <t xml:space="preserve"> 맞춰주세요</t>
    </r>
    <phoneticPr fontId="5" type="noConversion"/>
  </si>
  <si>
    <t>경조사 기록 관리 대장</t>
    <phoneticPr fontId="5" type="noConversion"/>
  </si>
  <si>
    <t>전체 요약 통계</t>
    <phoneticPr fontId="5" type="noConversion"/>
  </si>
  <si>
    <r>
      <t xml:space="preserve">이름 검색 </t>
    </r>
    <r>
      <rPr>
        <b/>
        <sz val="11"/>
        <color rgb="FFFF0000"/>
        <rFont val="맑은 고딕"/>
        <family val="3"/>
        <charset val="129"/>
        <scheme val="minor"/>
      </rPr>
      <t>▶▶ ▶</t>
    </r>
    <phoneticPr fontId="5" type="noConversion"/>
  </si>
  <si>
    <t>개인별 통계</t>
    <phoneticPr fontId="5" type="noConversion"/>
  </si>
  <si>
    <t>날 짜</t>
    <phoneticPr fontId="5" type="noConversion"/>
  </si>
  <si>
    <t>구 분</t>
    <phoneticPr fontId="5" type="noConversion"/>
  </si>
  <si>
    <t>이 름</t>
    <phoneticPr fontId="5" type="noConversion"/>
  </si>
  <si>
    <t>관 계</t>
    <phoneticPr fontId="5" type="noConversion"/>
  </si>
  <si>
    <t>경조사 내용</t>
    <phoneticPr fontId="5" type="noConversion"/>
  </si>
  <si>
    <t>금 액</t>
    <phoneticPr fontId="5" type="noConversion"/>
  </si>
  <si>
    <t>장소/소속</t>
    <phoneticPr fontId="5" type="noConversion"/>
  </si>
  <si>
    <t>금반지</t>
    <phoneticPr fontId="5" type="noConversion"/>
  </si>
  <si>
    <t>금k/돈3.75g</t>
    <phoneticPr fontId="5" type="noConversion"/>
  </si>
  <si>
    <t>비 고</t>
    <phoneticPr fontId="5" type="noConversion"/>
  </si>
  <si>
    <t>보낸 항목</t>
    <phoneticPr fontId="5" type="noConversion"/>
  </si>
  <si>
    <t>합계 금액</t>
    <phoneticPr fontId="5" type="noConversion"/>
  </si>
  <si>
    <t>비 고</t>
    <phoneticPr fontId="5" type="noConversion"/>
  </si>
  <si>
    <t>보낸 항목</t>
    <phoneticPr fontId="5" type="noConversion"/>
  </si>
  <si>
    <r>
      <rPr>
        <b/>
        <sz val="14"/>
        <color rgb="FF7030A0"/>
        <rFont val="HY헤드라인M"/>
        <family val="1"/>
        <charset val="129"/>
      </rPr>
      <t>GOOLD</t>
    </r>
    <r>
      <rPr>
        <sz val="14"/>
        <color rgb="FF7030A0"/>
        <rFont val="HY헤드라인M"/>
        <family val="1"/>
        <charset val="129"/>
      </rPr>
      <t xml:space="preserve"> 24K</t>
    </r>
    <phoneticPr fontId="5" type="noConversion"/>
  </si>
  <si>
    <t>18K</t>
    <phoneticPr fontId="5" type="noConversion"/>
  </si>
  <si>
    <t>비 고</t>
    <phoneticPr fontId="5" type="noConversion"/>
  </si>
  <si>
    <t>경조사비</t>
    <phoneticPr fontId="5" type="noConversion"/>
  </si>
  <si>
    <t>경조사비</t>
    <phoneticPr fontId="5" type="noConversion"/>
  </si>
  <si>
    <t>1돈</t>
    <phoneticPr fontId="5" type="noConversion"/>
  </si>
  <si>
    <t>금  반  지</t>
    <phoneticPr fontId="5" type="noConversion"/>
  </si>
  <si>
    <t>1돈반</t>
    <phoneticPr fontId="5" type="noConversion"/>
  </si>
  <si>
    <t>금  팔  찌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</si>
  <si>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</si>
  <si>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</si>
  <si>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</si>
  <si>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기       타</t>
    <phoneticPr fontId="5" type="noConversion"/>
  </si>
  <si>
    <t>1g</t>
    <phoneticPr fontId="5" type="noConversion"/>
  </si>
  <si>
    <t>합 계</t>
    <phoneticPr fontId="5" type="noConversion"/>
  </si>
  <si>
    <t>반돈</t>
    <phoneticPr fontId="5" type="noConversion"/>
  </si>
  <si>
    <t>받은 항목</t>
    <phoneticPr fontId="5" type="noConversion"/>
  </si>
  <si>
    <t>합계 금액</t>
    <phoneticPr fontId="5" type="noConversion"/>
  </si>
  <si>
    <t>받은 항목</t>
    <phoneticPr fontId="5" type="noConversion"/>
  </si>
  <si>
    <t>GOOLD 24K</t>
  </si>
  <si>
    <t>18K</t>
    <phoneticPr fontId="5" type="noConversion"/>
  </si>
  <si>
    <t>비 고</t>
    <phoneticPr fontId="5" type="noConversion"/>
  </si>
  <si>
    <t>1돈반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</si>
  <si>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</si>
  <si>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</si>
  <si>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</si>
  <si>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1g</t>
    <phoneticPr fontId="5" type="noConversion"/>
  </si>
  <si>
    <t>※ 이 문서는 경조사 내역을 체계적으로 기록하고 관리하기 위해 제작되었습니다.</t>
    <phoneticPr fontId="5" type="noConversion"/>
  </si>
  <si>
    <t>필터 기능을 활용하여 특정 인물과의 교류 내역을 한눈에 파악 할 수 있습니다.</t>
    <phoneticPr fontId="5" type="noConversion"/>
  </si>
  <si>
    <t>경조사 인사말 관리</t>
    <phoneticPr fontId="5" type="noConversion"/>
  </si>
  <si>
    <t>1. 축하할 때 (결혼, 돌잔치, 개업 등)</t>
  </si>
  <si>
    <r>
      <t xml:space="preserve">결혼: </t>
    </r>
    <r>
      <rPr>
        <sz val="11"/>
        <color rgb="FF000000"/>
        <rFont val="굴림"/>
        <family val="3"/>
        <charset val="129"/>
      </rPr>
      <t>두 사람의 소중한 인연을 진심으로 축하하며, 앞날에 행복만 가득하길 기원합니다.</t>
    </r>
    <phoneticPr fontId="5" type="noConversion"/>
  </si>
  <si>
    <r>
      <t>돌잔치:</t>
    </r>
    <r>
      <rPr>
        <sz val="11"/>
        <color rgb="FF000000"/>
        <rFont val="굴림"/>
        <family val="3"/>
        <charset val="129"/>
      </rPr>
      <t xml:space="preserve"> 첫 번째 생일을 진심으로 축하합니다. 밝고 건강하게 자라기를 응원할게!</t>
    </r>
    <phoneticPr fontId="5" type="noConversion"/>
  </si>
  <si>
    <r>
      <t>개업/승진:</t>
    </r>
    <r>
      <rPr>
        <sz val="11"/>
        <color rgb="FF000000"/>
        <rFont val="굴림"/>
        <family val="3"/>
        <charset val="129"/>
      </rPr>
      <t xml:space="preserve"> 새로운 시작을 진심으로 축하드립니다. 하시는 모든 일이 번창하시길 기원합니다.</t>
    </r>
    <phoneticPr fontId="5" type="noConversion"/>
  </si>
  <si>
    <t>2. 위로할 때 (부고, 조의)</t>
  </si>
  <si>
    <r>
      <t>부고 시:</t>
    </r>
    <r>
      <rPr>
        <sz val="11"/>
        <color rgb="FF000000"/>
        <rFont val="굴림"/>
        <family val="3"/>
        <charset val="129"/>
      </rPr>
      <t xml:space="preserve"> 삼가 고인의 명복을 빕니다. 어떠한 말로도 위로가 되지 않겠지만, 깊은 슬픔을 함께 나눕니다.</t>
    </r>
    <phoneticPr fontId="5" type="noConversion"/>
  </si>
  <si>
    <r>
      <t>직접 못 갈 때:</t>
    </r>
    <r>
      <rPr>
        <sz val="11"/>
        <color rgb="FF000000"/>
        <rFont val="굴림"/>
        <family val="3"/>
        <charset val="129"/>
      </rPr>
      <t xml:space="preserve"> 부득이한 사정으로 직접 찾아뵙지 못해 죄송합니다. 멀리서나마 고인의 명복을 빌며 깊은 애도를 표합니다.</t>
    </r>
    <phoneticPr fontId="5" type="noConversion"/>
  </si>
  <si>
    <t>3. 경조사를 치른 후 (감사 인사)</t>
  </si>
  <si>
    <r>
      <t>결혼 후:</t>
    </r>
    <r>
      <rPr>
        <sz val="11"/>
        <color rgb="FF000000"/>
        <rFont val="굴림"/>
        <family val="3"/>
        <charset val="129"/>
      </rPr>
      <t xml:space="preserve"> 바쁘신 와중에도 저희의 결혼식에 참석해 주셔서 감사합니다. 보내주신 축복 잊지 않고 행복하게 살겠습니다.</t>
    </r>
    <phoneticPr fontId="5" type="noConversion"/>
  </si>
  <si>
    <r>
      <t xml:space="preserve">장례 후: </t>
    </r>
    <r>
      <rPr>
        <sz val="11"/>
        <color rgb="FF000000"/>
        <rFont val="굴림"/>
        <family val="3"/>
        <charset val="129"/>
      </rPr>
      <t>슬픔을 함께 나누어 주셔서 큰 위로가 되었습니다. 덕분에 무사히 장례를 마쳤습니다. 직접 뵙고 인사드리지 못해 죄송합니다.</t>
    </r>
    <phoneticPr fontId="5" type="noConversion"/>
  </si>
  <si>
    <r>
      <t>돌잔치 후:</t>
    </r>
    <r>
      <rPr>
        <sz val="11"/>
        <color rgb="FF000000"/>
        <rFont val="굴림"/>
        <family val="3"/>
        <charset val="129"/>
      </rPr>
      <t>우리 아이의 첫 생일을 축하해 주셔서 감사합니다. 덕분에 따뜻하고 행복한 돌잔치가 되었습니다.</t>
    </r>
    <phoneticPr fontId="5" type="noConversion"/>
  </si>
  <si>
    <t>합  계</t>
    <phoneticPr fontId="5" type="noConversion"/>
  </si>
  <si>
    <t>경조사 관리대장 추가</t>
    <phoneticPr fontId="5" type="noConversion"/>
  </si>
  <si>
    <r>
      <t xml:space="preserve">※ 문서 수정이 필요할 경우 상단 메뉴[검토]→[시트보호]→PW : </t>
    </r>
    <r>
      <rPr>
        <b/>
        <sz val="11"/>
        <color rgb="FFFF0000"/>
        <rFont val="맑은 고딕"/>
        <family val="3"/>
        <charset val="129"/>
        <scheme val="minor"/>
      </rPr>
      <t>3380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</si>
  <si>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 xml:space="preserve">거래처 및 협력사 관리대장 </t>
    <phoneticPr fontId="5" type="noConversion"/>
  </si>
  <si>
    <t>분류</t>
    <phoneticPr fontId="5" type="noConversion"/>
  </si>
  <si>
    <t xml:space="preserve">거래처명 </t>
    <phoneticPr fontId="5" type="noConversion"/>
  </si>
  <si>
    <t>성명</t>
    <phoneticPr fontId="5" type="noConversion"/>
  </si>
  <si>
    <t>휴대폰 번호</t>
    <phoneticPr fontId="5" type="noConversion"/>
  </si>
  <si>
    <t>전화 번호</t>
    <phoneticPr fontId="5" type="noConversion"/>
  </si>
  <si>
    <t>E-mail</t>
    <phoneticPr fontId="5" type="noConversion"/>
  </si>
  <si>
    <t>직함/관계</t>
    <phoneticPr fontId="5" type="noConversion"/>
  </si>
  <si>
    <t>주 소</t>
    <phoneticPr fontId="5" type="noConversion"/>
  </si>
  <si>
    <t>비 고-웹사이트/SNS</t>
    <phoneticPr fontId="5" type="noConversion"/>
  </si>
  <si>
    <t>주요 취급 품목</t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</si>
  <si>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</si>
  <si>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</si>
  <si>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t>실 수령액</t>
    <phoneticPr fontId="5" type="noConversion"/>
  </si>
  <si>
    <t>※ 노란색 셀 필수 입력</t>
    <phoneticPr fontId="5" type="noConversion"/>
  </si>
  <si>
    <t>전화번호부 추가 및 경조사, 대출 예금 함수 일부 수정</t>
    <phoneticPr fontId="5" type="noConversion"/>
  </si>
  <si>
    <t>휴대폰에 다운로드 →</t>
    <phoneticPr fontId="5" type="noConversion"/>
  </si>
  <si>
    <t>타공 수</t>
    <phoneticPr fontId="5" type="noConversion"/>
  </si>
  <si>
    <t>타공 간격/mm</t>
    <phoneticPr fontId="5" type="noConversion"/>
  </si>
  <si>
    <t>스터드 보강재</t>
    <phoneticPr fontId="5" type="noConversion"/>
  </si>
  <si>
    <t>KS 케링</t>
    <phoneticPr fontId="5" type="noConversion"/>
  </si>
  <si>
    <t>KS 마이나</t>
    <phoneticPr fontId="5" type="noConversion"/>
  </si>
  <si>
    <t>KS 케링</t>
    <phoneticPr fontId="5" type="noConversion"/>
  </si>
  <si>
    <t>KS 마이나</t>
    <phoneticPr fontId="5" type="noConversion"/>
  </si>
  <si>
    <t>스터드 보강재</t>
    <phoneticPr fontId="5" type="noConversion"/>
  </si>
  <si>
    <t>타공 간격/mm</t>
    <phoneticPr fontId="5" type="noConversion"/>
  </si>
  <si>
    <t>타공 수</t>
    <phoneticPr fontId="5" type="noConversion"/>
  </si>
  <si>
    <t>※ 스터드 타공은 3~4.5m일때 1개소 타공, 4.5m 이상 2개소</t>
    <phoneticPr fontId="5" type="noConversion"/>
  </si>
  <si>
    <t>* 코너 및 작업 난이도에 따라 여유 자재 추가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</si>
</sst>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#,##0.0_ "/>
    <numFmt numFmtId="180" formatCode="0.0"/>
    <numFmt numFmtId="181" formatCode="0_ "/>
    <numFmt numFmtId="182" formatCode="yyyy&quot;년&quot;\ m&quot;월&quot;\ d&quot;일&quot;;@"/>
    <numFmt numFmtId="183" formatCode="#,##0;#,##0;;@"/>
    <numFmt numFmtId="184" formatCode="#,##0_ ;[Red]\-#,##0\ "/>
    <numFmt numFmtId="185" formatCode="#,##0.00;#,##0.00;;@"/>
    <numFmt numFmtId="186" formatCode="#,##0.0;#,##0.0;;@"/>
    <numFmt numFmtId="187" formatCode="0.000"/>
    <numFmt numFmtId="188" formatCode="yy&quot;-&quot;m&quot;-&quot;d;@"/>
    <numFmt numFmtId="189" formatCode="mm&quot;월&quot;\ dd&quot;일&quot;"/>
    <numFmt numFmtId="190" formatCode="0.0_ "/>
    <numFmt numFmtId="191" formatCode="yy&quot;/&quot;m&quot;/&quot;d;@"/>
    <numFmt numFmtId="192" formatCode="yy&quot;年&quot;\ m&quot;月&quot;\ d&quot;日&quot;;@"/>
    <numFmt numFmtId="193" formatCode="&quot;₩&quot;#,##0"/>
    <numFmt numFmtId="194" formatCode="&quot;₩&quot;#,##0_);\(&quot;₩&quot;#,##0\)"/>
    <numFmt numFmtId="195" formatCode="###\-####\-####"/>
    <numFmt numFmtId="196" formatCode="#,###;\ \-#,###;\ ;\ @"/>
    <numFmt numFmtId="197" formatCode="0.0%"/>
  </numFmts>
  <fonts count="17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vertAlign val="superscript"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1"/>
      <color theme="0"/>
      <name val="새굴림"/>
      <family val="1"/>
      <charset val="129"/>
    </font>
    <font>
      <vertAlign val="superscript"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sz val="10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맑은 고딕"/>
      <family val="3"/>
      <charset val="129"/>
    </font>
    <font>
      <sz val="10"/>
      <color rgb="FFFF0000"/>
      <name val="Arial"/>
      <family val="2"/>
    </font>
    <font>
      <sz val="11"/>
      <color rgb="FF0070C0"/>
      <name val="맑은 고딕"/>
      <family val="2"/>
      <charset val="129"/>
      <scheme val="minor"/>
    </font>
    <font>
      <sz val="10"/>
      <color theme="1"/>
      <name val="Arial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</font>
    <font>
      <sz val="10"/>
      <name val="맑은 고딕"/>
      <family val="3"/>
      <charset val="129"/>
    </font>
    <font>
      <b/>
      <sz val="10"/>
      <color theme="1"/>
      <name val="Malgun Gothic"/>
      <family val="3"/>
      <charset val="129"/>
    </font>
    <font>
      <sz val="10"/>
      <name val="돋움"/>
      <family val="3"/>
      <charset val="129"/>
    </font>
    <font>
      <sz val="10"/>
      <color theme="1"/>
      <name val="Malgun Gothic"/>
      <family val="3"/>
      <charset val="129"/>
    </font>
    <font>
      <sz val="10"/>
      <name val="돋움"/>
      <family val="2"/>
      <charset val="129"/>
    </font>
    <font>
      <sz val="10"/>
      <color theme="0"/>
      <name val="Malgun Gothic"/>
      <family val="3"/>
      <charset val="129"/>
    </font>
    <font>
      <b/>
      <sz val="10"/>
      <color rgb="FFFF0000"/>
      <name val="Arial"/>
      <family val="2"/>
    </font>
    <font>
      <sz val="10"/>
      <color theme="1"/>
      <name val="돋움"/>
      <family val="2"/>
      <charset val="129"/>
    </font>
    <font>
      <u/>
      <sz val="11"/>
      <color rgb="FFFF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"/>
      <scheme val="minor"/>
    </font>
    <font>
      <b/>
      <sz val="14"/>
      <color rgb="FF7030A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name val="새굴림"/>
      <family val="1"/>
      <charset val="129"/>
    </font>
    <font>
      <sz val="9"/>
      <color theme="0"/>
      <name val="새굴림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0"/>
      <name val="새굴림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6"/>
      <color theme="1"/>
      <name val="HY견명조"/>
      <family val="1"/>
      <charset val="129"/>
    </font>
    <font>
      <b/>
      <sz val="11"/>
      <color theme="1"/>
      <name val="Arial"/>
      <family val="2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1"/>
      <color theme="0" tint="-0.249977111117893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theme="4" tint="0.59996337778862885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b/>
      <u/>
      <sz val="11"/>
      <color rgb="FF00B05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1"/>
      <color rgb="FF92D050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u/>
      <sz val="11"/>
      <color rgb="FF00B0F0"/>
      <name val="맑은 고딕"/>
      <family val="3"/>
      <charset val="129"/>
      <scheme val="minor"/>
    </font>
    <font>
      <vertAlign val="superscript"/>
      <sz val="11"/>
      <name val="맑은 고딕"/>
      <family val="3"/>
      <charset val="129"/>
      <scheme val="minor"/>
    </font>
    <font>
      <b/>
      <sz val="11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vertAlign val="superscript"/>
      <sz val="11"/>
      <color theme="0" tint="-0.1499984740745262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2"/>
      <color theme="10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00B050"/>
      <name val="맑은 고딕"/>
      <family val="3"/>
      <charset val="129"/>
      <scheme val="minor"/>
    </font>
    <font>
      <b/>
      <u/>
      <sz val="12"/>
      <color rgb="FF0070C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b/>
      <u/>
      <sz val="11"/>
      <color rgb="FFFF0000"/>
      <name val="맑은 고딕"/>
      <family val="2"/>
      <charset val="129"/>
      <scheme val="minor"/>
    </font>
    <font>
      <b/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  <scheme val="minor"/>
    </font>
    <font>
      <sz val="11"/>
      <color rgb="FFFF0010"/>
      <name val="맑은 고딕"/>
      <family val="3"/>
      <charset val="129"/>
      <scheme val="minor"/>
    </font>
    <font>
      <b/>
      <sz val="11"/>
      <color rgb="FFFF0010"/>
      <name val="맑은 고딕"/>
      <family val="3"/>
      <charset val="129"/>
      <scheme val="minor"/>
    </font>
    <font>
      <b/>
      <sz val="11"/>
      <color rgb="FF0078CB"/>
      <name val="맑은 고딕"/>
      <family val="3"/>
      <charset val="129"/>
      <scheme val="minor"/>
    </font>
    <font>
      <b/>
      <sz val="15"/>
      <color rgb="FF212529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u val="double"/>
      <sz val="1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vertAlign val="superscript"/>
      <sz val="10"/>
      <color theme="1"/>
      <name val="맑은 고딕"/>
      <family val="3"/>
      <charset val="129"/>
      <scheme val="minor"/>
    </font>
    <font>
      <vertAlign val="superscript"/>
      <sz val="10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Malgun Gothic"/>
      <family val="3"/>
      <charset val="129"/>
    </font>
    <font>
      <sz val="11"/>
      <color theme="1"/>
      <name val="휴먼모음T"/>
      <family val="1"/>
      <charset val="129"/>
    </font>
    <font>
      <sz val="11"/>
      <color rgb="FFFF0000"/>
      <name val="휴먼모음T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HY목각파임B"/>
      <family val="1"/>
      <charset val="129"/>
    </font>
    <font>
      <vertAlign val="superscript"/>
      <sz val="11"/>
      <color theme="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sz val="14"/>
      <color theme="1"/>
      <name val="HY견고딕"/>
      <family val="1"/>
      <charset val="129"/>
    </font>
    <font>
      <sz val="16"/>
      <color theme="1"/>
      <name val="HY목각파임B"/>
      <family val="1"/>
      <charset val="129"/>
    </font>
    <font>
      <sz val="16"/>
      <color rgb="FFFF0000"/>
      <name val="HY목각파임B"/>
      <family val="1"/>
      <charset val="129"/>
    </font>
    <font>
      <sz val="16"/>
      <color rgb="FF0070C0"/>
      <name val="HY목각파임B"/>
      <family val="1"/>
      <charset val="129"/>
    </font>
    <font>
      <sz val="20"/>
      <color rgb="FF00B050"/>
      <name val="HY목각파임B"/>
      <family val="1"/>
      <charset val="129"/>
    </font>
    <font>
      <sz val="20"/>
      <color rgb="FFFF0000"/>
      <name val="HY목각파임B"/>
      <family val="1"/>
      <charset val="129"/>
    </font>
    <font>
      <sz val="14"/>
      <color theme="1"/>
      <name val="HY목각파임B"/>
      <family val="1"/>
      <charset val="129"/>
    </font>
    <font>
      <sz val="16"/>
      <color theme="0"/>
      <name val="HY목각파임B"/>
      <family val="1"/>
      <charset val="129"/>
    </font>
    <font>
      <b/>
      <sz val="10"/>
      <color rgb="FF1F1F1F"/>
      <name val="Arial"/>
      <family val="2"/>
    </font>
    <font>
      <b/>
      <sz val="10"/>
      <color rgb="FF1F1F1F"/>
      <name val="돋움"/>
      <family val="3"/>
      <charset val="129"/>
    </font>
    <font>
      <b/>
      <sz val="11"/>
      <color rgb="FF1F1F1F"/>
      <name val="Arial"/>
      <family val="2"/>
    </font>
    <font>
      <b/>
      <sz val="11"/>
      <color rgb="FF1F1F1F"/>
      <name val="돋움"/>
      <family val="3"/>
      <charset val="129"/>
    </font>
    <font>
      <sz val="11"/>
      <color rgb="FF1F1F1F"/>
      <name val="Arial"/>
      <family val="2"/>
    </font>
    <font>
      <sz val="11"/>
      <color theme="1"/>
      <name val="맑은 고딕"/>
      <family val="3"/>
      <charset val="129"/>
      <scheme val="major"/>
    </font>
    <font>
      <sz val="18"/>
      <color theme="1"/>
      <name val="HY목각파임B"/>
      <family val="1"/>
      <charset val="129"/>
    </font>
    <font>
      <b/>
      <sz val="12"/>
      <color theme="1" tint="0.24994659260841701"/>
      <name val="Malgun Gothic"/>
      <family val="3"/>
      <charset val="129"/>
    </font>
    <font>
      <b/>
      <sz val="11"/>
      <color theme="1" tint="0.24994659260841701"/>
      <name val="Malgun Gothic"/>
      <family val="3"/>
      <charset val="129"/>
    </font>
    <font>
      <sz val="11"/>
      <color rgb="FF1F1F1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1F1F1F"/>
      <name val="맑은 고딕"/>
      <family val="3"/>
      <charset val="129"/>
      <scheme val="major"/>
    </font>
    <font>
      <sz val="11"/>
      <color rgb="FF444746"/>
      <name val="맑은 고딕"/>
      <family val="3"/>
      <charset val="129"/>
      <scheme val="major"/>
    </font>
    <font>
      <b/>
      <sz val="11"/>
      <color rgb="FF444746"/>
      <name val="맑은 고딕"/>
      <family val="3"/>
      <charset val="129"/>
      <scheme val="major"/>
    </font>
    <font>
      <sz val="14"/>
      <color rgb="FF7030A0"/>
      <name val="HY헤드라인M"/>
      <family val="1"/>
      <charset val="129"/>
    </font>
    <font>
      <b/>
      <sz val="14"/>
      <color rgb="FF7030A0"/>
      <name val="HY헤드라인M"/>
      <family val="1"/>
      <charset val="129"/>
    </font>
    <font>
      <sz val="11"/>
      <color rgb="FF7030A0"/>
      <name val="HY헤드라인M"/>
      <family val="1"/>
      <charset val="129"/>
    </font>
    <font>
      <b/>
      <sz val="12"/>
      <color rgb="FF00B050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9"/>
      <color indexed="81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4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DashDotDot">
        <color rgb="FFFF0000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DashDotDot">
        <color rgb="FFFF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DashDotDot">
        <color rgb="FFFF0000"/>
      </left>
      <right style="mediumDashDotDot">
        <color rgb="FFFF000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medium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DashDotDot">
        <color rgb="FFFF0000"/>
      </bottom>
      <diagonal/>
    </border>
    <border>
      <left style="medium">
        <color rgb="FFFF0000"/>
      </left>
      <right style="mediumDashDotDot">
        <color rgb="FFFF0000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theme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/>
      <right style="thin">
        <color auto="1"/>
      </right>
      <top style="mediumDashDotDot">
        <color rgb="FFFF0000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rgb="FF00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/>
      <right style="thin">
        <color auto="1"/>
      </right>
      <top style="hair">
        <color auto="1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 style="thin">
        <color indexed="64"/>
      </left>
      <right style="mediumDashDotDot">
        <color rgb="FFFF0000"/>
      </right>
      <top style="thin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FF0000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double">
        <color auto="1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 style="thin">
        <color auto="1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/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double">
        <color theme="8"/>
      </top>
      <bottom/>
      <diagonal/>
    </border>
    <border>
      <left/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thin">
        <color auto="1"/>
      </right>
      <top style="double">
        <color theme="8"/>
      </top>
      <bottom/>
      <diagonal/>
    </border>
    <border>
      <left style="double">
        <color rgb="FFFF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/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double">
        <color theme="8"/>
      </left>
      <right style="thin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 style="thin">
        <color auto="1"/>
      </left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double">
        <color rgb="FFFF0000"/>
      </top>
      <bottom style="double">
        <color rgb="FFFF0000"/>
      </bottom>
      <diagonal/>
    </border>
    <border>
      <left/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thin">
        <color auto="1"/>
      </bottom>
      <diagonal/>
    </border>
    <border>
      <left/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FF0000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 style="hair">
        <color auto="1"/>
      </bottom>
      <diagonal/>
    </border>
    <border>
      <left/>
      <right/>
      <top style="double">
        <color rgb="FFFF0000"/>
      </top>
      <bottom style="hair">
        <color auto="1"/>
      </bottom>
      <diagonal/>
    </border>
    <border>
      <left/>
      <right style="hair">
        <color auto="1"/>
      </right>
      <top style="double">
        <color rgb="FFFF0000"/>
      </top>
      <bottom style="hair">
        <color auto="1"/>
      </bottom>
      <diagonal/>
    </border>
    <border>
      <left style="double">
        <color theme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theme="8"/>
      </right>
      <top/>
      <bottom style="hair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hair">
        <color auto="1"/>
      </bottom>
      <diagonal/>
    </border>
    <border>
      <left style="double">
        <color theme="8"/>
      </left>
      <right/>
      <top style="thin">
        <color auto="1"/>
      </top>
      <bottom style="thin">
        <color auto="1"/>
      </bottom>
      <diagonal/>
    </border>
    <border>
      <left/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rgb="FFFF0000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 style="hair">
        <color auto="1"/>
      </right>
      <top style="hair">
        <color auto="1"/>
      </top>
      <bottom style="double">
        <color rgb="FFFF0000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double">
        <color theme="8"/>
      </bottom>
      <diagonal/>
    </border>
    <border>
      <left/>
      <right/>
      <top style="double">
        <color rgb="FFFF0000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mediumDashDotDot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double">
        <color theme="8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medium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FF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auto="1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/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/>
      <top style="double">
        <color auto="1"/>
      </top>
      <bottom style="double">
        <color rgb="FFFF0000"/>
      </bottom>
      <diagonal/>
    </border>
    <border>
      <left/>
      <right style="double">
        <color rgb="FFFF0000"/>
      </right>
      <top style="double">
        <color auto="1"/>
      </top>
      <bottom style="double">
        <color rgb="FFFF0000"/>
      </bottom>
      <diagonal/>
    </border>
    <border>
      <left style="medium">
        <color rgb="FF0070C0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/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/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/>
      <top/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70C0"/>
      </right>
      <top style="thin">
        <color auto="1"/>
      </top>
      <bottom/>
      <diagonal/>
    </border>
    <border>
      <left style="medium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rgb="FF0070C0"/>
      </top>
      <bottom style="thin">
        <color auto="1"/>
      </bottom>
      <diagonal/>
    </border>
    <border>
      <left/>
      <right style="medium">
        <color rgb="FF0070C0"/>
      </right>
      <top style="double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70C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medium">
        <color rgb="FF0070C0"/>
      </bottom>
      <diagonal/>
    </border>
    <border>
      <left/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double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DashDotDot">
        <color rgb="FFFF0000"/>
      </top>
      <bottom/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double">
        <color theme="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18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7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1" fillId="14" borderId="6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hidden="1"/>
    </xf>
    <xf numFmtId="0" fontId="12" fillId="15" borderId="7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1" fillId="15" borderId="13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hidden="1"/>
    </xf>
    <xf numFmtId="176" fontId="0" fillId="0" borderId="14" xfId="0" applyNumberForma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8" fontId="0" fillId="0" borderId="0" xfId="0" applyNumberFormat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178" fontId="0" fillId="0" borderId="12" xfId="0" applyNumberFormat="1" applyBorder="1" applyAlignment="1" applyProtection="1">
      <alignment horizontal="center" vertical="center"/>
      <protection hidden="1"/>
    </xf>
    <xf numFmtId="9" fontId="11" fillId="14" borderId="4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hidden="1"/>
    </xf>
    <xf numFmtId="176" fontId="23" fillId="10" borderId="16" xfId="10" applyNumberFormat="1" applyFont="1" applyBorder="1" applyAlignment="1" applyProtection="1">
      <alignment horizontal="center" vertical="center"/>
      <protection hidden="1"/>
    </xf>
    <xf numFmtId="0" fontId="1" fillId="10" borderId="3" xfId="10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5" fillId="0" borderId="18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4" fillId="0" borderId="22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distributed"/>
      <protection hidden="1"/>
    </xf>
    <xf numFmtId="0" fontId="23" fillId="4" borderId="4" xfId="4" applyFont="1" applyBorder="1" applyAlignment="1" applyProtection="1">
      <alignment horizontal="left" vertical="center" indent="1"/>
      <protection hidden="1"/>
    </xf>
    <xf numFmtId="0" fontId="12" fillId="15" borderId="13" xfId="4" applyFont="1" applyFill="1" applyBorder="1" applyAlignment="1" applyProtection="1">
      <alignment horizontal="center" vertical="center"/>
      <protection locked="0" hidden="1"/>
    </xf>
    <xf numFmtId="176" fontId="27" fillId="0" borderId="16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176" fontId="24" fillId="0" borderId="24" xfId="0" applyNumberFormat="1" applyFont="1" applyBorder="1" applyAlignment="1" applyProtection="1">
      <alignment horizontal="center" wrapText="1"/>
      <protection hidden="1"/>
    </xf>
    <xf numFmtId="177" fontId="24" fillId="0" borderId="25" xfId="0" applyNumberFormat="1" applyFont="1" applyBorder="1" applyAlignment="1" applyProtection="1">
      <alignment horizontal="right" wrapText="1"/>
      <protection hidden="1"/>
    </xf>
    <xf numFmtId="0" fontId="24" fillId="0" borderId="26" xfId="0" applyFont="1" applyBorder="1" applyAlignment="1" applyProtection="1">
      <alignment horizontal="left" wrapText="1"/>
      <protection hidden="1"/>
    </xf>
    <xf numFmtId="176" fontId="29" fillId="0" borderId="27" xfId="0" applyNumberFormat="1" applyFont="1" applyBorder="1" applyAlignment="1" applyProtection="1">
      <alignment horizontal="center" wrapText="1"/>
      <protection hidden="1"/>
    </xf>
    <xf numFmtId="0" fontId="24" fillId="0" borderId="28" xfId="0" applyFont="1" applyBorder="1" applyAlignment="1" applyProtection="1">
      <alignment horizontal="left" wrapText="1" indent="1"/>
      <protection hidden="1"/>
    </xf>
    <xf numFmtId="176" fontId="0" fillId="0" borderId="0" xfId="0" applyNumberFormat="1" applyProtection="1">
      <alignment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23" fillId="12" borderId="4" xfId="12" applyFont="1" applyBorder="1" applyAlignment="1" applyProtection="1">
      <alignment horizontal="left" vertical="center" indent="1"/>
      <protection hidden="1"/>
    </xf>
    <xf numFmtId="0" fontId="12" fillId="15" borderId="13" xfId="12" applyFont="1" applyFill="1" applyBorder="1" applyAlignment="1" applyProtection="1">
      <alignment horizontal="center" vertical="center"/>
      <protection locked="0" hidden="1"/>
    </xf>
    <xf numFmtId="0" fontId="31" fillId="0" borderId="29" xfId="0" applyFont="1" applyBorder="1" applyAlignment="1" applyProtection="1">
      <alignment horizontal="left" wrapText="1" indent="1"/>
      <protection hidden="1"/>
    </xf>
    <xf numFmtId="176" fontId="32" fillId="0" borderId="30" xfId="0" applyNumberFormat="1" applyFont="1" applyBorder="1" applyAlignment="1" applyProtection="1">
      <alignment horizontal="center" wrapText="1"/>
      <protection hidden="1"/>
    </xf>
    <xf numFmtId="177" fontId="24" fillId="0" borderId="31" xfId="0" applyNumberFormat="1" applyFont="1" applyBorder="1" applyAlignment="1" applyProtection="1">
      <alignment horizontal="right" wrapText="1"/>
      <protection hidden="1"/>
    </xf>
    <xf numFmtId="0" fontId="32" fillId="0" borderId="32" xfId="0" applyFont="1" applyBorder="1" applyAlignment="1" applyProtection="1">
      <alignment horizontal="left" wrapText="1"/>
      <protection hidden="1"/>
    </xf>
    <xf numFmtId="176" fontId="33" fillId="0" borderId="33" xfId="0" applyNumberFormat="1" applyFont="1" applyBorder="1" applyAlignment="1" applyProtection="1">
      <alignment horizontal="left" wrapText="1"/>
      <protection hidden="1"/>
    </xf>
    <xf numFmtId="0" fontId="24" fillId="0" borderId="34" xfId="0" applyFont="1" applyBorder="1" applyAlignment="1" applyProtection="1">
      <alignment horizontal="left" wrapText="1" indent="1"/>
      <protection hidden="1"/>
    </xf>
    <xf numFmtId="176" fontId="3" fillId="0" borderId="0" xfId="0" applyNumberFormat="1" applyFont="1" applyProtection="1">
      <alignment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176" fontId="10" fillId="5" borderId="38" xfId="5" applyNumberFormat="1" applyFont="1" applyBorder="1" applyAlignment="1" applyProtection="1">
      <alignment horizontal="center" vertical="center"/>
      <protection hidden="1"/>
    </xf>
    <xf numFmtId="0" fontId="0" fillId="5" borderId="39" xfId="5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176" fontId="27" fillId="0" borderId="14" xfId="0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32" fillId="16" borderId="29" xfId="0" applyFont="1" applyFill="1" applyBorder="1" applyAlignment="1" applyProtection="1">
      <alignment horizontal="left" wrapText="1" indent="1"/>
      <protection hidden="1"/>
    </xf>
    <xf numFmtId="177" fontId="34" fillId="0" borderId="31" xfId="0" applyNumberFormat="1" applyFont="1" applyBorder="1" applyAlignment="1" applyProtection="1">
      <alignment horizontal="right" wrapText="1"/>
      <protection hidden="1"/>
    </xf>
    <xf numFmtId="0" fontId="34" fillId="0" borderId="34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 applyProtection="1">
      <alignment horizontal="left" vertical="center" inden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left" vertical="center" inden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176" fontId="1" fillId="10" borderId="16" xfId="10" applyNumberFormat="1" applyBorder="1" applyAlignment="1" applyProtection="1">
      <alignment horizontal="center" vertical="center"/>
      <protection hidden="1"/>
    </xf>
    <xf numFmtId="0" fontId="32" fillId="0" borderId="29" xfId="0" applyFont="1" applyBorder="1" applyAlignment="1" applyProtection="1">
      <alignment horizontal="left" wrapText="1" indent="1"/>
      <protection hidden="1"/>
    </xf>
    <xf numFmtId="176" fontId="24" fillId="0" borderId="30" xfId="0" applyNumberFormat="1" applyFont="1" applyBorder="1" applyAlignment="1" applyProtection="1">
      <alignment horizontal="center" wrapText="1"/>
      <protection hidden="1"/>
    </xf>
    <xf numFmtId="0" fontId="24" fillId="0" borderId="34" xfId="0" applyFont="1" applyBorder="1" applyAlignment="1" applyProtection="1">
      <alignment horizontal="left" vertical="center" indent="1"/>
      <protection hidden="1"/>
    </xf>
    <xf numFmtId="0" fontId="0" fillId="0" borderId="29" xfId="0" applyBorder="1" applyAlignment="1" applyProtection="1">
      <alignment horizontal="left" vertical="center" inden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locked="0" hidden="1"/>
    </xf>
    <xf numFmtId="0" fontId="0" fillId="16" borderId="31" xfId="0" applyFill="1" applyBorder="1" applyAlignment="1" applyProtection="1">
      <alignment horizontal="left" vertical="center" indent="1"/>
      <protection hidden="1"/>
    </xf>
    <xf numFmtId="0" fontId="0" fillId="14" borderId="34" xfId="0" applyFill="1" applyBorder="1" applyAlignment="1" applyProtection="1">
      <alignment horizontal="center" vertical="center"/>
      <protection locked="0" hidden="1"/>
    </xf>
    <xf numFmtId="0" fontId="36" fillId="0" borderId="34" xfId="0" applyFont="1" applyBorder="1" applyAlignment="1" applyProtection="1">
      <alignment horizontal="left" vertical="center" indent="1"/>
      <protection hidden="1"/>
    </xf>
    <xf numFmtId="0" fontId="37" fillId="0" borderId="30" xfId="0" applyFont="1" applyBorder="1" applyAlignment="1" applyProtection="1">
      <alignment horizontal="left" vertical="center" indent="1"/>
      <protection hidden="1"/>
    </xf>
    <xf numFmtId="179" fontId="12" fillId="14" borderId="34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29" xfId="0" applyFont="1" applyBorder="1" applyAlignment="1" applyProtection="1">
      <alignment horizontal="left" wrapText="1" indent="1"/>
      <protection hidden="1"/>
    </xf>
    <xf numFmtId="176" fontId="29" fillId="0" borderId="33" xfId="0" applyNumberFormat="1" applyFont="1" applyBorder="1" applyAlignment="1" applyProtection="1">
      <alignment horizontal="left" wrapText="1"/>
      <protection hidden="1"/>
    </xf>
    <xf numFmtId="0" fontId="38" fillId="0" borderId="34" xfId="0" applyFont="1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176" fontId="10" fillId="5" borderId="42" xfId="5" applyNumberFormat="1" applyFont="1" applyBorder="1" applyAlignment="1" applyProtection="1">
      <alignment horizontal="center" vertical="center"/>
      <protection hidden="1"/>
    </xf>
    <xf numFmtId="0" fontId="1" fillId="5" borderId="45" xfId="5" applyBorder="1" applyAlignment="1" applyProtection="1">
      <alignment horizontal="center" vertical="center"/>
      <protection hidden="1"/>
    </xf>
    <xf numFmtId="176" fontId="3" fillId="14" borderId="30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34" xfId="0" applyFont="1" applyFill="1" applyBorder="1" applyAlignment="1" applyProtection="1">
      <alignment horizontal="center" vertical="center"/>
      <protection locked="0" hidden="1"/>
    </xf>
    <xf numFmtId="0" fontId="26" fillId="0" borderId="29" xfId="0" applyFont="1" applyBorder="1" applyAlignment="1" applyProtection="1">
      <alignment horizontal="left" wrapText="1" indent="1"/>
      <protection hidden="1"/>
    </xf>
    <xf numFmtId="0" fontId="0" fillId="14" borderId="29" xfId="0" applyFill="1" applyBorder="1" applyAlignment="1" applyProtection="1">
      <alignment horizontal="left" vertical="center" indent="1"/>
      <protection locked="0" hidden="1"/>
    </xf>
    <xf numFmtId="176" fontId="0" fillId="0" borderId="31" xfId="0" applyNumberFormat="1" applyBorder="1" applyAlignment="1" applyProtection="1">
      <alignment horizontal="center" vertical="center"/>
      <protection locked="0" hidden="1"/>
    </xf>
    <xf numFmtId="0" fontId="37" fillId="17" borderId="31" xfId="0" applyFont="1" applyFill="1" applyBorder="1" applyAlignment="1" applyProtection="1">
      <alignment horizontal="left" vertical="center" indent="1"/>
      <protection hidden="1"/>
    </xf>
    <xf numFmtId="0" fontId="38" fillId="0" borderId="34" xfId="0" applyFont="1" applyBorder="1" applyAlignment="1" applyProtection="1">
      <alignment horizontal="left" wrapText="1" indent="1"/>
      <protection hidden="1"/>
    </xf>
    <xf numFmtId="0" fontId="32" fillId="17" borderId="29" xfId="0" applyFont="1" applyFill="1" applyBorder="1" applyAlignment="1" applyProtection="1">
      <alignment horizontal="left" wrapText="1" indent="1"/>
      <protection hidden="1"/>
    </xf>
    <xf numFmtId="176" fontId="34" fillId="0" borderId="30" xfId="0" applyNumberFormat="1" applyFont="1" applyBorder="1" applyAlignment="1" applyProtection="1">
      <alignment horizontal="center" wrapText="1"/>
      <protection hidden="1"/>
    </xf>
    <xf numFmtId="177" fontId="32" fillId="0" borderId="31" xfId="0" applyNumberFormat="1" applyFont="1" applyBorder="1" applyAlignment="1" applyProtection="1">
      <alignment horizontal="right" wrapText="1"/>
      <protection hidden="1"/>
    </xf>
    <xf numFmtId="0" fontId="0" fillId="0" borderId="0" xfId="0" applyFill="1" applyBorder="1">
      <alignment vertical="center"/>
    </xf>
    <xf numFmtId="176" fontId="4" fillId="0" borderId="47" xfId="0" applyNumberFormat="1" applyFont="1" applyBorder="1" applyAlignment="1" applyProtection="1">
      <alignment horizontal="center" vertical="center" shrinkToFit="1"/>
      <protection hidden="1"/>
    </xf>
    <xf numFmtId="0" fontId="24" fillId="0" borderId="50" xfId="0" applyFont="1" applyBorder="1" applyAlignment="1" applyProtection="1">
      <alignment horizontal="left" wrapText="1" indent="1"/>
      <protection hidden="1"/>
    </xf>
    <xf numFmtId="176" fontId="24" fillId="0" borderId="47" xfId="0" applyNumberFormat="1" applyFont="1" applyBorder="1" applyAlignment="1" applyProtection="1">
      <alignment horizontal="center" wrapText="1"/>
      <protection hidden="1"/>
    </xf>
    <xf numFmtId="177" fontId="24" fillId="0" borderId="48" xfId="0" applyNumberFormat="1" applyFont="1" applyBorder="1" applyAlignment="1" applyProtection="1">
      <alignment horizontal="right" wrapText="1"/>
      <protection hidden="1"/>
    </xf>
    <xf numFmtId="176" fontId="29" fillId="0" borderId="51" xfId="0" applyNumberFormat="1" applyFont="1" applyBorder="1" applyAlignment="1" applyProtection="1">
      <alignment horizontal="left" wrapText="1"/>
      <protection hidden="1"/>
    </xf>
    <xf numFmtId="0" fontId="24" fillId="0" borderId="52" xfId="0" applyFont="1" applyBorder="1" applyAlignment="1" applyProtection="1">
      <alignment horizontal="left" wrapText="1" indent="1"/>
      <protection hidden="1"/>
    </xf>
    <xf numFmtId="0" fontId="0" fillId="0" borderId="53" xfId="0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17" borderId="55" xfId="0" applyNumberFormat="1" applyFill="1" applyBorder="1" applyAlignment="1" applyProtection="1">
      <alignment horizontal="center" vertical="center"/>
      <protection hidden="1"/>
    </xf>
    <xf numFmtId="0" fontId="0" fillId="17" borderId="55" xfId="0" applyFill="1" applyBorder="1" applyAlignment="1" applyProtection="1">
      <alignment horizontal="center" vertical="center"/>
      <protection hidden="1"/>
    </xf>
    <xf numFmtId="0" fontId="40" fillId="17" borderId="55" xfId="4" applyFont="1" applyFill="1" applyBorder="1" applyAlignment="1" applyProtection="1">
      <alignment horizontal="center" vertical="center"/>
      <protection hidden="1"/>
    </xf>
    <xf numFmtId="177" fontId="0" fillId="14" borderId="58" xfId="0" applyNumberFormat="1" applyFill="1" applyBorder="1" applyAlignment="1" applyProtection="1">
      <alignment horizontal="center" vertical="center"/>
      <protection hidden="1"/>
    </xf>
    <xf numFmtId="0" fontId="41" fillId="16" borderId="29" xfId="0" applyFont="1" applyFill="1" applyBorder="1" applyAlignment="1" applyProtection="1">
      <alignment horizontal="left" wrapText="1" indent="1"/>
      <protection hidden="1"/>
    </xf>
    <xf numFmtId="0" fontId="0" fillId="0" borderId="0" xfId="0" applyFill="1" applyBorder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176" fontId="0" fillId="14" borderId="24" xfId="0" applyNumberFormat="1" applyFill="1" applyBorder="1" applyAlignment="1" applyProtection="1">
      <alignment horizontal="center" vertical="center"/>
      <protection locked="0" hidden="1"/>
    </xf>
    <xf numFmtId="176" fontId="0" fillId="14" borderId="59" xfId="0" applyNumberFormat="1" applyFill="1" applyBorder="1" applyAlignment="1" applyProtection="1">
      <alignment horizontal="center" vertical="center"/>
      <protection locked="0" hidden="1"/>
    </xf>
    <xf numFmtId="0" fontId="2" fillId="0" borderId="0" xfId="2" applyFill="1" applyAlignment="1" applyProtection="1">
      <alignment horizontal="center" vertical="center"/>
      <protection hidden="1"/>
    </xf>
    <xf numFmtId="0" fontId="0" fillId="19" borderId="55" xfId="0" applyFill="1" applyBorder="1" applyAlignment="1" applyProtection="1">
      <alignment horizontal="center" vertical="center"/>
      <protection hidden="1"/>
    </xf>
    <xf numFmtId="0" fontId="23" fillId="19" borderId="55" xfId="0" applyFont="1" applyFill="1" applyBorder="1" applyAlignment="1" applyProtection="1">
      <alignment horizontal="center" vertical="center"/>
      <protection hidden="1"/>
    </xf>
    <xf numFmtId="0" fontId="0" fillId="0" borderId="55" xfId="4" applyFont="1" applyFill="1" applyBorder="1" applyAlignment="1" applyProtection="1">
      <alignment horizontal="center" vertical="center"/>
      <protection hidden="1"/>
    </xf>
    <xf numFmtId="180" fontId="11" fillId="0" borderId="61" xfId="0" applyNumberFormat="1" applyFont="1" applyBorder="1" applyAlignment="1" applyProtection="1">
      <alignment horizontal="center" vertical="center"/>
      <protection hidden="1"/>
    </xf>
    <xf numFmtId="0" fontId="34" fillId="18" borderId="29" xfId="0" applyFont="1" applyFill="1" applyBorder="1" applyAlignment="1" applyProtection="1">
      <alignment horizontal="left" wrapText="1" indent="1"/>
      <protection hidden="1"/>
    </xf>
    <xf numFmtId="17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14" borderId="30" xfId="0" applyFill="1" applyBorder="1" applyAlignment="1" applyProtection="1">
      <alignment horizontal="center" vertical="center"/>
      <protection locked="0" hidden="1"/>
    </xf>
    <xf numFmtId="0" fontId="0" fillId="14" borderId="46" xfId="0" applyFill="1" applyBorder="1" applyAlignment="1" applyProtection="1">
      <alignment horizontal="center" vertical="center"/>
      <protection locked="0" hidden="1"/>
    </xf>
    <xf numFmtId="0" fontId="42" fillId="0" borderId="62" xfId="3" applyFont="1" applyFill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23" fillId="0" borderId="55" xfId="0" applyFont="1" applyBorder="1" applyAlignment="1" applyProtection="1">
      <alignment horizontal="center" vertical="center"/>
      <protection hidden="1"/>
    </xf>
    <xf numFmtId="179" fontId="0" fillId="0" borderId="61" xfId="0" applyNumberFormat="1" applyBorder="1" applyAlignment="1" applyProtection="1">
      <alignment horizontal="center" vertical="center"/>
      <protection hidden="1"/>
    </xf>
    <xf numFmtId="0" fontId="32" fillId="0" borderId="63" xfId="0" applyFont="1" applyBorder="1" applyAlignment="1" applyProtection="1">
      <alignment horizontal="left" wrapText="1"/>
      <protection hidden="1"/>
    </xf>
    <xf numFmtId="176" fontId="29" fillId="0" borderId="51" xfId="0" applyNumberFormat="1" applyFont="1" applyBorder="1" applyAlignment="1" applyProtection="1">
      <alignment horizontal="center" wrapText="1"/>
      <protection hidden="1"/>
    </xf>
    <xf numFmtId="0" fontId="1" fillId="0" borderId="0" xfId="4" applyFill="1" applyBorder="1" applyProtection="1">
      <alignment vertical="center"/>
      <protection hidden="1"/>
    </xf>
    <xf numFmtId="0" fontId="0" fillId="0" borderId="0" xfId="4" applyFont="1" applyFill="1" applyBorder="1" applyAlignment="1" applyProtection="1">
      <alignment horizontal="center" vertical="center"/>
      <protection hidden="1"/>
    </xf>
    <xf numFmtId="0" fontId="42" fillId="0" borderId="0" xfId="3" applyFont="1" applyFill="1" applyBorder="1" applyAlignment="1" applyProtection="1">
      <alignment horizontal="center" vertical="center"/>
      <protection hidden="1"/>
    </xf>
    <xf numFmtId="0" fontId="0" fillId="20" borderId="55" xfId="0" applyFill="1" applyBorder="1" applyAlignment="1" applyProtection="1">
      <alignment horizontal="center" vertical="center"/>
      <protection hidden="1"/>
    </xf>
    <xf numFmtId="0" fontId="23" fillId="20" borderId="55" xfId="0" applyFont="1" applyFill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left" wrapText="1" indent="1"/>
      <protection hidden="1"/>
    </xf>
    <xf numFmtId="0" fontId="34" fillId="0" borderId="32" xfId="0" applyFont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left" vertical="center" indent="1"/>
      <protection hidden="1"/>
    </xf>
    <xf numFmtId="179" fontId="0" fillId="0" borderId="47" xfId="0" applyNumberFormat="1" applyBorder="1" applyAlignment="1" applyProtection="1">
      <alignment horizontal="center" vertical="center"/>
      <protection hidden="1"/>
    </xf>
    <xf numFmtId="179" fontId="0" fillId="0" borderId="49" xfId="0" applyNumberFormat="1" applyBorder="1" applyAlignment="1" applyProtection="1">
      <alignment horizontal="center" vertical="center"/>
      <protection hidden="1"/>
    </xf>
    <xf numFmtId="0" fontId="0" fillId="21" borderId="55" xfId="0" applyFill="1" applyBorder="1" applyAlignment="1" applyProtection="1">
      <alignment horizontal="center" vertical="center"/>
      <protection hidden="1"/>
    </xf>
    <xf numFmtId="0" fontId="23" fillId="21" borderId="5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0" xfId="0" applyNumberFormat="1" applyFont="1" applyBorder="1" applyAlignment="1" applyProtection="1">
      <alignment horizontal="left" wrapText="1" indent="1"/>
      <protection hidden="1"/>
    </xf>
    <xf numFmtId="176" fontId="34" fillId="0" borderId="47" xfId="0" applyNumberFormat="1" applyFont="1" applyBorder="1" applyAlignment="1" applyProtection="1">
      <alignment horizontal="center" wrapText="1"/>
      <protection hidden="1"/>
    </xf>
    <xf numFmtId="177" fontId="34" fillId="0" borderId="48" xfId="0" applyNumberFormat="1" applyFont="1" applyBorder="1" applyAlignment="1" applyProtection="1">
      <alignment horizontal="right" wrapText="1"/>
      <protection hidden="1"/>
    </xf>
    <xf numFmtId="0" fontId="34" fillId="0" borderId="52" xfId="0" applyFont="1" applyBorder="1" applyAlignment="1" applyProtection="1">
      <alignment horizontal="left" wrapText="1" indent="1"/>
      <protection hidden="1"/>
    </xf>
    <xf numFmtId="0" fontId="0" fillId="0" borderId="68" xfId="0" applyBorder="1" applyAlignment="1" applyProtection="1">
      <alignment horizontal="left" vertical="center" indent="1"/>
      <protection hidden="1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left" vertical="center" indent="1"/>
      <protection hidden="1"/>
    </xf>
    <xf numFmtId="179" fontId="0" fillId="0" borderId="69" xfId="0" applyNumberFormat="1" applyBorder="1" applyAlignment="1" applyProtection="1">
      <alignment horizontal="center" vertical="center"/>
      <protection hidden="1"/>
    </xf>
    <xf numFmtId="0" fontId="0" fillId="22" borderId="55" xfId="0" applyFill="1" applyBorder="1" applyAlignment="1" applyProtection="1">
      <alignment horizontal="center" vertical="center"/>
      <protection hidden="1"/>
    </xf>
    <xf numFmtId="0" fontId="23" fillId="22" borderId="55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34" fillId="0" borderId="50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>
      <alignment horizontal="left" vertical="center" indent="1"/>
    </xf>
    <xf numFmtId="9" fontId="11" fillId="14" borderId="24" xfId="0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18" borderId="55" xfId="0" applyFill="1" applyBorder="1" applyAlignment="1" applyProtection="1">
      <alignment horizontal="center" vertical="center"/>
      <protection hidden="1"/>
    </xf>
    <xf numFmtId="0" fontId="23" fillId="18" borderId="55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/>
      <protection locked="0" hidden="1"/>
    </xf>
    <xf numFmtId="0" fontId="0" fillId="0" borderId="71" xfId="0" applyBorder="1" applyAlignment="1" applyProtection="1">
      <alignment horizontal="left" vertical="center" indent="1"/>
      <protection hidden="1"/>
    </xf>
    <xf numFmtId="176" fontId="0" fillId="0" borderId="72" xfId="0" applyNumberFormat="1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left" vertical="center" indent="1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left" wrapText="1" indent="1"/>
      <protection hidden="1"/>
    </xf>
    <xf numFmtId="176" fontId="24" fillId="0" borderId="72" xfId="0" applyNumberFormat="1" applyFont="1" applyBorder="1" applyAlignment="1" applyProtection="1">
      <alignment horizontal="center" wrapText="1"/>
      <protection hidden="1"/>
    </xf>
    <xf numFmtId="177" fontId="24" fillId="0" borderId="73" xfId="0" applyNumberFormat="1" applyFont="1" applyBorder="1" applyAlignment="1" applyProtection="1">
      <alignment horizontal="right" wrapText="1"/>
      <protection hidden="1"/>
    </xf>
    <xf numFmtId="0" fontId="24" fillId="0" borderId="75" xfId="0" applyFont="1" applyBorder="1" applyAlignment="1" applyProtection="1">
      <alignment horizontal="left" wrapText="1"/>
      <protection hidden="1"/>
    </xf>
    <xf numFmtId="176" fontId="29" fillId="0" borderId="76" xfId="0" applyNumberFormat="1" applyFont="1" applyBorder="1" applyAlignment="1" applyProtection="1">
      <alignment horizontal="center" wrapText="1"/>
      <protection hidden="1"/>
    </xf>
    <xf numFmtId="0" fontId="24" fillId="0" borderId="77" xfId="0" applyFont="1" applyBorder="1" applyAlignment="1" applyProtection="1">
      <alignment horizontal="left" wrapText="1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0" fillId="0" borderId="79" xfId="0" applyFont="1" applyBorder="1" applyProtection="1">
      <alignment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11" fillId="14" borderId="81" xfId="0" applyFont="1" applyFill="1" applyBorder="1" applyAlignment="1" applyProtection="1">
      <alignment horizontal="center" vertical="center"/>
      <protection locked="0" hidden="1"/>
    </xf>
    <xf numFmtId="181" fontId="0" fillId="15" borderId="4" xfId="0" applyNumberFormat="1" applyFill="1" applyBorder="1" applyAlignment="1" applyProtection="1">
      <alignment horizontal="center" vertical="center"/>
      <protection locked="0" hidden="1"/>
    </xf>
    <xf numFmtId="0" fontId="10" fillId="0" borderId="15" xfId="0" applyFont="1" applyBorder="1" applyProtection="1">
      <alignment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11" fillId="15" borderId="83" xfId="0" applyFont="1" applyFill="1" applyBorder="1" applyAlignment="1" applyProtection="1">
      <alignment horizontal="center" vertical="center"/>
      <protection locked="0" hidden="1"/>
    </xf>
    <xf numFmtId="0" fontId="0" fillId="23" borderId="8" xfId="0" applyFill="1" applyBorder="1" applyProtection="1">
      <alignment vertical="center"/>
      <protection hidden="1"/>
    </xf>
    <xf numFmtId="176" fontId="27" fillId="0" borderId="0" xfId="0" applyNumberFormat="1" applyFont="1" applyProtection="1">
      <alignment vertical="center"/>
      <protection hidden="1"/>
    </xf>
    <xf numFmtId="178" fontId="0" fillId="0" borderId="84" xfId="0" applyNumberFormat="1" applyBorder="1" applyAlignment="1" applyProtection="1">
      <alignment horizontal="center" vertical="center"/>
      <protection hidden="1"/>
    </xf>
    <xf numFmtId="9" fontId="11" fillId="14" borderId="85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86" xfId="0" applyFont="1" applyFill="1" applyBorder="1" applyAlignment="1" applyProtection="1">
      <alignment horizontal="center" vertical="center"/>
      <protection locked="0" hidden="1"/>
    </xf>
    <xf numFmtId="176" fontId="0" fillId="23" borderId="87" xfId="0" applyNumberFormat="1" applyFill="1" applyBorder="1" applyAlignment="1" applyProtection="1">
      <alignment horizontal="center" vertical="center"/>
      <protection hidden="1"/>
    </xf>
    <xf numFmtId="41" fontId="19" fillId="0" borderId="88" xfId="1" applyFont="1" applyBorder="1" applyAlignment="1" applyProtection="1">
      <alignment horizontal="left" vertical="center" shrinkToFit="1"/>
      <protection hidden="1"/>
    </xf>
    <xf numFmtId="0" fontId="19" fillId="0" borderId="89" xfId="0" applyFont="1" applyBorder="1" applyAlignment="1" applyProtection="1">
      <alignment horizontal="left" vertical="center" indent="1"/>
      <protection hidden="1"/>
    </xf>
    <xf numFmtId="0" fontId="31" fillId="0" borderId="23" xfId="0" applyFont="1" applyBorder="1" applyAlignment="1" applyProtection="1">
      <alignment horizontal="left" wrapText="1" indent="1"/>
      <protection hidden="1"/>
    </xf>
    <xf numFmtId="176" fontId="32" fillId="0" borderId="24" xfId="0" applyNumberFormat="1" applyFont="1" applyBorder="1" applyAlignment="1" applyProtection="1">
      <alignment horizontal="center" wrapText="1"/>
      <protection hidden="1"/>
    </xf>
    <xf numFmtId="177" fontId="32" fillId="0" borderId="25" xfId="0" applyNumberFormat="1" applyFont="1" applyBorder="1" applyAlignment="1" applyProtection="1">
      <alignment horizontal="right" wrapText="1"/>
      <protection hidden="1"/>
    </xf>
    <xf numFmtId="0" fontId="44" fillId="0" borderId="26" xfId="0" applyFont="1" applyBorder="1" applyAlignment="1" applyProtection="1">
      <alignment horizontal="left" wrapText="1"/>
      <protection hidden="1"/>
    </xf>
    <xf numFmtId="176" fontId="25" fillId="0" borderId="27" xfId="0" applyNumberFormat="1" applyFont="1" applyBorder="1" applyAlignment="1" applyProtection="1">
      <alignment horizontal="left" wrapText="1"/>
      <protection hidden="1"/>
    </xf>
    <xf numFmtId="0" fontId="0" fillId="0" borderId="84" xfId="0" applyBorder="1" applyAlignment="1" applyProtection="1">
      <alignment horizontal="center" vertical="distributed"/>
      <protection hidden="1"/>
    </xf>
    <xf numFmtId="0" fontId="0" fillId="0" borderId="85" xfId="0" applyBorder="1" applyAlignment="1" applyProtection="1">
      <alignment horizontal="center" vertical="distributed"/>
      <protection hidden="1"/>
    </xf>
    <xf numFmtId="0" fontId="45" fillId="24" borderId="91" xfId="0" applyFont="1" applyFill="1" applyBorder="1" applyAlignment="1">
      <alignment horizontal="center" vertical="center" wrapText="1"/>
    </xf>
    <xf numFmtId="0" fontId="45" fillId="15" borderId="92" xfId="0" applyFont="1" applyFill="1" applyBorder="1" applyAlignment="1" applyProtection="1">
      <alignment horizontal="center" vertical="center" wrapText="1"/>
      <protection locked="0"/>
    </xf>
    <xf numFmtId="176" fontId="27" fillId="23" borderId="16" xfId="0" applyNumberFormat="1" applyFont="1" applyFill="1" applyBorder="1" applyAlignment="1" applyProtection="1">
      <alignment horizontal="center" vertical="center"/>
      <protection hidden="1"/>
    </xf>
    <xf numFmtId="41" fontId="19" fillId="0" borderId="3" xfId="1" applyFont="1" applyBorder="1" applyAlignment="1" applyProtection="1">
      <alignment horizontal="left" vertical="center" shrinkToFit="1"/>
      <protection hidden="1"/>
    </xf>
    <xf numFmtId="0" fontId="19" fillId="0" borderId="4" xfId="0" applyFont="1" applyBorder="1" applyAlignment="1" applyProtection="1">
      <alignment horizontal="left" vertical="center" indent="1"/>
      <protection hidden="1"/>
    </xf>
    <xf numFmtId="176" fontId="25" fillId="0" borderId="33" xfId="0" applyNumberFormat="1" applyFont="1" applyBorder="1" applyAlignment="1" applyProtection="1">
      <alignment horizontal="left" wrapText="1"/>
      <protection hidden="1"/>
    </xf>
    <xf numFmtId="0" fontId="12" fillId="0" borderId="94" xfId="0" applyFont="1" applyBorder="1" applyAlignment="1" applyProtection="1">
      <alignment horizontal="left" vertical="center" indent="1"/>
      <protection hidden="1"/>
    </xf>
    <xf numFmtId="0" fontId="10" fillId="0" borderId="95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27" fillId="0" borderId="35" xfId="0" applyFont="1" applyBorder="1" applyAlignment="1" applyProtection="1">
      <alignment horizontal="left" vertical="center" indent="1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6" fillId="0" borderId="97" xfId="0" applyFont="1" applyBorder="1" applyAlignment="1" applyProtection="1">
      <alignment horizontal="center" vertical="center"/>
      <protection hidden="1"/>
    </xf>
    <xf numFmtId="0" fontId="31" fillId="16" borderId="29" xfId="0" applyFont="1" applyFill="1" applyBorder="1" applyAlignment="1" applyProtection="1">
      <alignment horizontal="left" wrapText="1" indent="1"/>
      <protection hidden="1"/>
    </xf>
    <xf numFmtId="41" fontId="0" fillId="6" borderId="3" xfId="6" applyNumberFormat="1" applyFont="1" applyBorder="1" applyAlignment="1" applyProtection="1">
      <alignment horizontal="left" vertical="center" shrinkToFit="1"/>
      <protection hidden="1"/>
    </xf>
    <xf numFmtId="0" fontId="0" fillId="6" borderId="4" xfId="6" applyFont="1" applyBorder="1" applyAlignment="1" applyProtection="1">
      <alignment horizontal="left" vertical="center" indent="1"/>
      <protection hidden="1"/>
    </xf>
    <xf numFmtId="0" fontId="31" fillId="26" borderId="29" xfId="0" applyFont="1" applyFill="1" applyBorder="1" applyAlignment="1" applyProtection="1">
      <alignment horizontal="left" wrapText="1" indent="1"/>
      <protection hidden="1"/>
    </xf>
    <xf numFmtId="0" fontId="35" fillId="0" borderId="46" xfId="0" applyFont="1" applyBorder="1" applyAlignment="1" applyProtection="1">
      <alignment horizontal="center" vertical="center"/>
      <protection hidden="1"/>
    </xf>
    <xf numFmtId="176" fontId="4" fillId="25" borderId="16" xfId="0" applyNumberFormat="1" applyFont="1" applyFill="1" applyBorder="1" applyAlignment="1" applyProtection="1">
      <alignment horizontal="center" vertical="center"/>
      <protection hidden="1"/>
    </xf>
    <xf numFmtId="41" fontId="4" fillId="25" borderId="3" xfId="6" applyNumberFormat="1" applyFont="1" applyFill="1" applyBorder="1" applyAlignment="1" applyProtection="1">
      <alignment horizontal="left" vertical="center" shrinkToFit="1"/>
      <protection hidden="1"/>
    </xf>
    <xf numFmtId="0" fontId="4" fillId="25" borderId="4" xfId="6" applyFont="1" applyFill="1" applyBorder="1" applyAlignment="1" applyProtection="1">
      <alignment horizontal="left" vertical="center" indent="1"/>
      <protection hidden="1"/>
    </xf>
    <xf numFmtId="176" fontId="24" fillId="0" borderId="33" xfId="0" applyNumberFormat="1" applyFont="1" applyBorder="1" applyAlignment="1" applyProtection="1">
      <alignment horizontal="left" wrapText="1"/>
      <protection hidden="1"/>
    </xf>
    <xf numFmtId="41" fontId="21" fillId="25" borderId="3" xfId="1" applyFont="1" applyFill="1" applyBorder="1" applyAlignment="1" applyProtection="1">
      <alignment horizontal="left" vertical="center" shrinkToFit="1"/>
      <protection hidden="1"/>
    </xf>
    <xf numFmtId="0" fontId="21" fillId="25" borderId="4" xfId="0" applyFont="1" applyFill="1" applyBorder="1" applyAlignment="1" applyProtection="1">
      <alignment horizontal="left" vertical="center" indent="1"/>
      <protection hidden="1"/>
    </xf>
    <xf numFmtId="179" fontId="11" fillId="14" borderId="34" xfId="0" applyNumberFormat="1" applyFont="1" applyFill="1" applyBorder="1" applyAlignment="1" applyProtection="1">
      <alignment horizontal="center" vertical="center"/>
      <protection locked="0" hidden="1"/>
    </xf>
    <xf numFmtId="176" fontId="4" fillId="25" borderId="42" xfId="0" applyNumberFormat="1" applyFont="1" applyFill="1" applyBorder="1" applyAlignment="1" applyProtection="1">
      <alignment horizontal="center" vertical="center"/>
      <protection hidden="1"/>
    </xf>
    <xf numFmtId="41" fontId="21" fillId="25" borderId="45" xfId="1" applyFont="1" applyFill="1" applyBorder="1" applyAlignment="1" applyProtection="1">
      <alignment horizontal="left" vertical="center" shrinkToFit="1"/>
      <protection hidden="1"/>
    </xf>
    <xf numFmtId="0" fontId="21" fillId="25" borderId="41" xfId="0" applyFont="1" applyFill="1" applyBorder="1" applyAlignment="1" applyProtection="1">
      <alignment horizontal="left" vertical="center" indent="1"/>
      <protection hidden="1"/>
    </xf>
    <xf numFmtId="0" fontId="46" fillId="0" borderId="29" xfId="0" applyFont="1" applyBorder="1" applyAlignment="1" applyProtection="1">
      <alignment horizontal="left" wrapText="1" indent="1"/>
      <protection hidden="1"/>
    </xf>
    <xf numFmtId="0" fontId="0" fillId="0" borderId="30" xfId="0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locked="0" hidden="1"/>
    </xf>
    <xf numFmtId="176" fontId="34" fillId="0" borderId="33" xfId="0" applyNumberFormat="1" applyFont="1" applyBorder="1" applyAlignment="1" applyProtection="1">
      <alignment horizontal="left" wrapText="1"/>
      <protection hidden="1"/>
    </xf>
    <xf numFmtId="0" fontId="47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horizontal="center" vertical="center" wrapText="1"/>
    </xf>
    <xf numFmtId="0" fontId="47" fillId="27" borderId="4" xfId="0" applyFont="1" applyFill="1" applyBorder="1" applyAlignment="1">
      <alignment horizontal="center" wrapText="1"/>
    </xf>
    <xf numFmtId="0" fontId="45" fillId="27" borderId="4" xfId="0" applyFont="1" applyFill="1" applyBorder="1" applyAlignment="1">
      <alignment horizontal="center" wrapText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32" fillId="0" borderId="50" xfId="0" applyFont="1" applyBorder="1" applyAlignment="1" applyProtection="1">
      <alignment horizontal="left" wrapText="1" indent="1"/>
      <protection hidden="1"/>
    </xf>
    <xf numFmtId="176" fontId="32" fillId="0" borderId="47" xfId="0" applyNumberFormat="1" applyFont="1" applyBorder="1" applyAlignment="1" applyProtection="1">
      <alignment horizontal="center" wrapText="1"/>
      <protection hidden="1"/>
    </xf>
    <xf numFmtId="177" fontId="32" fillId="0" borderId="48" xfId="0" applyNumberFormat="1" applyFont="1" applyBorder="1" applyAlignment="1" applyProtection="1">
      <alignment horizontal="right" wrapText="1"/>
      <protection hidden="1"/>
    </xf>
    <xf numFmtId="176" fontId="24" fillId="0" borderId="51" xfId="0" applyNumberFormat="1" applyFont="1" applyBorder="1" applyAlignment="1" applyProtection="1">
      <alignment horizontal="left" wrapText="1"/>
      <protection hidden="1"/>
    </xf>
    <xf numFmtId="0" fontId="46" fillId="16" borderId="29" xfId="0" applyFont="1" applyFill="1" applyBorder="1" applyAlignment="1" applyProtection="1">
      <alignment horizontal="left" wrapText="1" indent="1"/>
      <protection hidden="1"/>
    </xf>
    <xf numFmtId="0" fontId="47" fillId="28" borderId="4" xfId="0" applyFont="1" applyFill="1" applyBorder="1" applyAlignment="1">
      <alignment horizontal="center" wrapText="1"/>
    </xf>
    <xf numFmtId="0" fontId="45" fillId="28" borderId="4" xfId="0" applyFont="1" applyFill="1" applyBorder="1" applyAlignment="1">
      <alignment horizontal="center" wrapText="1"/>
    </xf>
    <xf numFmtId="180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1" xfId="0" applyNumberFormat="1" applyFont="1" applyBorder="1" applyAlignment="1" applyProtection="1">
      <alignment horizontal="left" wrapText="1"/>
      <protection hidden="1"/>
    </xf>
    <xf numFmtId="0" fontId="42" fillId="0" borderId="0" xfId="13" applyAlignment="1" applyProtection="1">
      <alignment horizontal="center" vertical="center"/>
      <protection hidden="1"/>
    </xf>
    <xf numFmtId="0" fontId="47" fillId="29" borderId="4" xfId="0" applyFont="1" applyFill="1" applyBorder="1" applyAlignment="1">
      <alignment horizontal="center" wrapText="1"/>
    </xf>
    <xf numFmtId="0" fontId="45" fillId="29" borderId="4" xfId="0" applyFont="1" applyFill="1" applyBorder="1" applyAlignment="1">
      <alignment horizontal="center" wrapText="1"/>
    </xf>
    <xf numFmtId="0" fontId="34" fillId="0" borderId="63" xfId="0" applyFont="1" applyBorder="1" applyAlignment="1" applyProtection="1">
      <alignment horizontal="left" wrapText="1"/>
      <protection hidden="1"/>
    </xf>
    <xf numFmtId="0" fontId="42" fillId="0" borderId="62" xfId="13" applyBorder="1" applyAlignment="1" applyProtection="1">
      <alignment horizontal="center" vertical="center"/>
      <protection hidden="1"/>
    </xf>
    <xf numFmtId="176" fontId="24" fillId="0" borderId="76" xfId="0" applyNumberFormat="1" applyFont="1" applyBorder="1" applyAlignment="1" applyProtection="1">
      <alignment horizontal="left" wrapText="1"/>
      <protection hidden="1"/>
    </xf>
    <xf numFmtId="179" fontId="14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Protection="1">
      <alignment vertical="center"/>
      <protection hidden="1"/>
    </xf>
    <xf numFmtId="0" fontId="11" fillId="14" borderId="99" xfId="0" applyFont="1" applyFill="1" applyBorder="1" applyAlignment="1" applyProtection="1">
      <alignment horizontal="center" vertical="center"/>
      <protection locked="0" hidden="1"/>
    </xf>
    <xf numFmtId="0" fontId="0" fillId="0" borderId="100" xfId="0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/>
      <protection hidden="1"/>
    </xf>
    <xf numFmtId="177" fontId="0" fillId="14" borderId="4" xfId="0" applyNumberFormat="1" applyFill="1" applyBorder="1" applyAlignment="1" applyProtection="1">
      <alignment horizontal="center" vertical="center"/>
      <protection hidden="1"/>
    </xf>
    <xf numFmtId="180" fontId="11" fillId="0" borderId="4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left" wrapText="1" indent="1"/>
      <protection hidden="1"/>
    </xf>
    <xf numFmtId="0" fontId="25" fillId="0" borderId="26" xfId="0" applyFont="1" applyBorder="1" applyAlignment="1" applyProtection="1">
      <alignment horizontal="left" wrapText="1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13" fillId="0" borderId="86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left" wrapText="1" indent="1"/>
      <protection hidden="1"/>
    </xf>
    <xf numFmtId="0" fontId="24" fillId="0" borderId="32" xfId="0" applyFont="1" applyBorder="1" applyAlignment="1" applyProtection="1">
      <alignment horizontal="left" wrapText="1"/>
      <protection hidden="1"/>
    </xf>
    <xf numFmtId="0" fontId="16" fillId="0" borderId="101" xfId="0" applyFont="1" applyBorder="1" applyAlignment="1" applyProtection="1">
      <alignment horizontal="center" vertical="center"/>
      <protection hidden="1"/>
    </xf>
    <xf numFmtId="0" fontId="16" fillId="0" borderId="102" xfId="0" applyFont="1" applyBorder="1" applyAlignment="1" applyProtection="1">
      <alignment horizontal="center" vertical="center"/>
      <protection hidden="1"/>
    </xf>
    <xf numFmtId="0" fontId="13" fillId="0" borderId="102" xfId="0" applyFont="1" applyBorder="1" applyAlignment="1" applyProtection="1">
      <alignment horizontal="center" vertical="center"/>
      <protection hidden="1"/>
    </xf>
    <xf numFmtId="0" fontId="13" fillId="0" borderId="103" xfId="0" applyFont="1" applyBorder="1" applyAlignment="1" applyProtection="1">
      <alignment horizontal="center" vertical="center"/>
      <protection hidden="1"/>
    </xf>
    <xf numFmtId="179" fontId="0" fillId="0" borderId="4" xfId="0" applyNumberFormat="1" applyBorder="1" applyAlignment="1" applyProtection="1">
      <alignment horizontal="center" vertical="center"/>
      <protection hidden="1"/>
    </xf>
    <xf numFmtId="0" fontId="3" fillId="0" borderId="104" xfId="0" applyFont="1" applyBorder="1" applyAlignment="1" applyProtection="1">
      <alignment horizontal="left" vertical="center" indent="1"/>
      <protection hidden="1"/>
    </xf>
    <xf numFmtId="0" fontId="11" fillId="0" borderId="104" xfId="0" applyFont="1" applyBorder="1" applyAlignment="1" applyProtection="1">
      <alignment horizontal="left" vertical="center" indent="1"/>
      <protection locked="0" hidden="1"/>
    </xf>
    <xf numFmtId="180" fontId="0" fillId="0" borderId="4" xfId="0" applyNumberFormat="1" applyBorder="1" applyAlignment="1" applyProtection="1">
      <alignment horizontal="center" vertical="center"/>
      <protection hidden="1"/>
    </xf>
    <xf numFmtId="0" fontId="50" fillId="0" borderId="29" xfId="0" applyFont="1" applyBorder="1" applyAlignment="1" applyProtection="1">
      <alignment horizontal="left" wrapText="1" indent="1"/>
      <protection hidden="1"/>
    </xf>
    <xf numFmtId="0" fontId="32" fillId="0" borderId="34" xfId="0" applyFont="1" applyBorder="1" applyAlignment="1" applyProtection="1">
      <alignment horizontal="left" wrapText="1" indent="1"/>
      <protection hidden="1"/>
    </xf>
    <xf numFmtId="0" fontId="42" fillId="0" borderId="0" xfId="14" applyProtection="1">
      <alignment vertical="center"/>
      <protection hidden="1"/>
    </xf>
    <xf numFmtId="176" fontId="27" fillId="0" borderId="24" xfId="0" applyNumberFormat="1" applyFont="1" applyBorder="1" applyAlignment="1" applyProtection="1">
      <alignment horizontal="center" vertical="center"/>
      <protection hidden="1"/>
    </xf>
    <xf numFmtId="0" fontId="42" fillId="0" borderId="0" xfId="13" applyNumberFormat="1" applyBorder="1" applyAlignment="1" applyProtection="1">
      <alignment vertical="center" wrapText="1"/>
    </xf>
    <xf numFmtId="0" fontId="41" fillId="0" borderId="29" xfId="0" applyFont="1" applyBorder="1" applyAlignment="1" applyProtection="1">
      <alignment horizontal="left" wrapText="1" indent="1"/>
      <protection hidden="1"/>
    </xf>
    <xf numFmtId="0" fontId="42" fillId="0" borderId="105" xfId="13" applyBorder="1" applyAlignment="1" applyProtection="1">
      <alignment horizontal="center" vertical="center"/>
      <protection hidden="1"/>
    </xf>
    <xf numFmtId="0" fontId="53" fillId="0" borderId="0" xfId="14" applyFont="1" applyBorder="1" applyAlignment="1" applyProtection="1">
      <alignment vertical="center" readingOrder="1"/>
    </xf>
    <xf numFmtId="176" fontId="11" fillId="0" borderId="0" xfId="0" applyNumberFormat="1" applyFont="1" applyProtection="1">
      <alignment vertical="center"/>
      <protection hidden="1"/>
    </xf>
    <xf numFmtId="176" fontId="3" fillId="0" borderId="0" xfId="0" applyNumberFormat="1" applyFont="1" applyAlignment="1" applyProtection="1">
      <alignment horizontal="right" vertical="center"/>
      <protection hidden="1"/>
    </xf>
    <xf numFmtId="0" fontId="0" fillId="0" borderId="79" xfId="0" applyBorder="1" applyProtection="1">
      <alignment vertical="center"/>
      <protection hidden="1"/>
    </xf>
    <xf numFmtId="0" fontId="12" fillId="15" borderId="4" xfId="0" applyFont="1" applyFill="1" applyBorder="1" applyAlignment="1" applyProtection="1">
      <alignment horizontal="center" vertical="center"/>
      <protection locked="0" hidden="1"/>
    </xf>
    <xf numFmtId="0" fontId="11" fillId="15" borderId="106" xfId="0" applyFont="1" applyFill="1" applyBorder="1" applyAlignment="1" applyProtection="1">
      <alignment horizontal="center" vertical="center"/>
      <protection locked="0" hidden="1"/>
    </xf>
    <xf numFmtId="0" fontId="0" fillId="23" borderId="107" xfId="0" applyFill="1" applyBorder="1" applyAlignment="1" applyProtection="1">
      <alignment horizontal="center" vertical="center"/>
      <protection hidden="1"/>
    </xf>
    <xf numFmtId="0" fontId="0" fillId="0" borderId="108" xfId="0" applyBorder="1" applyAlignment="1" applyProtection="1">
      <alignment horizontal="center" vertical="center"/>
      <protection hidden="1"/>
    </xf>
    <xf numFmtId="0" fontId="0" fillId="0" borderId="109" xfId="0" applyBorder="1" applyAlignment="1" applyProtection="1">
      <alignment horizontal="center" vertical="center"/>
      <protection hidden="1"/>
    </xf>
    <xf numFmtId="0" fontId="0" fillId="0" borderId="110" xfId="0" applyBorder="1" applyAlignment="1" applyProtection="1">
      <alignment horizontal="center" vertical="center"/>
      <protection hidden="1"/>
    </xf>
    <xf numFmtId="0" fontId="55" fillId="0" borderId="85" xfId="0" applyFont="1" applyBorder="1" applyAlignment="1" applyProtection="1">
      <alignment horizontal="center" vertical="center"/>
      <protection hidden="1"/>
    </xf>
    <xf numFmtId="0" fontId="0" fillId="0" borderId="111" xfId="0" applyBorder="1" applyAlignment="1" applyProtection="1">
      <alignment horizontal="center" vertical="center"/>
      <protection hidden="1"/>
    </xf>
    <xf numFmtId="0" fontId="56" fillId="0" borderId="112" xfId="0" applyFont="1" applyBorder="1" applyAlignment="1" applyProtection="1">
      <alignment horizontal="center" vertical="center" wrapText="1"/>
      <protection hidden="1"/>
    </xf>
    <xf numFmtId="0" fontId="56" fillId="0" borderId="24" xfId="0" applyFont="1" applyBorder="1" applyAlignment="1" applyProtection="1">
      <alignment horizontal="center" vertical="center" shrinkToFit="1"/>
      <protection hidden="1"/>
    </xf>
    <xf numFmtId="0" fontId="56" fillId="0" borderId="113" xfId="0" applyFont="1" applyBorder="1" applyAlignment="1" applyProtection="1">
      <alignment horizontal="center" vertical="center" shrinkToFit="1"/>
      <protection hidden="1"/>
    </xf>
    <xf numFmtId="177" fontId="50" fillId="0" borderId="25" xfId="0" applyNumberFormat="1" applyFont="1" applyBorder="1" applyAlignment="1" applyProtection="1">
      <alignment horizontal="right" wrapText="1"/>
      <protection hidden="1"/>
    </xf>
    <xf numFmtId="176" fontId="33" fillId="0" borderId="27" xfId="0" applyNumberFormat="1" applyFont="1" applyBorder="1" applyAlignment="1" applyProtection="1">
      <alignment horizontal="right" wrapText="1" indent="1"/>
      <protection hidden="1"/>
    </xf>
    <xf numFmtId="0" fontId="50" fillId="0" borderId="28" xfId="0" applyFont="1" applyBorder="1" applyAlignment="1" applyProtection="1">
      <alignment horizontal="left" wrapText="1" indent="1"/>
      <protection hidden="1"/>
    </xf>
    <xf numFmtId="0" fontId="23" fillId="4" borderId="86" xfId="4" applyFont="1" applyBorder="1" applyAlignment="1" applyProtection="1">
      <alignment horizontal="left" vertical="center" indent="1"/>
      <protection hidden="1"/>
    </xf>
    <xf numFmtId="0" fontId="12" fillId="15" borderId="114" xfId="4" applyFont="1" applyFill="1" applyBorder="1" applyAlignment="1" applyProtection="1">
      <alignment horizontal="center" vertical="center"/>
      <protection locked="0" hidden="1"/>
    </xf>
    <xf numFmtId="0" fontId="0" fillId="0" borderId="115" xfId="0" applyBorder="1" applyAlignment="1" applyProtection="1">
      <alignment horizontal="center" vertical="center"/>
      <protection hidden="1"/>
    </xf>
    <xf numFmtId="0" fontId="56" fillId="0" borderId="116" xfId="0" applyFont="1" applyBorder="1" applyAlignment="1" applyProtection="1">
      <alignment horizontal="center" vertical="center" wrapText="1"/>
      <protection hidden="1"/>
    </xf>
    <xf numFmtId="0" fontId="56" fillId="0" borderId="117" xfId="0" applyFont="1" applyBorder="1" applyAlignment="1" applyProtection="1">
      <alignment horizontal="center" vertical="center" shrinkToFit="1"/>
      <protection hidden="1"/>
    </xf>
    <xf numFmtId="0" fontId="56" fillId="0" borderId="118" xfId="0" applyFont="1" applyBorder="1" applyAlignment="1" applyProtection="1">
      <alignment horizontal="center" vertical="center" shrinkToFit="1"/>
      <protection hidden="1"/>
    </xf>
    <xf numFmtId="0" fontId="26" fillId="0" borderId="32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right" wrapText="1" indent="1"/>
      <protection hidden="1"/>
    </xf>
    <xf numFmtId="176" fontId="11" fillId="15" borderId="121" xfId="0" applyNumberFormat="1" applyFont="1" applyFill="1" applyBorder="1" applyAlignment="1" applyProtection="1">
      <alignment horizontal="center" vertical="center"/>
      <protection locked="0" hidden="1"/>
    </xf>
    <xf numFmtId="0" fontId="58" fillId="0" borderId="36" xfId="0" applyFont="1" applyBorder="1" applyAlignment="1" applyProtection="1">
      <alignment horizontal="center" vertical="center"/>
      <protection hidden="1"/>
    </xf>
    <xf numFmtId="9" fontId="58" fillId="14" borderId="37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47" fillId="19" borderId="4" xfId="0" applyFont="1" applyFill="1" applyBorder="1" applyAlignment="1">
      <alignment horizontal="center" vertical="center" wrapText="1"/>
    </xf>
    <xf numFmtId="0" fontId="45" fillId="19" borderId="4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4" xfId="0" applyFont="1" applyBorder="1" applyAlignment="1">
      <alignment horizontal="center" vertical="center" wrapText="1"/>
    </xf>
    <xf numFmtId="0" fontId="47" fillId="30" borderId="4" xfId="0" applyFont="1" applyFill="1" applyBorder="1" applyAlignment="1">
      <alignment horizontal="center" vertical="center" wrapText="1"/>
    </xf>
    <xf numFmtId="0" fontId="45" fillId="30" borderId="4" xfId="0" applyFont="1" applyFill="1" applyBorder="1" applyAlignment="1">
      <alignment horizontal="center" vertical="center" wrapText="1"/>
    </xf>
    <xf numFmtId="176" fontId="24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center" vertical="center"/>
      <protection hidden="1"/>
    </xf>
    <xf numFmtId="176" fontId="34" fillId="0" borderId="33" xfId="0" applyNumberFormat="1" applyFont="1" applyBorder="1" applyAlignment="1" applyProtection="1">
      <alignment horizontal="right" wrapText="1" indent="1"/>
      <protection hidden="1"/>
    </xf>
    <xf numFmtId="0" fontId="39" fillId="0" borderId="29" xfId="0" applyFont="1" applyBorder="1" applyAlignment="1" applyProtection="1">
      <alignment horizontal="center" vertical="center"/>
      <protection hidden="1"/>
    </xf>
    <xf numFmtId="176" fontId="24" fillId="0" borderId="51" xfId="0" applyNumberFormat="1" applyFont="1" applyBorder="1" applyAlignment="1" applyProtection="1">
      <alignment horizontal="right" wrapText="1" indent="1"/>
      <protection hidden="1"/>
    </xf>
    <xf numFmtId="176" fontId="26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0" xfId="0" applyBorder="1" applyProtection="1">
      <alignment vertical="center"/>
      <protection hidden="1"/>
    </xf>
    <xf numFmtId="0" fontId="24" fillId="0" borderId="122" xfId="0" applyFont="1" applyBorder="1" applyAlignment="1" applyProtection="1">
      <alignment horizontal="left" wrapText="1" indent="1"/>
      <protection hidden="1"/>
    </xf>
    <xf numFmtId="176" fontId="24" fillId="0" borderId="123" xfId="0" applyNumberFormat="1" applyFont="1" applyBorder="1" applyAlignment="1" applyProtection="1">
      <alignment horizontal="center" wrapText="1"/>
      <protection hidden="1"/>
    </xf>
    <xf numFmtId="177" fontId="24" fillId="0" borderId="124" xfId="0" applyNumberFormat="1" applyFont="1" applyBorder="1" applyAlignment="1" applyProtection="1">
      <alignment horizontal="right" wrapText="1"/>
      <protection hidden="1"/>
    </xf>
    <xf numFmtId="0" fontId="26" fillId="0" borderId="125" xfId="0" applyFont="1" applyBorder="1" applyAlignment="1" applyProtection="1">
      <alignment horizontal="left" wrapText="1"/>
      <protection hidden="1"/>
    </xf>
    <xf numFmtId="176" fontId="26" fillId="0" borderId="15" xfId="0" applyNumberFormat="1" applyFont="1" applyBorder="1" applyAlignment="1" applyProtection="1">
      <alignment horizontal="right" wrapText="1" indent="1"/>
      <protection hidden="1"/>
    </xf>
    <xf numFmtId="0" fontId="24" fillId="0" borderId="126" xfId="0" applyFont="1" applyBorder="1" applyAlignment="1" applyProtection="1">
      <alignment horizontal="left" wrapText="1" indent="1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11" fillId="15" borderId="127" xfId="0" applyFont="1" applyFill="1" applyBorder="1" applyAlignment="1" applyProtection="1">
      <alignment horizontal="center" vertical="center"/>
      <protection locked="0" hidden="1"/>
    </xf>
    <xf numFmtId="0" fontId="0" fillId="0" borderId="95" xfId="0" applyBorder="1" applyAlignment="1" applyProtection="1">
      <alignment horizontal="center" vertical="center"/>
      <protection hidden="1"/>
    </xf>
    <xf numFmtId="0" fontId="11" fillId="15" borderId="97" xfId="0" applyFont="1" applyFill="1" applyBorder="1" applyAlignment="1" applyProtection="1">
      <alignment horizontal="center" vertical="center"/>
      <protection locked="0" hidden="1"/>
    </xf>
    <xf numFmtId="176" fontId="1" fillId="9" borderId="128" xfId="9" applyNumberFormat="1" applyBorder="1" applyAlignment="1" applyProtection="1">
      <alignment horizontal="center" vertical="center"/>
      <protection hidden="1"/>
    </xf>
    <xf numFmtId="41" fontId="12" fillId="9" borderId="129" xfId="9" applyNumberFormat="1" applyFont="1" applyBorder="1" applyAlignment="1" applyProtection="1">
      <alignment horizontal="left" vertical="center" shrinkToFit="1"/>
      <protection hidden="1"/>
    </xf>
    <xf numFmtId="176" fontId="33" fillId="0" borderId="27" xfId="0" applyNumberFormat="1" applyFont="1" applyBorder="1" applyAlignment="1" applyProtection="1">
      <alignment horizontal="center" wrapText="1"/>
      <protection hidden="1"/>
    </xf>
    <xf numFmtId="0" fontId="0" fillId="0" borderId="131" xfId="0" applyBorder="1" applyAlignment="1" applyProtection="1">
      <alignment horizontal="center" vertical="distributed"/>
      <protection hidden="1"/>
    </xf>
    <xf numFmtId="0" fontId="23" fillId="15" borderId="133" xfId="0" applyFont="1" applyFill="1" applyBorder="1" applyAlignment="1" applyProtection="1">
      <alignment horizontal="center" wrapText="1"/>
      <protection locked="0"/>
    </xf>
    <xf numFmtId="176" fontId="27" fillId="0" borderId="134" xfId="0" applyNumberFormat="1" applyFont="1" applyBorder="1" applyAlignment="1" applyProtection="1">
      <alignment horizontal="center" vertical="center"/>
      <protection hidden="1"/>
    </xf>
    <xf numFmtId="41" fontId="59" fillId="0" borderId="32" xfId="1" applyFont="1" applyBorder="1" applyAlignment="1" applyProtection="1">
      <alignment horizontal="left" vertical="center" shrinkToFit="1"/>
      <protection hidden="1"/>
    </xf>
    <xf numFmtId="0" fontId="46" fillId="0" borderId="63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center" wrapText="1"/>
      <protection hidden="1"/>
    </xf>
    <xf numFmtId="0" fontId="16" fillId="0" borderId="136" xfId="0" applyFont="1" applyBorder="1" applyAlignment="1" applyProtection="1">
      <alignment horizontal="center" vertical="center"/>
      <protection hidden="1"/>
    </xf>
    <xf numFmtId="0" fontId="10" fillId="0" borderId="102" xfId="0" applyFont="1" applyBorder="1" applyAlignment="1" applyProtection="1">
      <alignment horizontal="left" vertical="center" indent="1"/>
      <protection hidden="1"/>
    </xf>
    <xf numFmtId="176" fontId="27" fillId="31" borderId="134" xfId="0" applyNumberFormat="1" applyFont="1" applyFill="1" applyBorder="1" applyAlignment="1" applyProtection="1">
      <alignment horizontal="center" vertical="center"/>
      <protection hidden="1"/>
    </xf>
    <xf numFmtId="41" fontId="1" fillId="31" borderId="32" xfId="11" applyNumberFormat="1" applyFill="1" applyBorder="1" applyAlignment="1" applyProtection="1">
      <alignment horizontal="left" vertical="center" shrinkToFit="1"/>
      <protection hidden="1"/>
    </xf>
    <xf numFmtId="0" fontId="1" fillId="0" borderId="0" xfId="10" applyFill="1" applyAlignment="1" applyProtection="1">
      <alignment horizontal="center" vertical="center"/>
      <protection hidden="1"/>
    </xf>
    <xf numFmtId="176" fontId="1" fillId="0" borderId="134" xfId="11" applyNumberFormat="1" applyFill="1" applyBorder="1" applyAlignment="1" applyProtection="1">
      <alignment horizontal="center" vertical="center"/>
      <protection hidden="1"/>
    </xf>
    <xf numFmtId="41" fontId="59" fillId="31" borderId="32" xfId="1" applyFont="1" applyFill="1" applyBorder="1" applyAlignment="1" applyProtection="1">
      <alignment horizontal="left" vertical="center" shrinkToFi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hidden="1"/>
    </xf>
    <xf numFmtId="176" fontId="1" fillId="7" borderId="134" xfId="7" applyNumberFormat="1" applyBorder="1" applyAlignment="1" applyProtection="1">
      <alignment horizontal="center" vertical="center"/>
      <protection hidden="1"/>
    </xf>
    <xf numFmtId="41" fontId="1" fillId="7" borderId="32" xfId="7" applyNumberFormat="1" applyBorder="1" applyAlignment="1" applyProtection="1">
      <alignment horizontal="left" vertical="center" shrinkToFi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hidden="1"/>
    </xf>
    <xf numFmtId="41" fontId="18" fillId="0" borderId="32" xfId="1" applyFont="1" applyBorder="1" applyAlignment="1" applyProtection="1">
      <alignment horizontal="left" vertical="center" shrinkToFit="1"/>
      <protection hidden="1"/>
    </xf>
    <xf numFmtId="176" fontId="24" fillId="0" borderId="33" xfId="0" applyNumberFormat="1" applyFont="1" applyBorder="1" applyAlignment="1" applyProtection="1">
      <alignment horizontal="center" wrapText="1"/>
      <protection hidden="1"/>
    </xf>
    <xf numFmtId="0" fontId="37" fillId="0" borderId="31" xfId="0" applyFont="1" applyBorder="1" applyAlignment="1" applyProtection="1">
      <alignment horizontal="left" vertical="center" indent="1"/>
      <protection hidden="1"/>
    </xf>
    <xf numFmtId="176" fontId="27" fillId="0" borderId="137" xfId="0" applyNumberFormat="1" applyFont="1" applyBorder="1" applyAlignment="1" applyProtection="1">
      <alignment horizontal="center" vertical="center"/>
      <protection hidden="1"/>
    </xf>
    <xf numFmtId="41" fontId="59" fillId="0" borderId="138" xfId="1" applyFont="1" applyBorder="1" applyAlignment="1" applyProtection="1">
      <alignment horizontal="left" vertical="center" shrinkToFit="1"/>
      <protection hidden="1"/>
    </xf>
    <xf numFmtId="176" fontId="34" fillId="0" borderId="33" xfId="0" applyNumberFormat="1" applyFont="1" applyBorder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 shrinkToFit="1"/>
      <protection hidden="1"/>
    </xf>
    <xf numFmtId="176" fontId="24" fillId="0" borderId="51" xfId="0" applyNumberFormat="1" applyFont="1" applyBorder="1" applyAlignment="1" applyProtection="1">
      <alignment horizontal="center" wrapText="1"/>
      <protection hidden="1"/>
    </xf>
    <xf numFmtId="176" fontId="0" fillId="0" borderId="0" xfId="0" applyNumberFormat="1">
      <alignment vertical="center"/>
    </xf>
    <xf numFmtId="180" fontId="0" fillId="0" borderId="141" xfId="0" applyNumberFormat="1" applyBorder="1" applyAlignment="1" applyProtection="1">
      <alignment horizontal="center" vertical="center"/>
      <protection hidden="1"/>
    </xf>
    <xf numFmtId="176" fontId="41" fillId="0" borderId="51" xfId="0" applyNumberFormat="1" applyFont="1" applyBorder="1" applyAlignment="1" applyProtection="1">
      <alignment horizontal="center" wrapText="1"/>
      <protection hidden="1"/>
    </xf>
    <xf numFmtId="0" fontId="32" fillId="0" borderId="52" xfId="0" applyFont="1" applyBorder="1" applyAlignment="1" applyProtection="1">
      <alignment horizontal="left" wrapText="1" indent="1"/>
      <protection hidden="1"/>
    </xf>
    <xf numFmtId="0" fontId="41" fillId="0" borderId="63" xfId="0" applyFont="1" applyBorder="1" applyAlignment="1" applyProtection="1">
      <alignment horizontal="left" wrapText="1"/>
      <protection hidden="1"/>
    </xf>
    <xf numFmtId="176" fontId="24" fillId="0" borderId="76" xfId="0" applyNumberFormat="1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>
      <alignment horizontal="center" vertical="center"/>
    </xf>
    <xf numFmtId="0" fontId="23" fillId="0" borderId="2" xfId="0" applyFont="1" applyBorder="1" applyAlignment="1" applyProtection="1">
      <alignment horizontal="distributed" vertical="center" indent="1"/>
      <protection hidden="1"/>
    </xf>
    <xf numFmtId="0" fontId="0" fillId="0" borderId="70" xfId="0" applyBorder="1" applyAlignment="1" applyProtection="1">
      <alignment horizontal="distributed" vertical="center" indent="1"/>
      <protection hidden="1"/>
    </xf>
    <xf numFmtId="0" fontId="0" fillId="0" borderId="31" xfId="0" applyBorder="1" applyAlignment="1" applyProtection="1">
      <alignment horizontal="distributed" vertical="center" indent="1"/>
      <protection hidden="1"/>
    </xf>
    <xf numFmtId="0" fontId="23" fillId="0" borderId="31" xfId="0" applyFont="1" applyBorder="1" applyAlignment="1" applyProtection="1">
      <alignment horizontal="distributed" vertical="center" indent="1"/>
      <protection hidden="1"/>
    </xf>
    <xf numFmtId="0" fontId="0" fillId="0" borderId="48" xfId="0" applyBorder="1" applyAlignment="1" applyProtection="1">
      <alignment horizontal="distributed" vertical="center" indent="1"/>
      <protection hidden="1"/>
    </xf>
    <xf numFmtId="0" fontId="65" fillId="0" borderId="3" xfId="0" applyFont="1" applyBorder="1" applyAlignment="1" applyProtection="1">
      <alignment horizontal="center" wrapText="1"/>
      <protection hidden="1"/>
    </xf>
    <xf numFmtId="183" fontId="24" fillId="0" borderId="24" xfId="0" applyNumberFormat="1" applyFont="1" applyBorder="1" applyAlignment="1" applyProtection="1">
      <alignment horizontal="center" wrapText="1"/>
      <protection hidden="1"/>
    </xf>
    <xf numFmtId="183" fontId="24" fillId="0" borderId="70" xfId="0" applyNumberFormat="1" applyFont="1" applyBorder="1" applyAlignment="1" applyProtection="1">
      <alignment horizontal="right" wrapText="1"/>
      <protection hidden="1"/>
    </xf>
    <xf numFmtId="183" fontId="24" fillId="0" borderId="112" xfId="0" applyNumberFormat="1" applyFont="1" applyBorder="1" applyAlignment="1" applyProtection="1">
      <alignment horizontal="left" wrapText="1"/>
      <protection hidden="1"/>
    </xf>
    <xf numFmtId="183" fontId="24" fillId="13" borderId="24" xfId="0" applyNumberFormat="1" applyFont="1" applyFill="1" applyBorder="1" applyAlignment="1" applyProtection="1">
      <alignment horizontal="center" wrapText="1"/>
      <protection locked="0" hidden="1"/>
    </xf>
    <xf numFmtId="183" fontId="24" fillId="13" borderId="70" xfId="0" applyNumberFormat="1" applyFont="1" applyFill="1" applyBorder="1" applyAlignment="1" applyProtection="1">
      <alignment horizontal="right" wrapTex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/>
      <protection locked="0" hidden="1"/>
    </xf>
    <xf numFmtId="183" fontId="34" fillId="13" borderId="47" xfId="0" applyNumberFormat="1" applyFont="1" applyFill="1" applyBorder="1" applyAlignment="1" applyProtection="1">
      <alignment horizontal="center" wrapText="1"/>
      <protection locked="0" hidden="1"/>
    </xf>
    <xf numFmtId="183" fontId="24" fillId="13" borderId="48" xfId="0" applyNumberFormat="1" applyFont="1" applyFill="1" applyBorder="1" applyAlignment="1" applyProtection="1">
      <alignment horizontal="right" wrapText="1"/>
      <protection locked="0" hidden="1"/>
    </xf>
    <xf numFmtId="183" fontId="24" fillId="13" borderId="63" xfId="0" applyNumberFormat="1" applyFont="1" applyFill="1" applyBorder="1" applyAlignment="1" applyProtection="1">
      <alignment horizontal="left" wrapText="1"/>
      <protection locked="0" hidden="1"/>
    </xf>
    <xf numFmtId="0" fontId="10" fillId="0" borderId="0" xfId="0" applyFont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>
      <alignment vertical="center"/>
    </xf>
    <xf numFmtId="0" fontId="47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3" fontId="4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176" fontId="57" fillId="0" borderId="0" xfId="1" applyNumberFormat="1" applyFont="1" applyBorder="1" applyAlignment="1" applyProtection="1">
      <alignment horizontal="center" vertical="center" shrinkToFit="1"/>
      <protection hidden="1"/>
    </xf>
    <xf numFmtId="176" fontId="57" fillId="0" borderId="0" xfId="1" applyNumberFormat="1" applyFont="1" applyBorder="1" applyAlignment="1" applyProtection="1">
      <alignment horizontal="center" vertical="center" wrapText="1" shrinkToFit="1"/>
      <protection hidden="1"/>
    </xf>
    <xf numFmtId="176" fontId="57" fillId="0" borderId="0" xfId="0" applyNumberFormat="1" applyFont="1" applyBorder="1" applyAlignment="1" applyProtection="1">
      <alignment horizontal="center" vertical="center" shrinkToFit="1"/>
      <protection hidden="1"/>
    </xf>
    <xf numFmtId="176" fontId="21" fillId="0" borderId="0" xfId="1" applyNumberFormat="1" applyFont="1" applyBorder="1" applyAlignment="1" applyProtection="1">
      <alignment horizontal="center" vertical="center" shrinkToFit="1"/>
      <protection hidden="1"/>
    </xf>
    <xf numFmtId="176" fontId="4" fillId="25" borderId="0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0" xfId="1" applyNumberFormat="1" applyFont="1" applyFill="1" applyBorder="1" applyAlignment="1" applyProtection="1">
      <alignment horizontal="center" vertical="center" shrinkToFit="1"/>
      <protection hidden="1"/>
    </xf>
    <xf numFmtId="177" fontId="21" fillId="0" borderId="0" xfId="1" applyNumberFormat="1" applyFont="1" applyBorder="1" applyAlignment="1" applyProtection="1">
      <alignment horizontal="right" vertical="center" shrinkToFi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77" fontId="19" fillId="0" borderId="0" xfId="1" applyNumberFormat="1" applyFont="1" applyBorder="1" applyAlignment="1" applyProtection="1">
      <alignment horizontal="center" vertical="center" shrinkToFit="1"/>
      <protection hidden="1"/>
    </xf>
    <xf numFmtId="0" fontId="13" fillId="0" borderId="0" xfId="0" applyFont="1" applyBorder="1" applyAlignment="1" applyProtection="1">
      <alignment horizontal="left" vertical="center" inden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9" fillId="0" borderId="156" xfId="0" applyFont="1" applyBorder="1" applyAlignment="1" applyProtection="1">
      <alignment horizontal="left" vertical="center" indent="1" shrinkToFit="1"/>
      <protection hidden="1"/>
    </xf>
    <xf numFmtId="0" fontId="1" fillId="10" borderId="93" xfId="10" applyBorder="1" applyAlignment="1" applyProtection="1">
      <alignment horizontal="left" vertical="center" indent="1" shrinkToFit="1"/>
      <protection hidden="1"/>
    </xf>
    <xf numFmtId="0" fontId="19" fillId="0" borderId="93" xfId="0" applyFont="1" applyBorder="1" applyAlignment="1" applyProtection="1">
      <alignment horizontal="left" vertical="center" indent="1" shrinkToFit="1"/>
      <protection hidden="1"/>
    </xf>
    <xf numFmtId="0" fontId="1" fillId="5" borderId="157" xfId="5" applyBorder="1" applyAlignment="1" applyProtection="1">
      <alignment horizontal="left" vertical="center" indent="1" shrinkToFit="1"/>
      <protection hidden="1"/>
    </xf>
    <xf numFmtId="0" fontId="1" fillId="5" borderId="98" xfId="5" applyBorder="1" applyAlignment="1" applyProtection="1">
      <alignment horizontal="left" vertical="center" indent="1" shrinkToFit="1"/>
      <protection hidden="1"/>
    </xf>
    <xf numFmtId="0" fontId="13" fillId="25" borderId="0" xfId="0" applyFont="1" applyFill="1" applyBorder="1" applyAlignment="1" applyProtection="1">
      <alignment horizontal="left" vertical="center" indent="1"/>
      <protection hidden="1"/>
    </xf>
    <xf numFmtId="0" fontId="13" fillId="25" borderId="0" xfId="0" applyFont="1" applyFill="1" applyBorder="1" applyProtection="1">
      <alignment vertical="center"/>
      <protection hidden="1"/>
    </xf>
    <xf numFmtId="176" fontId="19" fillId="0" borderId="90" xfId="1" applyNumberFormat="1" applyFont="1" applyBorder="1" applyAlignment="1" applyProtection="1">
      <alignment horizontal="center" vertical="center" shrinkToFit="1"/>
      <protection hidden="1"/>
    </xf>
    <xf numFmtId="176" fontId="19" fillId="0" borderId="93" xfId="1" applyNumberFormat="1" applyFont="1" applyBorder="1" applyAlignment="1" applyProtection="1">
      <alignment horizontal="center" vertical="center" shrinkToFit="1"/>
      <protection hidden="1"/>
    </xf>
    <xf numFmtId="176" fontId="0" fillId="6" borderId="93" xfId="6" applyNumberFormat="1" applyFont="1" applyBorder="1" applyAlignment="1" applyProtection="1">
      <alignment horizontal="center" vertical="center" shrinkToFit="1"/>
      <protection hidden="1"/>
    </xf>
    <xf numFmtId="176" fontId="4" fillId="25" borderId="93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3" xfId="1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8" xfId="1" applyNumberFormat="1" applyFont="1" applyFill="1" applyBorder="1" applyAlignment="1" applyProtection="1">
      <alignment horizontal="center" vertical="center" shrinkToFit="1"/>
      <protection hidden="1"/>
    </xf>
    <xf numFmtId="0" fontId="57" fillId="0" borderId="0" xfId="0" applyFont="1" applyBorder="1" applyAlignment="1" applyProtection="1">
      <alignment horizontal="center" vertical="center" shrinkToFit="1"/>
      <protection hidden="1"/>
    </xf>
    <xf numFmtId="0" fontId="4" fillId="0" borderId="0" xfId="10" applyFont="1" applyFill="1" applyBorder="1" applyAlignment="1" applyProtection="1">
      <alignment horizontal="center" vertical="center"/>
      <protection hidden="1"/>
    </xf>
    <xf numFmtId="0" fontId="1" fillId="8" borderId="130" xfId="8" applyBorder="1" applyAlignment="1" applyProtection="1">
      <alignment horizontal="center" vertical="center" shrinkToFit="1"/>
      <protection hidden="1"/>
    </xf>
    <xf numFmtId="0" fontId="1" fillId="10" borderId="135" xfId="10" applyBorder="1" applyAlignment="1" applyProtection="1">
      <alignment horizontal="center" vertical="center" shrinkToFit="1"/>
      <protection hidden="1"/>
    </xf>
    <xf numFmtId="0" fontId="56" fillId="0" borderId="135" xfId="0" applyFont="1" applyBorder="1" applyAlignment="1" applyProtection="1">
      <alignment horizontal="center" vertical="center" shrinkToFit="1"/>
      <protection hidden="1"/>
    </xf>
    <xf numFmtId="0" fontId="59" fillId="0" borderId="139" xfId="0" applyFont="1" applyBorder="1" applyAlignment="1" applyProtection="1">
      <alignment horizontal="center" vertical="center"/>
      <protection hidden="1"/>
    </xf>
    <xf numFmtId="0" fontId="37" fillId="0" borderId="120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183" fontId="23" fillId="0" borderId="57" xfId="0" applyNumberFormat="1" applyFont="1" applyBorder="1" applyAlignment="1" applyProtection="1">
      <alignment horizontal="center" vertical="center"/>
      <protection hidden="1"/>
    </xf>
    <xf numFmtId="183" fontId="69" fillId="0" borderId="58" xfId="0" applyNumberFormat="1" applyFont="1" applyBorder="1" applyAlignment="1" applyProtection="1">
      <alignment horizontal="center" vertical="center"/>
      <protection hidden="1"/>
    </xf>
    <xf numFmtId="183" fontId="0" fillId="0" borderId="161" xfId="0" applyNumberFormat="1" applyBorder="1" applyAlignment="1" applyProtection="1">
      <alignment horizontal="center" vertical="center"/>
      <protection hidden="1"/>
    </xf>
    <xf numFmtId="183" fontId="70" fillId="0" borderId="162" xfId="0" applyNumberFormat="1" applyFont="1" applyBorder="1" applyAlignment="1" applyProtection="1">
      <alignment horizontal="center" vertical="center"/>
      <protection hidden="1"/>
    </xf>
    <xf numFmtId="183" fontId="0" fillId="0" borderId="162" xfId="0" applyNumberFormat="1" applyBorder="1" applyAlignment="1" applyProtection="1">
      <alignment horizontal="center" vertical="center"/>
      <protection hidden="1"/>
    </xf>
    <xf numFmtId="183" fontId="0" fillId="0" borderId="58" xfId="0" applyNumberFormat="1" applyBorder="1" applyAlignment="1" applyProtection="1">
      <alignment horizontal="center" vertical="center"/>
      <protection hidden="1"/>
    </xf>
    <xf numFmtId="183" fontId="0" fillId="0" borderId="4" xfId="0" applyNumberForma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 textRotation="255"/>
      <protection hidden="1"/>
    </xf>
    <xf numFmtId="183" fontId="16" fillId="0" borderId="4" xfId="0" applyNumberFormat="1" applyFont="1" applyBorder="1" applyAlignment="1" applyProtection="1">
      <alignment horizontal="center" vertical="center"/>
      <protection locked="0" hidden="1"/>
    </xf>
    <xf numFmtId="176" fontId="11" fillId="15" borderId="4" xfId="15" applyNumberFormat="1" applyFont="1" applyFill="1" applyBorder="1" applyAlignment="1" applyProtection="1">
      <alignment horizontal="center" vertical="center"/>
      <protection locked="0" hidden="1"/>
    </xf>
    <xf numFmtId="184" fontId="1" fillId="32" borderId="3" xfId="15" applyNumberFormat="1" applyBorder="1" applyAlignment="1" applyProtection="1">
      <alignment horizontal="center" vertical="center"/>
      <protection locked="0" hidden="1"/>
    </xf>
    <xf numFmtId="184" fontId="1" fillId="32" borderId="61" xfId="15" applyNumberFormat="1" applyBorder="1" applyAlignment="1" applyProtection="1">
      <alignment horizontal="center" vertical="center"/>
      <protection locked="0" hidden="1"/>
    </xf>
    <xf numFmtId="184" fontId="0" fillId="0" borderId="3" xfId="0" applyNumberFormat="1" applyBorder="1" applyAlignment="1" applyProtection="1">
      <alignment horizontal="center" vertical="center"/>
      <protection hidden="1"/>
    </xf>
    <xf numFmtId="184" fontId="0" fillId="0" borderId="4" xfId="0" applyNumberFormat="1" applyBorder="1" applyAlignment="1" applyProtection="1">
      <alignment horizontal="center" vertical="center"/>
      <protection hidden="1"/>
    </xf>
    <xf numFmtId="184" fontId="71" fillId="0" borderId="2" xfId="0" applyNumberFormat="1" applyFont="1" applyBorder="1" applyAlignment="1" applyProtection="1">
      <alignment horizontal="center" vertical="center"/>
      <protection hidden="1"/>
    </xf>
    <xf numFmtId="184" fontId="0" fillId="0" borderId="2" xfId="0" applyNumberFormat="1" applyBorder="1" applyAlignment="1" applyProtection="1">
      <alignment horizontal="center" vertical="center"/>
      <protection hidden="1"/>
    </xf>
    <xf numFmtId="184" fontId="0" fillId="0" borderId="61" xfId="0" applyNumberFormat="1" applyBorder="1" applyAlignment="1" applyProtection="1">
      <alignment horizontal="center" vertical="center"/>
      <protection hidden="1"/>
    </xf>
    <xf numFmtId="183" fontId="0" fillId="0" borderId="164" xfId="0" applyNumberForma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hidden="1"/>
    </xf>
    <xf numFmtId="183" fontId="11" fillId="0" borderId="4" xfId="0" applyNumberFormat="1" applyFont="1" applyBorder="1" applyAlignment="1" applyProtection="1">
      <alignment horizontal="center" vertical="center"/>
      <protection hidden="1"/>
    </xf>
    <xf numFmtId="183" fontId="23" fillId="0" borderId="4" xfId="0" applyNumberFormat="1" applyFont="1" applyBorder="1" applyAlignment="1" applyProtection="1">
      <alignment horizontal="center" vertical="center"/>
      <protection hidden="1"/>
    </xf>
    <xf numFmtId="0" fontId="27" fillId="0" borderId="165" xfId="0" applyFont="1" applyBorder="1" applyAlignment="1" applyProtection="1">
      <alignment horizontal="left" vertical="center" indent="1"/>
      <protection hidden="1"/>
    </xf>
    <xf numFmtId="183" fontId="12" fillId="0" borderId="166" xfId="0" applyNumberFormat="1" applyFont="1" applyBorder="1" applyProtection="1">
      <alignment vertical="center"/>
      <protection hidden="1"/>
    </xf>
    <xf numFmtId="183" fontId="12" fillId="0" borderId="168" xfId="0" applyNumberFormat="1" applyFont="1" applyBorder="1" applyProtection="1">
      <alignment vertical="center"/>
      <protection hidden="1"/>
    </xf>
    <xf numFmtId="0" fontId="0" fillId="0" borderId="169" xfId="0" applyBorder="1" applyAlignment="1" applyProtection="1">
      <alignment horizontal="left" vertical="center"/>
      <protection hidden="1"/>
    </xf>
    <xf numFmtId="0" fontId="11" fillId="15" borderId="4" xfId="15" applyFont="1" applyFill="1" applyBorder="1" applyAlignment="1" applyProtection="1">
      <alignment horizontal="center" vertical="center"/>
      <protection locked="0" hidden="1"/>
    </xf>
    <xf numFmtId="0" fontId="11" fillId="0" borderId="68" xfId="0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Protection="1">
      <alignment vertical="center"/>
      <protection hidden="1"/>
    </xf>
    <xf numFmtId="183" fontId="12" fillId="0" borderId="148" xfId="0" applyNumberFormat="1" applyFont="1" applyBorder="1" applyProtection="1">
      <alignment vertical="center"/>
      <protection hidden="1"/>
    </xf>
    <xf numFmtId="0" fontId="0" fillId="0" borderId="69" xfId="0" applyBorder="1" applyAlignment="1" applyProtection="1">
      <alignment horizontal="left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locked="0" hidden="1"/>
    </xf>
    <xf numFmtId="176" fontId="12" fillId="0" borderId="4" xfId="0" applyNumberFormat="1" applyFont="1" applyBorder="1" applyAlignment="1" applyProtection="1">
      <alignment horizontal="center" vertical="center"/>
      <protection locked="0" hidden="1"/>
    </xf>
    <xf numFmtId="183" fontId="12" fillId="0" borderId="40" xfId="0" applyNumberFormat="1" applyFont="1" applyBorder="1" applyAlignment="1" applyProtection="1">
      <alignment horizontal="center" vertical="center" textRotation="255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locked="0" hidden="1"/>
    </xf>
    <xf numFmtId="184" fontId="1" fillId="32" borderId="40" xfId="15" applyNumberFormat="1" applyBorder="1" applyAlignment="1" applyProtection="1">
      <alignment horizontal="center" vertical="center"/>
      <protection locked="0" hidden="1"/>
    </xf>
    <xf numFmtId="184" fontId="1" fillId="32" borderId="141" xfId="15" applyNumberFormat="1" applyBorder="1" applyAlignment="1" applyProtection="1">
      <alignment horizontal="center" vertical="center"/>
      <protection locked="0" hidden="1"/>
    </xf>
    <xf numFmtId="184" fontId="0" fillId="0" borderId="39" xfId="0" applyNumberFormat="1" applyBorder="1" applyAlignment="1" applyProtection="1">
      <alignment horizontal="center" vertical="center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hidden="1"/>
    </xf>
    <xf numFmtId="183" fontId="23" fillId="0" borderId="40" xfId="0" applyNumberFormat="1" applyFont="1" applyBorder="1" applyAlignment="1" applyProtection="1">
      <alignment horizontal="center" vertical="center"/>
      <protection hidden="1"/>
    </xf>
    <xf numFmtId="183" fontId="0" fillId="0" borderId="2" xfId="0" applyNumberFormat="1" applyBorder="1" applyProtection="1">
      <alignment vertical="center"/>
      <protection hidden="1"/>
    </xf>
    <xf numFmtId="184" fontId="7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2" xfId="0" applyNumberFormat="1" applyFont="1" applyBorder="1" applyAlignment="1" applyProtection="1">
      <alignment horizontal="center" vertical="center"/>
      <protection hidden="1"/>
    </xf>
    <xf numFmtId="184" fontId="12" fillId="0" borderId="173" xfId="0" applyNumberFormat="1" applyFont="1" applyBorder="1" applyAlignment="1" applyProtection="1">
      <alignment horizontal="center" vertical="center"/>
      <protection hidden="1"/>
    </xf>
    <xf numFmtId="184" fontId="1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4" xfId="0" applyNumberFormat="1" applyFont="1" applyBorder="1" applyAlignment="1" applyProtection="1">
      <alignment horizontal="center" vertical="center"/>
      <protection hidden="1"/>
    </xf>
    <xf numFmtId="184" fontId="72" fillId="0" borderId="172" xfId="0" applyNumberFormat="1" applyFont="1" applyBorder="1" applyAlignment="1" applyProtection="1">
      <alignment horizontal="center" vertical="center"/>
      <protection hidden="1"/>
    </xf>
    <xf numFmtId="183" fontId="12" fillId="0" borderId="0" xfId="0" applyNumberFormat="1" applyFont="1" applyAlignment="1" applyProtection="1">
      <alignment horizontal="center" vertical="center"/>
      <protection hidden="1"/>
    </xf>
    <xf numFmtId="183" fontId="12" fillId="0" borderId="175" xfId="0" applyNumberFormat="1" applyFont="1" applyBorder="1" applyAlignment="1" applyProtection="1">
      <alignment horizontal="center" vertical="center"/>
      <protection hidden="1"/>
    </xf>
    <xf numFmtId="183" fontId="12" fillId="0" borderId="176" xfId="0" applyNumberFormat="1" applyFont="1" applyBorder="1" applyAlignment="1" applyProtection="1">
      <alignment horizontal="center" vertical="center"/>
      <protection hidden="1"/>
    </xf>
    <xf numFmtId="183" fontId="12" fillId="0" borderId="177" xfId="0" applyNumberFormat="1" applyFont="1" applyBorder="1" applyAlignment="1" applyProtection="1">
      <alignment horizontal="center" vertical="center"/>
      <protection hidden="1"/>
    </xf>
    <xf numFmtId="0" fontId="11" fillId="0" borderId="165" xfId="0" applyFont="1" applyBorder="1" applyAlignment="1" applyProtection="1">
      <alignment horizontal="left" vertical="center" indent="1"/>
      <protection hidden="1"/>
    </xf>
    <xf numFmtId="0" fontId="0" fillId="0" borderId="178" xfId="0" applyBorder="1" applyAlignment="1" applyProtection="1">
      <alignment horizontal="center" vertical="center"/>
      <protection hidden="1"/>
    </xf>
    <xf numFmtId="0" fontId="12" fillId="0" borderId="165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right" vertical="center" indent="1"/>
      <protection hidden="1"/>
    </xf>
    <xf numFmtId="0" fontId="12" fillId="0" borderId="68" xfId="0" applyFont="1" applyBorder="1" applyAlignment="1" applyProtection="1">
      <alignment horizontal="left" vertical="center" indent="1"/>
      <protection hidden="1"/>
    </xf>
    <xf numFmtId="184" fontId="11" fillId="0" borderId="4" xfId="0" applyNumberFormat="1" applyFont="1" applyBorder="1" applyAlignment="1" applyProtection="1">
      <alignment horizontal="center" vertical="center"/>
      <protection hidden="1"/>
    </xf>
    <xf numFmtId="184" fontId="1" fillId="32" borderId="4" xfId="15" applyNumberFormat="1" applyBorder="1" applyAlignment="1" applyProtection="1">
      <alignment horizontal="center" vertical="center"/>
      <protection locked="0" hidden="1"/>
    </xf>
    <xf numFmtId="0" fontId="10" fillId="0" borderId="158" xfId="0" applyFont="1" applyBorder="1" applyAlignment="1" applyProtection="1">
      <alignment vertical="center"/>
      <protection hidden="1"/>
    </xf>
    <xf numFmtId="183" fontId="23" fillId="0" borderId="2" xfId="0" applyNumberFormat="1" applyFont="1" applyBorder="1" applyProtection="1">
      <alignment vertical="center"/>
      <protection hidden="1"/>
    </xf>
    <xf numFmtId="183" fontId="16" fillId="0" borderId="2" xfId="0" applyNumberFormat="1" applyFont="1" applyBorder="1" applyProtection="1">
      <alignment vertical="center"/>
      <protection hidden="1"/>
    </xf>
    <xf numFmtId="184" fontId="73" fillId="0" borderId="171" xfId="0" applyNumberFormat="1" applyFont="1" applyBorder="1" applyAlignment="1" applyProtection="1">
      <alignment horizontal="center" vertical="center"/>
      <protection hidden="1"/>
    </xf>
    <xf numFmtId="183" fontId="1" fillId="32" borderId="2" xfId="15" applyNumberFormat="1" applyBorder="1" applyProtection="1">
      <alignment vertical="center"/>
      <protection locked="0" hidden="1"/>
    </xf>
    <xf numFmtId="176" fontId="0" fillId="0" borderId="0" xfId="0" applyNumberFormat="1" applyAlignment="1" applyProtection="1">
      <alignment horizontal="center" vertical="center"/>
      <protection hidden="1"/>
    </xf>
    <xf numFmtId="0" fontId="11" fillId="13" borderId="180" xfId="0" applyFont="1" applyFill="1" applyBorder="1" applyAlignment="1" applyProtection="1">
      <alignment horizontal="left" vertical="center" indent="1"/>
      <protection locked="0" hidden="1"/>
    </xf>
    <xf numFmtId="183" fontId="16" fillId="13" borderId="2" xfId="0" applyNumberFormat="1" applyFont="1" applyFill="1" applyBorder="1" applyProtection="1">
      <alignment vertical="center"/>
      <protection locked="0" hidden="1"/>
    </xf>
    <xf numFmtId="0" fontId="1" fillId="13" borderId="149" xfId="15" applyFill="1" applyBorder="1" applyProtection="1">
      <alignment vertical="center"/>
      <protection locked="0" hidden="1"/>
    </xf>
    <xf numFmtId="0" fontId="0" fillId="13" borderId="181" xfId="0" applyFill="1" applyBorder="1" applyAlignment="1" applyProtection="1">
      <alignment horizontal="left" vertical="center"/>
      <protection locked="0" hidden="1"/>
    </xf>
    <xf numFmtId="0" fontId="0" fillId="13" borderId="180" xfId="0" applyFill="1" applyBorder="1" applyAlignment="1" applyProtection="1">
      <alignment horizontal="left" vertical="center" indent="1"/>
      <protection locked="0" hidden="1"/>
    </xf>
    <xf numFmtId="183" fontId="0" fillId="13" borderId="182" xfId="0" applyNumberFormat="1" applyFill="1" applyBorder="1" applyAlignment="1" applyProtection="1">
      <alignment horizontal="right" vertical="center" indent="1"/>
      <protection locked="0" hidden="1"/>
    </xf>
    <xf numFmtId="0" fontId="0" fillId="13" borderId="183" xfId="0" applyFill="1" applyBorder="1" applyAlignment="1" applyProtection="1">
      <alignment horizontal="right" vertical="center" indent="1"/>
      <protection locked="0" hidden="1"/>
    </xf>
    <xf numFmtId="0" fontId="0" fillId="13" borderId="184" xfId="0" applyFill="1" applyBorder="1" applyAlignment="1" applyProtection="1">
      <alignment horizontal="right" vertical="center" indent="1"/>
      <protection locked="0" hidden="1"/>
    </xf>
    <xf numFmtId="0" fontId="27" fillId="0" borderId="185" xfId="0" applyFont="1" applyBorder="1" applyAlignment="1" applyProtection="1">
      <alignment horizontal="center" vertical="center"/>
      <protection hidden="1"/>
    </xf>
    <xf numFmtId="0" fontId="16" fillId="0" borderId="174" xfId="0" applyFont="1" applyBorder="1" applyAlignment="1" applyProtection="1">
      <alignment horizontal="center" vertical="center"/>
      <protection hidden="1"/>
    </xf>
    <xf numFmtId="0" fontId="16" fillId="0" borderId="171" xfId="0" applyFont="1" applyBorder="1" applyAlignment="1" applyProtection="1">
      <alignment horizontal="right" vertical="center" indent="1"/>
      <protection hidden="1"/>
    </xf>
    <xf numFmtId="0" fontId="16" fillId="0" borderId="186" xfId="0" applyFont="1" applyBorder="1" applyAlignment="1" applyProtection="1">
      <alignment horizontal="right" vertical="center" indent="1"/>
      <protection hidden="1"/>
    </xf>
    <xf numFmtId="0" fontId="27" fillId="0" borderId="165" xfId="0" applyFont="1" applyBorder="1" applyAlignment="1" applyProtection="1">
      <alignment horizontal="right" vertical="center" indent="2"/>
      <protection hidden="1"/>
    </xf>
    <xf numFmtId="183" fontId="0" fillId="0" borderId="89" xfId="0" applyNumberFormat="1" applyBorder="1" applyAlignment="1" applyProtection="1">
      <alignment horizontal="center" vertical="center"/>
      <protection hidden="1"/>
    </xf>
    <xf numFmtId="183" fontId="74" fillId="0" borderId="89" xfId="0" applyNumberFormat="1" applyFont="1" applyBorder="1" applyAlignment="1" applyProtection="1">
      <alignment horizontal="center" vertical="center"/>
      <protection hidden="1"/>
    </xf>
    <xf numFmtId="183" fontId="74" fillId="0" borderId="187" xfId="0" applyNumberFormat="1" applyFont="1" applyBorder="1" applyAlignment="1" applyProtection="1">
      <alignment horizontal="center" vertical="center"/>
      <protection hidden="1"/>
    </xf>
    <xf numFmtId="176" fontId="0" fillId="0" borderId="188" xfId="0" applyNumberForma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right" vertical="center" indent="2"/>
      <protection hidden="1"/>
    </xf>
    <xf numFmtId="176" fontId="0" fillId="0" borderId="189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53" xfId="0" applyFont="1" applyBorder="1" applyAlignment="1" applyProtection="1">
      <alignment horizontal="right" vertical="center" indent="2"/>
      <protection hidden="1"/>
    </xf>
    <xf numFmtId="183" fontId="0" fillId="0" borderId="36" xfId="0" applyNumberFormat="1" applyBorder="1" applyAlignment="1" applyProtection="1">
      <alignment horizontal="center" vertical="center"/>
      <protection hidden="1"/>
    </xf>
    <xf numFmtId="183" fontId="74" fillId="0" borderId="190" xfId="0" applyNumberFormat="1" applyFont="1" applyBorder="1" applyAlignment="1" applyProtection="1">
      <alignment horizontal="center" vertical="center"/>
      <protection hidden="1"/>
    </xf>
    <xf numFmtId="183" fontId="74" fillId="0" borderId="191" xfId="0" applyNumberFormat="1" applyFont="1" applyBorder="1" applyAlignment="1" applyProtection="1">
      <alignment horizontal="center" vertical="center"/>
      <protection hidden="1"/>
    </xf>
    <xf numFmtId="176" fontId="0" fillId="0" borderId="192" xfId="0" applyNumberFormat="1" applyBorder="1" applyAlignment="1" applyProtection="1">
      <alignment horizontal="center" vertical="center"/>
      <protection hidden="1"/>
    </xf>
    <xf numFmtId="0" fontId="16" fillId="0" borderId="193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right" vertical="center" indent="1"/>
      <protection hidden="1"/>
    </xf>
    <xf numFmtId="0" fontId="16" fillId="0" borderId="195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vertical="center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83" fontId="0" fillId="0" borderId="22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 indent="1"/>
    </xf>
    <xf numFmtId="183" fontId="0" fillId="0" borderId="0" xfId="0" applyNumberFormat="1">
      <alignment vertical="center"/>
    </xf>
    <xf numFmtId="0" fontId="68" fillId="0" borderId="0" xfId="0" applyFont="1" applyAlignment="1">
      <alignment horizontal="center" vertical="center"/>
    </xf>
    <xf numFmtId="0" fontId="80" fillId="0" borderId="0" xfId="13" applyFont="1" applyAlignment="1" applyProtection="1">
      <alignment horizontal="center" vertical="center"/>
      <protection hidden="1"/>
    </xf>
    <xf numFmtId="0" fontId="68" fillId="0" borderId="196" xfId="0" applyFont="1" applyBorder="1" applyAlignment="1" applyProtection="1">
      <alignment horizontal="right" vertical="center"/>
      <protection hidden="1"/>
    </xf>
    <xf numFmtId="0" fontId="68" fillId="0" borderId="196" xfId="0" applyFont="1" applyBorder="1" applyProtection="1">
      <alignment vertical="center"/>
      <protection hidden="1"/>
    </xf>
    <xf numFmtId="0" fontId="23" fillId="0" borderId="197" xfId="0" applyFont="1" applyBorder="1" applyAlignment="1" applyProtection="1">
      <alignment horizontal="left" vertical="center" indent="1"/>
      <protection hidden="1"/>
    </xf>
    <xf numFmtId="0" fontId="23" fillId="15" borderId="198" xfId="0" applyFont="1" applyFill="1" applyBorder="1" applyAlignment="1" applyProtection="1">
      <alignment horizontal="left" vertical="center" indent="1"/>
      <protection locked="0" hidden="1"/>
    </xf>
    <xf numFmtId="0" fontId="23" fillId="0" borderId="198" xfId="0" applyFont="1" applyBorder="1" applyAlignment="1" applyProtection="1">
      <alignment horizontal="left" vertical="center" indent="1"/>
      <protection hidden="1"/>
    </xf>
    <xf numFmtId="0" fontId="23" fillId="15" borderId="199" xfId="0" applyFont="1" applyFill="1" applyBorder="1" applyAlignment="1" applyProtection="1">
      <alignment horizontal="left" vertical="center" indent="1"/>
      <protection locked="0" hidden="1"/>
    </xf>
    <xf numFmtId="0" fontId="23" fillId="0" borderId="200" xfId="0" applyFont="1" applyBorder="1" applyAlignment="1" applyProtection="1">
      <alignment horizontal="center" vertical="center"/>
      <protection hidden="1"/>
    </xf>
    <xf numFmtId="0" fontId="23" fillId="0" borderId="201" xfId="0" applyFont="1" applyBorder="1" applyAlignment="1" applyProtection="1">
      <alignment horizontal="center" vertical="center"/>
      <protection hidden="1"/>
    </xf>
    <xf numFmtId="0" fontId="23" fillId="0" borderId="204" xfId="0" applyFont="1" applyBorder="1" applyAlignment="1" applyProtection="1">
      <alignment horizontal="left" vertical="center" indent="1"/>
      <protection hidden="1"/>
    </xf>
    <xf numFmtId="0" fontId="23" fillId="15" borderId="4" xfId="0" applyFont="1" applyFill="1" applyBorder="1" applyAlignment="1" applyProtection="1">
      <alignment horizontal="left" vertical="center" indent="1"/>
      <protection locked="0" hidden="1"/>
    </xf>
    <xf numFmtId="0" fontId="23" fillId="0" borderId="4" xfId="0" applyFont="1" applyBorder="1" applyAlignment="1" applyProtection="1">
      <alignment horizontal="left" vertical="center" indent="1"/>
      <protection hidden="1"/>
    </xf>
    <xf numFmtId="0" fontId="23" fillId="0" borderId="205" xfId="0" applyFont="1" applyBorder="1" applyAlignment="1" applyProtection="1">
      <alignment horizontal="left" vertical="center" indent="1"/>
      <protection hidden="1"/>
    </xf>
    <xf numFmtId="0" fontId="11" fillId="0" borderId="206" xfId="0" applyFont="1" applyBorder="1" applyAlignment="1" applyProtection="1">
      <alignment horizontal="right" vertical="center"/>
      <protection hidden="1"/>
    </xf>
    <xf numFmtId="0" fontId="11" fillId="0" borderId="207" xfId="0" applyFont="1" applyBorder="1" applyAlignment="1" applyProtection="1">
      <alignment horizontal="left" vertical="center"/>
      <protection hidden="1"/>
    </xf>
    <xf numFmtId="0" fontId="23" fillId="0" borderId="208" xfId="0" applyFont="1" applyBorder="1" applyAlignment="1" applyProtection="1">
      <alignment horizontal="left" vertical="center" indent="1"/>
      <protection hidden="1"/>
    </xf>
    <xf numFmtId="0" fontId="23" fillId="0" borderId="209" xfId="0" applyFont="1" applyBorder="1" applyAlignment="1" applyProtection="1">
      <alignment horizontal="center" vertical="center"/>
      <protection hidden="1"/>
    </xf>
    <xf numFmtId="0" fontId="23" fillId="0" borderId="210" xfId="0" applyFont="1" applyBorder="1" applyAlignment="1" applyProtection="1">
      <alignment horizontal="left" vertical="center" indent="1"/>
      <protection hidden="1"/>
    </xf>
    <xf numFmtId="0" fontId="23" fillId="15" borderId="211" xfId="0" applyFont="1" applyFill="1" applyBorder="1" applyAlignment="1" applyProtection="1">
      <alignment horizontal="left" vertical="center" indent="1"/>
      <protection locked="0" hidden="1"/>
    </xf>
    <xf numFmtId="0" fontId="23" fillId="0" borderId="211" xfId="0" applyFont="1" applyBorder="1" applyAlignment="1" applyProtection="1">
      <alignment horizontal="left" vertical="center" indent="1"/>
      <protection hidden="1"/>
    </xf>
    <xf numFmtId="0" fontId="23" fillId="0" borderId="212" xfId="0" applyFont="1" applyBorder="1" applyAlignment="1" applyProtection="1">
      <alignment horizontal="left" vertical="center" indent="1"/>
      <protection hidden="1"/>
    </xf>
    <xf numFmtId="0" fontId="27" fillId="0" borderId="213" xfId="0" applyFont="1" applyBorder="1" applyAlignment="1" applyProtection="1">
      <alignment horizontal="left" vertical="center" indent="1"/>
      <protection hidden="1"/>
    </xf>
    <xf numFmtId="183" fontId="0" fillId="0" borderId="88" xfId="0" applyNumberFormat="1" applyBorder="1" applyAlignment="1" applyProtection="1">
      <alignment horizontal="center" vertical="center"/>
      <protection hidden="1"/>
    </xf>
    <xf numFmtId="183" fontId="12" fillId="0" borderId="187" xfId="0" applyNumberFormat="1" applyFont="1" applyBorder="1" applyProtection="1">
      <alignment vertical="center"/>
      <protection hidden="1"/>
    </xf>
    <xf numFmtId="0" fontId="0" fillId="0" borderId="214" xfId="0" applyBorder="1" applyAlignment="1" applyProtection="1">
      <alignment horizontal="left" vertical="center"/>
      <protection hidden="1"/>
    </xf>
    <xf numFmtId="0" fontId="42" fillId="0" borderId="0" xfId="14" applyAlignment="1">
      <alignment horizontal="left" vertical="center" readingOrder="1"/>
    </xf>
    <xf numFmtId="183" fontId="0" fillId="0" borderId="3" xfId="0" applyNumberForma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218" xfId="0" applyBorder="1" applyAlignment="1" applyProtection="1">
      <alignment horizontal="left" vertical="center" indent="1"/>
      <protection hidden="1"/>
    </xf>
    <xf numFmtId="183" fontId="0" fillId="0" borderId="219" xfId="0" applyNumberFormat="1" applyBorder="1" applyAlignment="1" applyProtection="1">
      <alignment horizontal="center" vertical="center"/>
      <protection hidden="1"/>
    </xf>
    <xf numFmtId="183" fontId="12" fillId="0" borderId="220" xfId="0" applyNumberFormat="1" applyFont="1" applyBorder="1" applyProtection="1">
      <alignment vertical="center"/>
      <protection hidden="1"/>
    </xf>
    <xf numFmtId="0" fontId="0" fillId="0" borderId="221" xfId="0" applyBorder="1" applyAlignment="1" applyProtection="1">
      <alignment horizontal="left" vertical="center"/>
      <protection hidden="1"/>
    </xf>
    <xf numFmtId="183" fontId="0" fillId="0" borderId="0" xfId="0" applyNumberFormat="1" applyAlignment="1">
      <alignment horizontal="center" vertical="center"/>
    </xf>
    <xf numFmtId="183" fontId="11" fillId="0" borderId="207" xfId="0" applyNumberFormat="1" applyFont="1" applyBorder="1" applyAlignment="1" applyProtection="1">
      <alignment horizontal="left" vertical="center"/>
      <protection hidden="1"/>
    </xf>
    <xf numFmtId="183" fontId="12" fillId="0" borderId="208" xfId="0" applyNumberFormat="1" applyFont="1" applyBorder="1" applyProtection="1">
      <alignment vertical="center"/>
      <protection hidden="1"/>
    </xf>
    <xf numFmtId="0" fontId="0" fillId="0" borderId="209" xfId="0" applyBorder="1" applyAlignment="1" applyProtection="1">
      <alignment horizontal="left" vertical="center"/>
      <protection hidden="1"/>
    </xf>
    <xf numFmtId="0" fontId="0" fillId="0" borderId="222" xfId="0" applyBorder="1" applyAlignment="1" applyProtection="1">
      <alignment horizontal="left" vertical="center" indent="1"/>
      <protection hidden="1"/>
    </xf>
    <xf numFmtId="0" fontId="27" fillId="0" borderId="223" xfId="0" applyFont="1" applyBorder="1" applyAlignment="1" applyProtection="1">
      <alignment horizontal="left" vertical="center" indent="1"/>
      <protection hidden="1"/>
    </xf>
    <xf numFmtId="183" fontId="16" fillId="0" borderId="88" xfId="0" applyNumberFormat="1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0" fillId="0" borderId="88" xfId="0" applyBorder="1" applyAlignment="1" applyProtection="1">
      <alignment horizontal="center" vertical="center"/>
      <protection hidden="1"/>
    </xf>
    <xf numFmtId="183" fontId="23" fillId="0" borderId="187" xfId="0" applyNumberFormat="1" applyFont="1" applyBorder="1" applyProtection="1">
      <alignment vertical="center"/>
      <protection hidden="1"/>
    </xf>
    <xf numFmtId="183" fontId="23" fillId="0" borderId="2" xfId="0" applyNumberFormat="1" applyFont="1" applyBorder="1" applyAlignment="1" applyProtection="1">
      <alignment horizontal="right" vertical="center"/>
      <protection hidden="1"/>
    </xf>
    <xf numFmtId="0" fontId="12" fillId="0" borderId="213" xfId="0" applyFont="1" applyBorder="1" applyAlignment="1" applyProtection="1">
      <alignment horizontal="left" vertical="center" indent="1"/>
      <protection hidden="1"/>
    </xf>
    <xf numFmtId="0" fontId="12" fillId="0" borderId="223" xfId="0" applyFont="1" applyBorder="1" applyAlignment="1" applyProtection="1">
      <alignment horizontal="left" vertical="center" indent="1"/>
      <protection hidden="1"/>
    </xf>
    <xf numFmtId="0" fontId="23" fillId="0" borderId="2" xfId="0" applyFont="1" applyBorder="1" applyProtection="1">
      <alignment vertical="center"/>
      <protection hidden="1"/>
    </xf>
    <xf numFmtId="0" fontId="0" fillId="0" borderId="223" xfId="0" applyBorder="1" applyAlignment="1" applyProtection="1">
      <alignment horizontal="left" vertical="center" indent="1"/>
      <protection hidden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223" xfId="0" applyFont="1" applyBorder="1" applyAlignment="1" applyProtection="1">
      <alignment horizontal="left" vertical="center" indent="1"/>
      <protection hidden="1"/>
    </xf>
    <xf numFmtId="183" fontId="11" fillId="0" borderId="2" xfId="0" applyNumberFormat="1" applyFont="1" applyBorder="1" applyProtection="1">
      <alignment vertical="center"/>
      <protection hidden="1"/>
    </xf>
    <xf numFmtId="0" fontId="0" fillId="0" borderId="53" xfId="0" applyBorder="1" applyAlignment="1" applyProtection="1">
      <alignment horizontal="left" vertical="center" indent="1"/>
      <protection hidden="1"/>
    </xf>
    <xf numFmtId="0" fontId="0" fillId="0" borderId="224" xfId="0" applyBorder="1" applyAlignment="1" applyProtection="1">
      <alignment horizontal="center" vertical="center"/>
      <protection hidden="1"/>
    </xf>
    <xf numFmtId="183" fontId="0" fillId="0" borderId="96" xfId="0" applyNumberFormat="1" applyBorder="1" applyProtection="1">
      <alignment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225" xfId="0" applyBorder="1" applyAlignment="1" applyProtection="1">
      <alignment horizontal="left" vertical="center" indent="1"/>
      <protection hidden="1"/>
    </xf>
    <xf numFmtId="0" fontId="0" fillId="0" borderId="219" xfId="0" applyBorder="1" applyAlignment="1" applyProtection="1">
      <alignment horizontal="center" vertical="center"/>
      <protection hidden="1"/>
    </xf>
    <xf numFmtId="183" fontId="0" fillId="0" borderId="220" xfId="0" applyNumberFormat="1" applyBorder="1" applyProtection="1">
      <alignment vertical="center"/>
      <protection hidden="1"/>
    </xf>
    <xf numFmtId="0" fontId="27" fillId="0" borderId="0" xfId="0" applyFont="1">
      <alignment vertical="center"/>
    </xf>
    <xf numFmtId="0" fontId="4" fillId="0" borderId="226" xfId="0" applyFont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/>
    </xf>
    <xf numFmtId="0" fontId="13" fillId="0" borderId="228" xfId="0" applyFont="1" applyBorder="1" applyAlignment="1">
      <alignment horizontal="center" vertical="center"/>
    </xf>
    <xf numFmtId="0" fontId="13" fillId="0" borderId="2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3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29" xfId="0" applyFont="1" applyBorder="1">
      <alignment vertical="center"/>
    </xf>
    <xf numFmtId="0" fontId="13" fillId="0" borderId="0" xfId="0" applyFont="1">
      <alignment vertical="center"/>
    </xf>
    <xf numFmtId="0" fontId="13" fillId="0" borderId="230" xfId="0" applyFont="1" applyBorder="1">
      <alignment vertical="center"/>
    </xf>
    <xf numFmtId="0" fontId="13" fillId="0" borderId="231" xfId="0" applyFont="1" applyBorder="1" applyAlignment="1">
      <alignment horizontal="left" vertical="center" indent="1"/>
    </xf>
    <xf numFmtId="0" fontId="13" fillId="0" borderId="232" xfId="0" applyFont="1" applyBorder="1">
      <alignment vertical="center"/>
    </xf>
    <xf numFmtId="0" fontId="13" fillId="0" borderId="232" xfId="0" applyFont="1" applyBorder="1" applyAlignment="1">
      <alignment horizontal="left" vertical="center" indent="1"/>
    </xf>
    <xf numFmtId="0" fontId="13" fillId="0" borderId="233" xfId="0" applyFont="1" applyBorder="1">
      <alignment vertical="center"/>
    </xf>
    <xf numFmtId="0" fontId="6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183" fontId="0" fillId="0" borderId="0" xfId="0" applyNumberFormat="1" applyAlignment="1" applyProtection="1">
      <alignment horizontal="left" vertical="center" indent="1"/>
      <protection hidden="1"/>
    </xf>
    <xf numFmtId="183" fontId="0" fillId="0" borderId="0" xfId="0" applyNumberFormat="1" applyProtection="1">
      <alignment vertical="center"/>
      <protection hidden="1"/>
    </xf>
    <xf numFmtId="183" fontId="0" fillId="0" borderId="0" xfId="0" applyNumberFormat="1" applyAlignment="1" applyProtection="1">
      <alignment horizontal="right" vertical="center" indent="1"/>
      <protection hidden="1"/>
    </xf>
    <xf numFmtId="183" fontId="70" fillId="0" borderId="0" xfId="0" applyNumberFormat="1" applyFont="1" applyAlignment="1" applyProtection="1">
      <alignment horizontal="center" vertical="center"/>
      <protection hidden="1"/>
    </xf>
    <xf numFmtId="183" fontId="71" fillId="0" borderId="0" xfId="0" applyNumberFormat="1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right" vertical="center"/>
      <protection hidden="1"/>
    </xf>
    <xf numFmtId="183" fontId="11" fillId="0" borderId="206" xfId="0" applyNumberFormat="1" applyFont="1" applyBorder="1" applyAlignment="1" applyProtection="1">
      <alignment horizontal="right" vertical="center" indent="1"/>
      <protection hidden="1"/>
    </xf>
    <xf numFmtId="183" fontId="11" fillId="0" borderId="208" xfId="0" applyNumberFormat="1" applyFont="1" applyBorder="1" applyProtection="1">
      <alignment vertical="center"/>
      <protection hidden="1"/>
    </xf>
    <xf numFmtId="183" fontId="16" fillId="0" borderId="209" xfId="0" applyNumberFormat="1" applyFont="1" applyBorder="1" applyProtection="1">
      <alignment vertical="center"/>
      <protection hidden="1"/>
    </xf>
    <xf numFmtId="183" fontId="11" fillId="15" borderId="208" xfId="0" applyNumberFormat="1" applyFont="1" applyFill="1" applyBorder="1" applyProtection="1">
      <alignment vertical="center"/>
      <protection locked="0" hidden="1"/>
    </xf>
    <xf numFmtId="183" fontId="0" fillId="0" borderId="234" xfId="0" applyNumberFormat="1" applyBorder="1" applyProtection="1">
      <alignment vertical="center"/>
      <protection hidden="1"/>
    </xf>
    <xf numFmtId="183" fontId="23" fillId="0" borderId="17" xfId="0" applyNumberFormat="1" applyFont="1" applyBorder="1" applyAlignment="1" applyProtection="1">
      <alignment horizontal="center" vertical="center"/>
      <protection hidden="1"/>
    </xf>
    <xf numFmtId="183" fontId="23" fillId="0" borderId="20" xfId="0" applyNumberFormat="1" applyFont="1" applyBorder="1" applyAlignment="1" applyProtection="1">
      <alignment horizontal="center" vertical="center"/>
      <protection hidden="1"/>
    </xf>
    <xf numFmtId="183" fontId="23" fillId="0" borderId="18" xfId="0" applyNumberFormat="1" applyFont="1" applyBorder="1" applyAlignment="1" applyProtection="1">
      <alignment horizontal="center" vertical="center"/>
      <protection hidden="1"/>
    </xf>
    <xf numFmtId="183" fontId="23" fillId="0" borderId="22" xfId="0" applyNumberFormat="1" applyFont="1" applyBorder="1" applyAlignment="1" applyProtection="1">
      <alignment horizontal="center" vertical="center"/>
      <protection hidden="1"/>
    </xf>
    <xf numFmtId="183" fontId="23" fillId="0" borderId="0" xfId="0" applyNumberFormat="1" applyFont="1" applyAlignment="1" applyProtection="1">
      <alignment horizontal="center" vertical="center"/>
      <protection hidden="1"/>
    </xf>
    <xf numFmtId="183" fontId="16" fillId="0" borderId="207" xfId="0" applyNumberFormat="1" applyFont="1" applyBorder="1" applyProtection="1">
      <alignment vertical="center"/>
      <protection locked="0" hidden="1"/>
    </xf>
    <xf numFmtId="183" fontId="11" fillId="15" borderId="235" xfId="0" applyNumberFormat="1" applyFont="1" applyFill="1" applyBorder="1" applyProtection="1">
      <alignment vertical="center"/>
      <protection locked="0" hidden="1"/>
    </xf>
    <xf numFmtId="183" fontId="23" fillId="0" borderId="236" xfId="0" applyNumberFormat="1" applyFont="1" applyBorder="1" applyAlignment="1" applyProtection="1">
      <alignment horizontal="center" vertical="center"/>
      <protection hidden="1"/>
    </xf>
    <xf numFmtId="183" fontId="23" fillId="0" borderId="237" xfId="0" applyNumberFormat="1" applyFont="1" applyBorder="1" applyAlignment="1" applyProtection="1">
      <alignment horizontal="center" vertical="center"/>
      <protection hidden="1"/>
    </xf>
    <xf numFmtId="183" fontId="23" fillId="0" borderId="238" xfId="0" applyNumberFormat="1" applyFont="1" applyBorder="1" applyAlignment="1" applyProtection="1">
      <alignment horizontal="center" vertical="center"/>
      <protection hidden="1"/>
    </xf>
    <xf numFmtId="183" fontId="90" fillId="0" borderId="223" xfId="0" applyNumberFormat="1" applyFont="1" applyBorder="1" applyAlignment="1" applyProtection="1">
      <alignment horizontal="right" vertical="center"/>
      <protection hidden="1"/>
    </xf>
    <xf numFmtId="185" fontId="91" fillId="0" borderId="2" xfId="0" applyNumberFormat="1" applyFont="1" applyBorder="1" applyProtection="1">
      <alignment vertical="center"/>
      <protection hidden="1"/>
    </xf>
    <xf numFmtId="183" fontId="91" fillId="0" borderId="217" xfId="0" applyNumberFormat="1" applyFont="1" applyBorder="1" applyProtection="1">
      <alignment vertical="center"/>
      <protection hidden="1"/>
    </xf>
    <xf numFmtId="183" fontId="93" fillId="15" borderId="2" xfId="0" applyNumberFormat="1" applyFont="1" applyFill="1" applyBorder="1" applyProtection="1">
      <alignment vertical="center"/>
      <protection locked="0" hidden="1"/>
    </xf>
    <xf numFmtId="183" fontId="0" fillId="0" borderId="240" xfId="0" applyNumberFormat="1" applyBorder="1" applyProtection="1">
      <alignment vertical="center"/>
      <protection hidden="1"/>
    </xf>
    <xf numFmtId="183" fontId="27" fillId="0" borderId="165" xfId="0" applyNumberFormat="1" applyFont="1" applyBorder="1" applyAlignment="1" applyProtection="1">
      <alignment horizontal="left" vertical="center" indent="1"/>
      <protection hidden="1"/>
    </xf>
    <xf numFmtId="183" fontId="12" fillId="0" borderId="89" xfId="0" applyNumberFormat="1" applyFont="1" applyBorder="1" applyAlignment="1" applyProtection="1">
      <alignment horizontal="right" vertical="center"/>
      <protection hidden="1"/>
    </xf>
    <xf numFmtId="183" fontId="0" fillId="0" borderId="188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locked="0" hidden="1"/>
    </xf>
    <xf numFmtId="183" fontId="93" fillId="15" borderId="148" xfId="0" applyNumberFormat="1" applyFont="1" applyFill="1" applyBorder="1" applyProtection="1">
      <alignment vertical="center"/>
      <protection locked="0" hidden="1"/>
    </xf>
    <xf numFmtId="183" fontId="27" fillId="0" borderId="241" xfId="0" applyNumberFormat="1" applyFont="1" applyBorder="1" applyAlignment="1" applyProtection="1">
      <alignment horizontal="left" vertical="center" indent="1"/>
      <protection hidden="1"/>
    </xf>
    <xf numFmtId="183" fontId="0" fillId="0" borderId="242" xfId="0" applyNumberFormat="1" applyBorder="1" applyAlignment="1" applyProtection="1">
      <alignment horizontal="center" vertical="center"/>
      <protection hidden="1"/>
    </xf>
    <xf numFmtId="183" fontId="12" fillId="0" borderId="243" xfId="0" applyNumberFormat="1" applyFont="1" applyBorder="1" applyAlignment="1" applyProtection="1">
      <alignment horizontal="right" vertical="center"/>
      <protection hidden="1"/>
    </xf>
    <xf numFmtId="183" fontId="90" fillId="0" borderId="225" xfId="0" applyNumberFormat="1" applyFont="1" applyBorder="1" applyAlignment="1" applyProtection="1">
      <alignment horizontal="right" vertical="center"/>
      <protection hidden="1"/>
    </xf>
    <xf numFmtId="186" fontId="91" fillId="0" borderId="220" xfId="0" applyNumberFormat="1" applyFont="1" applyBorder="1" applyProtection="1">
      <alignment vertical="center"/>
      <protection hidden="1"/>
    </xf>
    <xf numFmtId="183" fontId="91" fillId="0" borderId="221" xfId="0" applyNumberFormat="1" applyFont="1" applyBorder="1" applyProtection="1">
      <alignment vertical="center"/>
      <protection hidden="1"/>
    </xf>
    <xf numFmtId="183" fontId="93" fillId="15" borderId="220" xfId="0" applyNumberFormat="1" applyFont="1" applyFill="1" applyBorder="1" applyProtection="1">
      <alignment vertical="center"/>
      <protection locked="0" hidden="1"/>
    </xf>
    <xf numFmtId="183" fontId="0" fillId="0" borderId="245" xfId="0" applyNumberFormat="1" applyBorder="1" applyProtection="1">
      <alignment vertical="center"/>
      <protection hidden="1"/>
    </xf>
    <xf numFmtId="183" fontId="0" fillId="15" borderId="88" xfId="0" applyNumberFormat="1" applyFill="1" applyBorder="1" applyAlignment="1" applyProtection="1">
      <alignment horizontal="center" vertical="center"/>
      <protection locked="0" hidden="1"/>
    </xf>
    <xf numFmtId="183" fontId="12" fillId="0" borderId="89" xfId="0" applyNumberFormat="1" applyFont="1" applyBorder="1" applyProtection="1">
      <alignment vertical="center"/>
      <protection hidden="1"/>
    </xf>
    <xf numFmtId="183" fontId="16" fillId="0" borderId="246" xfId="0" applyNumberFormat="1" applyFont="1" applyBorder="1" applyProtection="1">
      <alignment vertical="center"/>
      <protection locked="0" hidden="1"/>
    </xf>
    <xf numFmtId="183" fontId="93" fillId="15" borderId="247" xfId="0" applyNumberFormat="1" applyFont="1" applyFill="1" applyBorder="1" applyProtection="1">
      <alignment vertical="center"/>
      <protection locked="0" hidden="1"/>
    </xf>
    <xf numFmtId="183" fontId="27" fillId="0" borderId="248" xfId="0" applyNumberFormat="1" applyFont="1" applyBorder="1" applyAlignment="1" applyProtection="1">
      <alignment horizontal="left" vertical="center" indent="1"/>
      <protection hidden="1"/>
    </xf>
    <xf numFmtId="183" fontId="12" fillId="0" borderId="251" xfId="0" applyNumberFormat="1" applyFont="1" applyBorder="1" applyAlignment="1" applyProtection="1">
      <alignment horizontal="center" vertical="center"/>
      <protection hidden="1"/>
    </xf>
    <xf numFmtId="183" fontId="11" fillId="15" borderId="252" xfId="0" applyNumberFormat="1" applyFont="1" applyFill="1" applyBorder="1" applyProtection="1">
      <alignment vertical="center"/>
      <protection locked="0" hidden="1"/>
    </xf>
    <xf numFmtId="183" fontId="0" fillId="0" borderId="253" xfId="0" applyNumberFormat="1" applyBorder="1" applyProtection="1">
      <alignment vertical="center"/>
      <protection hidden="1"/>
    </xf>
    <xf numFmtId="183" fontId="0" fillId="0" borderId="68" xfId="0" applyNumberFormat="1" applyBorder="1" applyAlignment="1" applyProtection="1">
      <alignment horizontal="left" vertical="center" indent="1"/>
      <protection hidden="1"/>
    </xf>
    <xf numFmtId="183" fontId="12" fillId="0" borderId="4" xfId="0" applyNumberFormat="1" applyFont="1" applyBorder="1" applyProtection="1">
      <alignment vertical="center"/>
      <protection hidden="1"/>
    </xf>
    <xf numFmtId="183" fontId="0" fillId="0" borderId="189" xfId="0" applyNumberFormat="1" applyBorder="1" applyProtection="1">
      <alignment vertical="center"/>
      <protection hidden="1"/>
    </xf>
    <xf numFmtId="183" fontId="0" fillId="0" borderId="256" xfId="0" applyNumberFormat="1" applyBorder="1" applyProtection="1">
      <alignment vertical="center"/>
      <protection hidden="1"/>
    </xf>
    <xf numFmtId="183" fontId="12" fillId="15" borderId="207" xfId="0" applyNumberFormat="1" applyFont="1" applyFill="1" applyBorder="1" applyAlignment="1" applyProtection="1">
      <alignment horizontal="center" vertical="center"/>
      <protection locked="0" hidden="1"/>
    </xf>
    <xf numFmtId="183" fontId="0" fillId="0" borderId="259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hidden="1"/>
    </xf>
    <xf numFmtId="183" fontId="0" fillId="0" borderId="4" xfId="0" applyNumberFormat="1" applyBorder="1" applyProtection="1">
      <alignment vertical="center"/>
      <protection hidden="1"/>
    </xf>
    <xf numFmtId="183" fontId="11" fillId="15" borderId="2" xfId="0" applyNumberFormat="1" applyFont="1" applyFill="1" applyBorder="1" applyProtection="1">
      <alignment vertical="center"/>
      <protection locked="0" hidden="1"/>
    </xf>
    <xf numFmtId="183" fontId="0" fillId="0" borderId="3" xfId="0" applyNumberFormat="1" applyBorder="1" applyProtection="1">
      <alignment vertical="center"/>
      <protection hidden="1"/>
    </xf>
    <xf numFmtId="183" fontId="12" fillId="0" borderId="2" xfId="0" applyNumberFormat="1" applyFont="1" applyBorder="1" applyProtection="1">
      <alignment vertical="center"/>
      <protection locked="0" hidden="1"/>
    </xf>
    <xf numFmtId="183" fontId="16" fillId="15" borderId="2" xfId="0" applyNumberFormat="1" applyFont="1" applyFill="1" applyBorder="1" applyProtection="1">
      <alignment vertical="center"/>
      <protection locked="0" hidden="1"/>
    </xf>
    <xf numFmtId="183" fontId="0" fillId="0" borderId="261" xfId="0" applyNumberFormat="1" applyBorder="1" applyProtection="1">
      <alignment vertical="center"/>
      <protection hidden="1"/>
    </xf>
    <xf numFmtId="183" fontId="11" fillId="0" borderId="248" xfId="0" applyNumberFormat="1" applyFont="1" applyBorder="1" applyAlignment="1" applyProtection="1">
      <alignment horizontal="left" vertical="center" indent="1"/>
      <protection hidden="1"/>
    </xf>
    <xf numFmtId="183" fontId="0" fillId="15" borderId="262" xfId="0" applyNumberFormat="1" applyFill="1" applyBorder="1" applyProtection="1">
      <alignment vertical="center"/>
      <protection locked="0" hidden="1"/>
    </xf>
    <xf numFmtId="183" fontId="0" fillId="15" borderId="40" xfId="0" applyNumberFormat="1" applyFill="1" applyBorder="1" applyAlignment="1" applyProtection="1">
      <alignment horizontal="center" vertical="center"/>
      <protection locked="0" hidden="1"/>
    </xf>
    <xf numFmtId="0" fontId="76" fillId="0" borderId="179" xfId="13" applyFont="1" applyBorder="1" applyAlignment="1" applyProtection="1">
      <alignment horizontal="center" vertical="center"/>
      <protection hidden="1"/>
    </xf>
    <xf numFmtId="183" fontId="3" fillId="0" borderId="2" xfId="0" applyNumberFormat="1" applyFont="1" applyBorder="1" applyAlignment="1" applyProtection="1">
      <alignment horizontal="center" vertical="center"/>
      <protection hidden="1"/>
    </xf>
    <xf numFmtId="183" fontId="10" fillId="0" borderId="263" xfId="0" applyNumberFormat="1" applyFont="1" applyBorder="1" applyAlignment="1" applyProtection="1">
      <alignment horizontal="left" vertical="center" indent="1"/>
      <protection hidden="1"/>
    </xf>
    <xf numFmtId="183" fontId="10" fillId="0" borderId="149" xfId="0" applyNumberFormat="1" applyFont="1" applyBorder="1" applyAlignment="1" applyProtection="1">
      <alignment horizontal="left" vertical="center" indent="1"/>
      <protection hidden="1"/>
    </xf>
    <xf numFmtId="183" fontId="10" fillId="0" borderId="39" xfId="0" applyNumberFormat="1" applyFont="1" applyBorder="1" applyAlignment="1" applyProtection="1">
      <alignment horizontal="left" vertical="center" indent="1"/>
      <protection hidden="1"/>
    </xf>
    <xf numFmtId="183" fontId="0" fillId="0" borderId="262" xfId="0" applyNumberFormat="1" applyBorder="1" applyAlignment="1" applyProtection="1">
      <alignment horizontal="left" vertical="center" indent="1"/>
      <protection locked="0" hidden="1"/>
    </xf>
    <xf numFmtId="183" fontId="0" fillId="0" borderId="259" xfId="0" applyNumberFormat="1" applyBorder="1" applyAlignment="1" applyProtection="1">
      <alignment horizontal="left" vertical="center" indent="1"/>
      <protection hidden="1"/>
    </xf>
    <xf numFmtId="183" fontId="0" fillId="0" borderId="180" xfId="0" applyNumberFormat="1" applyBorder="1" applyAlignment="1" applyProtection="1">
      <alignment horizontal="left" vertical="center" indent="1"/>
      <protection hidden="1"/>
    </xf>
    <xf numFmtId="183" fontId="0" fillId="0" borderId="39" xfId="0" applyNumberFormat="1" applyBorder="1" applyProtection="1">
      <alignment vertical="center"/>
      <protection hidden="1"/>
    </xf>
    <xf numFmtId="183" fontId="0" fillId="0" borderId="40" xfId="0" applyNumberFormat="1" applyBorder="1" applyProtection="1">
      <alignment vertical="center"/>
      <protection hidden="1"/>
    </xf>
    <xf numFmtId="183" fontId="0" fillId="0" borderId="264" xfId="0" applyNumberFormat="1" applyBorder="1" applyProtection="1">
      <alignment vertical="center"/>
      <protection hidden="1"/>
    </xf>
    <xf numFmtId="183" fontId="73" fillId="0" borderId="267" xfId="0" applyNumberFormat="1" applyFont="1" applyBorder="1" applyAlignment="1" applyProtection="1">
      <alignment horizontal="right" vertical="center" indent="1"/>
      <protection locked="0" hidden="1"/>
    </xf>
    <xf numFmtId="183" fontId="73" fillId="0" borderId="268" xfId="0" applyNumberFormat="1" applyFont="1" applyBorder="1" applyProtection="1">
      <alignment vertical="center"/>
      <protection hidden="1"/>
    </xf>
    <xf numFmtId="183" fontId="70" fillId="0" borderId="269" xfId="0" applyNumberFormat="1" applyFont="1" applyBorder="1" applyAlignment="1" applyProtection="1">
      <alignment horizontal="left" vertical="center" indent="1"/>
      <protection hidden="1"/>
    </xf>
    <xf numFmtId="183" fontId="70" fillId="0" borderId="270" xfId="0" applyNumberFormat="1" applyFont="1" applyBorder="1" applyProtection="1">
      <alignment vertical="center"/>
      <protection hidden="1"/>
    </xf>
    <xf numFmtId="183" fontId="70" fillId="0" borderId="271" xfId="0" applyNumberFormat="1" applyFont="1" applyBorder="1" applyProtection="1">
      <alignment vertical="center"/>
      <protection hidden="1"/>
    </xf>
    <xf numFmtId="183" fontId="70" fillId="0" borderId="275" xfId="0" applyNumberFormat="1" applyFont="1" applyBorder="1" applyAlignment="1" applyProtection="1">
      <alignment horizontal="left" vertical="center" indent="1"/>
      <protection hidden="1"/>
    </xf>
    <xf numFmtId="183" fontId="70" fillId="0" borderId="276" xfId="0" applyNumberFormat="1" applyFont="1" applyBorder="1" applyProtection="1">
      <alignment vertical="center"/>
      <protection hidden="1"/>
    </xf>
    <xf numFmtId="183" fontId="70" fillId="0" borderId="277" xfId="0" applyNumberFormat="1" applyFont="1" applyBorder="1" applyProtection="1">
      <alignment vertical="center"/>
      <protection hidden="1"/>
    </xf>
    <xf numFmtId="183" fontId="73" fillId="13" borderId="279" xfId="0" applyNumberFormat="1" applyFont="1" applyFill="1" applyBorder="1" applyProtection="1">
      <alignment vertical="center"/>
      <protection locked="0" hidden="1"/>
    </xf>
    <xf numFmtId="183" fontId="73" fillId="0" borderId="280" xfId="0" applyNumberFormat="1" applyFont="1" applyBorder="1" applyProtection="1">
      <alignment vertical="center"/>
      <protection hidden="1"/>
    </xf>
    <xf numFmtId="183" fontId="71" fillId="0" borderId="281" xfId="0" applyNumberFormat="1" applyFont="1" applyBorder="1" applyAlignment="1" applyProtection="1">
      <alignment horizontal="left" vertical="center" indent="1"/>
      <protection hidden="1"/>
    </xf>
    <xf numFmtId="183" fontId="71" fillId="0" borderId="279" xfId="0" applyNumberFormat="1" applyFont="1" applyBorder="1" applyProtection="1">
      <alignment vertical="center"/>
      <protection hidden="1"/>
    </xf>
    <xf numFmtId="183" fontId="71" fillId="0" borderId="282" xfId="0" applyNumberFormat="1" applyFont="1" applyBorder="1" applyProtection="1">
      <alignment vertical="center"/>
      <protection hidden="1"/>
    </xf>
    <xf numFmtId="183" fontId="71" fillId="0" borderId="285" xfId="0" applyNumberFormat="1" applyFont="1" applyBorder="1" applyAlignment="1" applyProtection="1">
      <alignment horizontal="left" vertical="center" indent="1"/>
      <protection hidden="1"/>
    </xf>
    <xf numFmtId="183" fontId="71" fillId="0" borderId="286" xfId="0" applyNumberFormat="1" applyFont="1" applyBorder="1" applyProtection="1">
      <alignment vertical="center"/>
      <protection hidden="1"/>
    </xf>
    <xf numFmtId="183" fontId="73" fillId="14" borderId="279" xfId="0" applyNumberFormat="1" applyFont="1" applyFill="1" applyBorder="1" applyProtection="1">
      <alignment vertical="center"/>
      <protection locked="0" hidden="1"/>
    </xf>
    <xf numFmtId="183" fontId="0" fillId="0" borderId="281" xfId="0" applyNumberFormat="1" applyBorder="1" applyAlignment="1" applyProtection="1">
      <alignment horizontal="left" vertical="center" indent="1"/>
      <protection hidden="1"/>
    </xf>
    <xf numFmtId="183" fontId="0" fillId="0" borderId="279" xfId="0" applyNumberFormat="1" applyBorder="1" applyProtection="1">
      <alignment vertical="center"/>
      <protection hidden="1"/>
    </xf>
    <xf numFmtId="183" fontId="0" fillId="0" borderId="282" xfId="0" applyNumberFormat="1" applyBorder="1" applyProtection="1">
      <alignment vertical="center"/>
      <protection hidden="1"/>
    </xf>
    <xf numFmtId="183" fontId="73" fillId="14" borderId="290" xfId="0" applyNumberFormat="1" applyFont="1" applyFill="1" applyBorder="1" applyProtection="1">
      <alignment vertical="center"/>
      <protection locked="0" hidden="1"/>
    </xf>
    <xf numFmtId="183" fontId="73" fillId="0" borderId="291" xfId="0" applyNumberFormat="1" applyFont="1" applyBorder="1" applyProtection="1">
      <alignment vertical="center"/>
      <protection hidden="1"/>
    </xf>
    <xf numFmtId="183" fontId="0" fillId="0" borderId="292" xfId="0" applyNumberFormat="1" applyBorder="1" applyAlignment="1" applyProtection="1">
      <alignment horizontal="left" vertical="center" indent="1"/>
      <protection hidden="1"/>
    </xf>
    <xf numFmtId="183" fontId="0" fillId="0" borderId="293" xfId="0" applyNumberFormat="1" applyBorder="1" applyProtection="1">
      <alignment vertical="center"/>
      <protection hidden="1"/>
    </xf>
    <xf numFmtId="183" fontId="0" fillId="0" borderId="294" xfId="0" applyNumberFormat="1" applyBorder="1" applyProtection="1">
      <alignment vertical="center"/>
      <protection hidden="1"/>
    </xf>
    <xf numFmtId="183" fontId="0" fillId="0" borderId="298" xfId="0" applyNumberFormat="1" applyBorder="1" applyAlignment="1" applyProtection="1">
      <alignment horizontal="left" vertical="center" indent="1"/>
      <protection hidden="1"/>
    </xf>
    <xf numFmtId="183" fontId="0" fillId="0" borderId="299" xfId="0" applyNumberFormat="1" applyBorder="1" applyProtection="1">
      <alignment vertical="center"/>
      <protection hidden="1"/>
    </xf>
    <xf numFmtId="183" fontId="0" fillId="0" borderId="300" xfId="0" applyNumberFormat="1" applyBorder="1" applyProtection="1">
      <alignment vertical="center"/>
      <protection hidden="1"/>
    </xf>
    <xf numFmtId="0" fontId="0" fillId="0" borderId="301" xfId="0" applyBorder="1" applyAlignment="1">
      <alignment horizontal="center" vertical="center"/>
    </xf>
    <xf numFmtId="0" fontId="0" fillId="0" borderId="301" xfId="0" applyBorder="1">
      <alignment vertical="center"/>
    </xf>
    <xf numFmtId="0" fontId="23" fillId="0" borderId="0" xfId="0" applyFont="1" applyBorder="1" applyProtection="1">
      <alignment vertical="center"/>
      <protection hidden="1"/>
    </xf>
    <xf numFmtId="0" fontId="80" fillId="0" borderId="33" xfId="13" applyFont="1" applyBorder="1" applyAlignment="1" applyProtection="1">
      <alignment horizontal="center" vertical="center"/>
      <protection hidden="1"/>
    </xf>
    <xf numFmtId="0" fontId="80" fillId="0" borderId="304" xfId="14" applyFont="1" applyBorder="1" applyAlignment="1" applyProtection="1">
      <alignment horizontal="center" vertical="center" readingOrder="1"/>
    </xf>
    <xf numFmtId="0" fontId="0" fillId="0" borderId="305" xfId="0" applyBorder="1" applyAlignment="1" applyProtection="1">
      <alignment horizontal="left" vertical="center" indent="1"/>
      <protection hidden="1"/>
    </xf>
    <xf numFmtId="176" fontId="0" fillId="0" borderId="76" xfId="0" applyNumberFormat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177" fontId="21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4" fillId="0" borderId="0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indent="1"/>
    </xf>
    <xf numFmtId="0" fontId="101" fillId="0" borderId="0" xfId="13" applyFont="1" applyBorder="1" applyAlignment="1">
      <alignment vertical="center"/>
    </xf>
    <xf numFmtId="0" fontId="66" fillId="0" borderId="40" xfId="0" applyFont="1" applyBorder="1" applyAlignment="1">
      <alignment horizontal="justify" vertical="center"/>
    </xf>
    <xf numFmtId="0" fontId="66" fillId="0" borderId="190" xfId="0" applyFont="1" applyBorder="1" applyAlignment="1">
      <alignment horizontal="justify" vertical="center"/>
    </xf>
    <xf numFmtId="0" fontId="11" fillId="0" borderId="190" xfId="0" applyFont="1" applyBorder="1" applyAlignment="1">
      <alignment horizontal="justify" vertical="center"/>
    </xf>
    <xf numFmtId="0" fontId="10" fillId="0" borderId="190" xfId="0" applyFont="1" applyBorder="1">
      <alignment vertical="center"/>
    </xf>
    <xf numFmtId="0" fontId="10" fillId="0" borderId="190" xfId="0" applyFont="1" applyBorder="1" applyAlignment="1">
      <alignment horizontal="center" vertical="center"/>
    </xf>
    <xf numFmtId="0" fontId="14" fillId="0" borderId="190" xfId="0" applyFont="1" applyBorder="1">
      <alignment vertical="center"/>
    </xf>
    <xf numFmtId="0" fontId="96" fillId="0" borderId="190" xfId="13" applyFont="1" applyBorder="1" applyAlignment="1">
      <alignment vertical="center"/>
    </xf>
    <xf numFmtId="0" fontId="107" fillId="0" borderId="190" xfId="0" applyFont="1" applyBorder="1">
      <alignment vertical="center"/>
    </xf>
    <xf numFmtId="0" fontId="67" fillId="0" borderId="190" xfId="0" applyFont="1" applyBorder="1">
      <alignment vertical="center"/>
    </xf>
    <xf numFmtId="0" fontId="67" fillId="0" borderId="190" xfId="0" applyFont="1" applyBorder="1" applyAlignment="1">
      <alignment horizontal="justify" vertical="center" wrapText="1"/>
    </xf>
    <xf numFmtId="0" fontId="106" fillId="0" borderId="190" xfId="0" applyFont="1" applyBorder="1" applyAlignment="1">
      <alignment horizontal="left" vertical="center" wrapText="1"/>
    </xf>
    <xf numFmtId="0" fontId="111" fillId="0" borderId="190" xfId="0" applyFont="1" applyBorder="1" applyAlignment="1">
      <alignment horizontal="center" vertical="center" wrapText="1"/>
    </xf>
    <xf numFmtId="0" fontId="10" fillId="0" borderId="89" xfId="0" applyFont="1" applyBorder="1">
      <alignment vertical="center"/>
    </xf>
    <xf numFmtId="0" fontId="112" fillId="0" borderId="0" xfId="0" applyFont="1" applyAlignment="1" applyProtection="1">
      <alignment horizontal="left" vertical="center" indent="1"/>
      <protection hidden="1"/>
    </xf>
    <xf numFmtId="0" fontId="113" fillId="0" borderId="0" xfId="0" applyFont="1" applyAlignment="1" applyProtection="1">
      <alignment vertical="top"/>
      <protection hidden="1"/>
    </xf>
    <xf numFmtId="0" fontId="30" fillId="0" borderId="241" xfId="0" applyFont="1" applyBorder="1" applyAlignment="1" applyProtection="1">
      <alignment horizontal="left" vertical="center" indent="1"/>
      <protection hidden="1"/>
    </xf>
    <xf numFmtId="185" fontId="30" fillId="17" borderId="243" xfId="0" applyNumberFormat="1" applyFont="1" applyFill="1" applyBorder="1" applyProtection="1">
      <alignment vertical="center"/>
      <protection locked="0" hidden="1"/>
    </xf>
    <xf numFmtId="0" fontId="115" fillId="0" borderId="244" xfId="0" applyFont="1" applyBorder="1" applyProtection="1">
      <alignment vertical="center"/>
      <protection hidden="1"/>
    </xf>
    <xf numFmtId="187" fontId="0" fillId="0" borderId="0" xfId="0" applyNumberFormat="1" applyProtection="1">
      <alignment vertical="center"/>
      <protection hidden="1"/>
    </xf>
    <xf numFmtId="0" fontId="23" fillId="0" borderId="308" xfId="0" applyFont="1" applyBorder="1" applyAlignment="1" applyProtection="1">
      <alignment horizontal="center" vertical="center"/>
      <protection hidden="1"/>
    </xf>
    <xf numFmtId="0" fontId="23" fillId="0" borderId="309" xfId="0" applyFont="1" applyBorder="1" applyAlignment="1" applyProtection="1">
      <alignment horizontal="center" vertical="center"/>
      <protection hidden="1"/>
    </xf>
    <xf numFmtId="0" fontId="23" fillId="0" borderId="310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Protection="1">
      <alignment vertical="center"/>
      <protection hidden="1"/>
    </xf>
    <xf numFmtId="0" fontId="30" fillId="0" borderId="311" xfId="0" applyFont="1" applyBorder="1" applyAlignment="1" applyProtection="1">
      <alignment horizontal="left" vertical="center" indent="1"/>
      <protection hidden="1"/>
    </xf>
    <xf numFmtId="185" fontId="30" fillId="17" borderId="4" xfId="0" applyNumberFormat="1" applyFont="1" applyFill="1" applyBorder="1" applyProtection="1">
      <alignment vertical="center"/>
      <protection locked="0" hidden="1"/>
    </xf>
    <xf numFmtId="0" fontId="115" fillId="0" borderId="256" xfId="0" applyFont="1" applyBorder="1" applyProtection="1">
      <alignment vertical="center"/>
      <protection hidden="1"/>
    </xf>
    <xf numFmtId="183" fontId="117" fillId="0" borderId="68" xfId="0" applyNumberFormat="1" applyFont="1" applyBorder="1" applyAlignment="1" applyProtection="1">
      <alignment horizontal="left" vertical="center" indent="1"/>
      <protection hidden="1"/>
    </xf>
    <xf numFmtId="183" fontId="37" fillId="0" borderId="4" xfId="0" applyNumberFormat="1" applyFont="1" applyBorder="1" applyAlignment="1" applyProtection="1">
      <alignment horizontal="center" vertical="center"/>
      <protection hidden="1"/>
    </xf>
    <xf numFmtId="183" fontId="117" fillId="0" borderId="4" xfId="0" applyNumberFormat="1" applyFont="1" applyBorder="1" applyAlignment="1" applyProtection="1">
      <alignment horizontal="right" vertical="center"/>
      <protection hidden="1"/>
    </xf>
    <xf numFmtId="183" fontId="37" fillId="0" borderId="189" xfId="0" applyNumberFormat="1" applyFont="1" applyBorder="1" applyProtection="1">
      <alignment vertical="center"/>
      <protection hidden="1"/>
    </xf>
    <xf numFmtId="183" fontId="115" fillId="0" borderId="68" xfId="0" applyNumberFormat="1" applyFont="1" applyBorder="1" applyAlignment="1" applyProtection="1">
      <alignment horizontal="left" vertical="center" indent="1"/>
      <protection hidden="1"/>
    </xf>
    <xf numFmtId="0" fontId="30" fillId="0" borderId="312" xfId="0" applyFont="1" applyBorder="1" applyAlignment="1" applyProtection="1">
      <alignment horizontal="left" vertical="center" indent="1"/>
      <protection hidden="1"/>
    </xf>
    <xf numFmtId="185" fontId="30" fillId="17" borderId="313" xfId="0" applyNumberFormat="1" applyFont="1" applyFill="1" applyBorder="1" applyProtection="1">
      <alignment vertical="center"/>
      <protection locked="0" hidden="1"/>
    </xf>
    <xf numFmtId="0" fontId="115" fillId="0" borderId="314" xfId="0" applyFont="1" applyBorder="1" applyProtection="1">
      <alignment vertical="center"/>
      <protection hidden="1"/>
    </xf>
    <xf numFmtId="183" fontId="30" fillId="0" borderId="213" xfId="0" applyNumberFormat="1" applyFont="1" applyBorder="1" applyAlignment="1" applyProtection="1">
      <alignment horizontal="left" vertical="center" indent="1"/>
      <protection hidden="1"/>
    </xf>
    <xf numFmtId="185" fontId="30" fillId="0" borderId="89" xfId="0" applyNumberFormat="1" applyFont="1" applyBorder="1" applyProtection="1">
      <alignment vertical="center"/>
      <protection hidden="1"/>
    </xf>
    <xf numFmtId="0" fontId="115" fillId="0" borderId="261" xfId="0" applyFont="1" applyBorder="1" applyProtection="1">
      <alignment vertical="center"/>
      <protection hidden="1"/>
    </xf>
    <xf numFmtId="183" fontId="12" fillId="0" borderId="0" xfId="0" applyNumberFormat="1" applyFont="1" applyAlignment="1" applyProtection="1">
      <alignment horizontal="left" vertical="center" indent="1"/>
      <protection hidden="1"/>
    </xf>
    <xf numFmtId="183" fontId="11" fillId="0" borderId="0" xfId="0" applyNumberFormat="1" applyFont="1" applyProtection="1">
      <alignment vertical="center"/>
      <protection locked="0" hidden="1"/>
    </xf>
    <xf numFmtId="183" fontId="3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15" borderId="4" xfId="0" applyNumberFormat="1" applyFont="1" applyFill="1" applyBorder="1" applyProtection="1">
      <alignment vertical="center"/>
      <protection locked="0" hidden="1"/>
    </xf>
    <xf numFmtId="183" fontId="115" fillId="0" borderId="240" xfId="0" applyNumberFormat="1" applyFont="1" applyBorder="1" applyProtection="1">
      <alignment vertical="center"/>
      <protection hidden="1"/>
    </xf>
    <xf numFmtId="183" fontId="30" fillId="0" borderId="223" xfId="0" applyNumberFormat="1" applyFont="1" applyBorder="1" applyAlignment="1" applyProtection="1">
      <alignment horizontal="left" vertical="center" indent="1"/>
      <protection hidden="1"/>
    </xf>
    <xf numFmtId="183" fontId="10" fillId="0" borderId="0" xfId="0" applyNumberFormat="1" applyFont="1" applyProtection="1">
      <alignment vertical="center"/>
      <protection hidden="1"/>
    </xf>
    <xf numFmtId="183" fontId="115" fillId="0" borderId="4" xfId="0" applyNumberFormat="1" applyFont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locked="0" hidden="1"/>
    </xf>
    <xf numFmtId="183" fontId="115" fillId="34" borderId="4" xfId="0" applyNumberFormat="1" applyFont="1" applyFill="1" applyBorder="1" applyProtection="1">
      <alignment vertical="center"/>
      <protection locked="0" hidden="1"/>
    </xf>
    <xf numFmtId="186" fontId="0" fillId="0" borderId="0" xfId="0" applyNumberFormat="1" applyProtection="1">
      <alignment vertical="center"/>
      <protection hidden="1"/>
    </xf>
    <xf numFmtId="183" fontId="30" fillId="0" borderId="68" xfId="0" applyNumberFormat="1" applyFont="1" applyBorder="1" applyAlignment="1" applyProtection="1">
      <alignment horizontal="left" vertical="center" indent="1"/>
      <protection hidden="1"/>
    </xf>
    <xf numFmtId="183" fontId="30" fillId="0" borderId="4" xfId="0" applyNumberFormat="1" applyFont="1" applyBorder="1" applyAlignment="1" applyProtection="1">
      <alignment horizontal="center" vertical="center"/>
      <protection hidden="1"/>
    </xf>
    <xf numFmtId="183" fontId="30" fillId="0" borderId="4" xfId="0" applyNumberFormat="1" applyFont="1" applyBorder="1" applyAlignment="1" applyProtection="1">
      <alignment horizontal="right" vertical="center"/>
      <protection hidden="1"/>
    </xf>
    <xf numFmtId="183" fontId="115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4" borderId="40" xfId="0" applyNumberFormat="1" applyFont="1" applyFill="1" applyBorder="1" applyProtection="1">
      <alignment vertical="center"/>
      <protection locked="0" hidden="1"/>
    </xf>
    <xf numFmtId="183" fontId="115" fillId="0" borderId="259" xfId="0" applyNumberFormat="1" applyFont="1" applyBorder="1" applyProtection="1">
      <alignment vertical="center"/>
      <protection hidden="1"/>
    </xf>
    <xf numFmtId="186" fontId="11" fillId="0" borderId="0" xfId="0" applyNumberFormat="1" applyFont="1" applyProtection="1">
      <alignment vertical="center"/>
      <protection hidden="1"/>
    </xf>
    <xf numFmtId="0" fontId="115" fillId="0" borderId="206" xfId="0" applyFont="1" applyBorder="1" applyProtection="1">
      <alignment vertical="center"/>
      <protection hidden="1"/>
    </xf>
    <xf numFmtId="0" fontId="115" fillId="0" borderId="207" xfId="0" applyFont="1" applyBorder="1" applyProtection="1">
      <alignment vertical="center"/>
      <protection hidden="1"/>
    </xf>
    <xf numFmtId="0" fontId="115" fillId="0" borderId="234" xfId="0" applyFont="1" applyBorder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185" fontId="11" fillId="0" borderId="0" xfId="0" applyNumberFormat="1" applyFont="1" applyProtection="1">
      <alignment vertical="center"/>
      <protection hidden="1"/>
    </xf>
    <xf numFmtId="0" fontId="115" fillId="0" borderId="223" xfId="0" applyFont="1" applyBorder="1" applyProtection="1">
      <alignment vertical="center"/>
      <protection hidden="1"/>
    </xf>
    <xf numFmtId="0" fontId="115" fillId="0" borderId="240" xfId="0" applyFont="1" applyBorder="1" applyAlignment="1" applyProtection="1">
      <alignment horizontal="right" vertical="center" indent="1"/>
      <protection hidden="1"/>
    </xf>
    <xf numFmtId="185" fontId="11" fillId="0" borderId="0" xfId="0" applyNumberFormat="1" applyFont="1" applyProtection="1">
      <alignment vertical="center"/>
      <protection locked="0" hidden="1"/>
    </xf>
    <xf numFmtId="183" fontId="119" fillId="0" borderId="4" xfId="0" applyNumberFormat="1" applyFont="1" applyBorder="1" applyAlignment="1" applyProtection="1">
      <alignment horizontal="right" vertical="center"/>
      <protection hidden="1"/>
    </xf>
    <xf numFmtId="183" fontId="30" fillId="0" borderId="206" xfId="0" applyNumberFormat="1" applyFont="1" applyBorder="1" applyAlignment="1" applyProtection="1">
      <alignment horizontal="left" vertical="center" indent="1"/>
      <protection hidden="1"/>
    </xf>
    <xf numFmtId="183" fontId="115" fillId="0" borderId="207" xfId="0" applyNumberFormat="1" applyFont="1" applyBorder="1" applyProtection="1">
      <alignment vertical="center"/>
      <protection hidden="1"/>
    </xf>
    <xf numFmtId="183" fontId="115" fillId="0" borderId="234" xfId="0" applyNumberFormat="1" applyFont="1" applyBorder="1" applyProtection="1">
      <alignment vertical="center"/>
      <protection hidden="1"/>
    </xf>
    <xf numFmtId="183" fontId="0" fillId="0" borderId="0" xfId="0" applyNumberFormat="1" applyProtection="1">
      <alignment vertical="center"/>
      <protection locked="0" hidden="1"/>
    </xf>
    <xf numFmtId="183" fontId="119" fillId="13" borderId="4" xfId="0" applyNumberFormat="1" applyFont="1" applyFill="1" applyBorder="1" applyProtection="1">
      <alignment vertical="center"/>
      <protection locked="0" hidden="1"/>
    </xf>
    <xf numFmtId="183" fontId="16" fillId="0" borderId="0" xfId="0" applyNumberFormat="1" applyFont="1" applyAlignment="1" applyProtection="1">
      <alignment horizontal="left" vertical="center" indent="1"/>
      <protection hidden="1"/>
    </xf>
    <xf numFmtId="183" fontId="120" fillId="0" borderId="223" xfId="0" applyNumberFormat="1" applyFont="1" applyBorder="1" applyAlignment="1" applyProtection="1">
      <alignment horizontal="left" vertical="center" indent="1"/>
      <protection hidden="1"/>
    </xf>
    <xf numFmtId="186" fontId="115" fillId="0" borderId="4" xfId="0" applyNumberFormat="1" applyFont="1" applyBorder="1" applyProtection="1">
      <alignment vertical="center"/>
      <protection hidden="1"/>
    </xf>
    <xf numFmtId="185" fontId="3" fillId="0" borderId="0" xfId="0" applyNumberFormat="1" applyFont="1" applyAlignment="1" applyProtection="1">
      <alignment horizontal="center" vertical="center"/>
      <protection hidden="1"/>
    </xf>
    <xf numFmtId="183" fontId="115" fillId="0" borderId="180" xfId="0" applyNumberFormat="1" applyFont="1" applyBorder="1" applyAlignment="1" applyProtection="1">
      <alignment horizontal="left" vertical="center" indent="1"/>
      <protection hidden="1"/>
    </xf>
    <xf numFmtId="183" fontId="115" fillId="0" borderId="40" xfId="0" applyNumberFormat="1" applyFont="1" applyBorder="1" applyProtection="1">
      <alignment vertical="center"/>
      <protection hidden="1"/>
    </xf>
    <xf numFmtId="183" fontId="115" fillId="0" borderId="40" xfId="0" applyNumberFormat="1" applyFont="1" applyBorder="1" applyAlignment="1" applyProtection="1">
      <alignment horizontal="right" vertical="center"/>
      <protection hidden="1"/>
    </xf>
    <xf numFmtId="183" fontId="37" fillId="0" borderId="264" xfId="0" applyNumberFormat="1" applyFont="1" applyBorder="1" applyProtection="1">
      <alignment vertical="center"/>
      <protection hidden="1"/>
    </xf>
    <xf numFmtId="183" fontId="11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23" borderId="225" xfId="0" applyNumberFormat="1" applyFont="1" applyFill="1" applyBorder="1" applyAlignment="1" applyProtection="1">
      <alignment horizontal="left" vertical="center" indent="1"/>
      <protection hidden="1"/>
    </xf>
    <xf numFmtId="186" fontId="39" fillId="23" borderId="246" xfId="0" applyNumberFormat="1" applyFont="1" applyFill="1" applyBorder="1" applyProtection="1">
      <alignment vertical="center"/>
      <protection hidden="1"/>
    </xf>
    <xf numFmtId="183" fontId="119" fillId="23" borderId="245" xfId="0" applyNumberFormat="1" applyFont="1" applyFill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hidden="1"/>
    </xf>
    <xf numFmtId="183" fontId="115" fillId="0" borderId="53" xfId="0" applyNumberFormat="1" applyFont="1" applyBorder="1" applyAlignment="1" applyProtection="1">
      <alignment horizontal="left" vertical="center" indent="1"/>
      <protection hidden="1"/>
    </xf>
    <xf numFmtId="183" fontId="115" fillId="0" borderId="36" xfId="0" applyNumberFormat="1" applyFont="1" applyBorder="1" applyProtection="1">
      <alignment vertical="center"/>
      <protection hidden="1"/>
    </xf>
    <xf numFmtId="183" fontId="115" fillId="0" borderId="36" xfId="0" applyNumberFormat="1" applyFont="1" applyBorder="1" applyAlignment="1" applyProtection="1">
      <alignment horizontal="right" vertical="center"/>
      <protection hidden="1"/>
    </xf>
    <xf numFmtId="183" fontId="115" fillId="0" borderId="192" xfId="0" applyNumberFormat="1" applyFont="1" applyBorder="1" applyProtection="1">
      <alignment vertical="center"/>
      <protection hidden="1"/>
    </xf>
    <xf numFmtId="0" fontId="112" fillId="0" borderId="316" xfId="0" applyFont="1" applyBorder="1" applyAlignment="1" applyProtection="1">
      <alignment horizontal="left" vertical="center" indent="1"/>
      <protection hidden="1"/>
    </xf>
    <xf numFmtId="0" fontId="0" fillId="0" borderId="316" xfId="0" applyBorder="1" applyProtection="1">
      <alignment vertical="center"/>
      <protection hidden="1"/>
    </xf>
    <xf numFmtId="0" fontId="0" fillId="0" borderId="316" xfId="0" applyBorder="1" applyAlignment="1" applyProtection="1">
      <alignment horizontal="right" vertical="center" indent="1"/>
      <protection hidden="1"/>
    </xf>
    <xf numFmtId="183" fontId="23" fillId="0" borderId="316" xfId="0" applyNumberFormat="1" applyFont="1" applyBorder="1" applyAlignment="1" applyProtection="1">
      <alignment horizontal="left" vertical="center" indent="1"/>
      <protection hidden="1"/>
    </xf>
    <xf numFmtId="186" fontId="0" fillId="0" borderId="316" xfId="0" applyNumberFormat="1" applyBorder="1" applyProtection="1">
      <alignment vertical="center"/>
      <protection hidden="1"/>
    </xf>
    <xf numFmtId="183" fontId="0" fillId="0" borderId="316" xfId="0" applyNumberFormat="1" applyBorder="1" applyProtection="1">
      <alignment vertical="center"/>
      <protection hidden="1"/>
    </xf>
    <xf numFmtId="0" fontId="11" fillId="0" borderId="0" xfId="0" applyFont="1">
      <alignment vertical="center"/>
    </xf>
    <xf numFmtId="0" fontId="106" fillId="0" borderId="0" xfId="0" applyFont="1">
      <alignment vertical="center"/>
    </xf>
    <xf numFmtId="183" fontId="118" fillId="0" borderId="223" xfId="0" applyNumberFormat="1" applyFont="1" applyBorder="1" applyAlignment="1" applyProtection="1">
      <alignment horizontal="left" vertical="center" indent="1"/>
      <protection hidden="1"/>
    </xf>
    <xf numFmtId="183" fontId="30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locked="0" hidden="1"/>
    </xf>
    <xf numFmtId="183" fontId="30" fillId="0" borderId="165" xfId="0" applyNumberFormat="1" applyFont="1" applyBorder="1" applyAlignment="1" applyProtection="1">
      <alignment horizontal="left" vertical="center" indent="1"/>
      <protection hidden="1"/>
    </xf>
    <xf numFmtId="183" fontId="30" fillId="0" borderId="88" xfId="0" applyNumberFormat="1" applyFont="1" applyBorder="1" applyAlignment="1" applyProtection="1">
      <alignment horizontal="center" vertical="center"/>
      <protection hidden="1"/>
    </xf>
    <xf numFmtId="183" fontId="30" fillId="0" borderId="88" xfId="0" applyNumberFormat="1" applyFont="1" applyBorder="1" applyAlignment="1" applyProtection="1">
      <alignment horizontal="right" vertical="center"/>
      <protection hidden="1"/>
    </xf>
    <xf numFmtId="183" fontId="30" fillId="0" borderId="188" xfId="0" applyNumberFormat="1" applyFont="1" applyBorder="1" applyProtection="1">
      <alignment vertical="center"/>
      <protection hidden="1"/>
    </xf>
    <xf numFmtId="183" fontId="30" fillId="15" borderId="4" xfId="0" applyNumberFormat="1" applyFont="1" applyFill="1" applyBorder="1" applyProtection="1">
      <alignment vertical="center"/>
      <protection locked="0" hidden="1"/>
    </xf>
    <xf numFmtId="183" fontId="30" fillId="0" borderId="3" xfId="0" applyNumberFormat="1" applyFont="1" applyBorder="1" applyAlignment="1" applyProtection="1">
      <alignment horizontal="center" vertical="center"/>
      <protection hidden="1"/>
    </xf>
    <xf numFmtId="183" fontId="30" fillId="0" borderId="189" xfId="0" applyNumberFormat="1" applyFont="1" applyBorder="1" applyProtection="1">
      <alignment vertical="center"/>
      <protection hidden="1"/>
    </xf>
    <xf numFmtId="0" fontId="23" fillId="0" borderId="0" xfId="0" applyFont="1">
      <alignment vertical="center"/>
    </xf>
    <xf numFmtId="183" fontId="115" fillId="15" borderId="2" xfId="0" applyNumberFormat="1" applyFont="1" applyFill="1" applyBorder="1" applyProtection="1">
      <alignment vertical="center"/>
      <protection locked="0" hidden="1"/>
    </xf>
    <xf numFmtId="183" fontId="115" fillId="0" borderId="223" xfId="0" applyNumberFormat="1" applyFont="1" applyBorder="1" applyAlignment="1" applyProtection="1">
      <alignment horizontal="left" vertical="center" indent="1"/>
      <protection hidden="1"/>
    </xf>
    <xf numFmtId="183" fontId="115" fillId="14" borderId="4" xfId="0" applyNumberFormat="1" applyFont="1" applyFill="1" applyBorder="1" applyProtection="1">
      <alignment vertical="center"/>
      <protection locked="0" hidden="1"/>
    </xf>
    <xf numFmtId="183" fontId="39" fillId="0" borderId="4" xfId="0" applyNumberFormat="1" applyFont="1" applyBorder="1" applyAlignment="1" applyProtection="1">
      <alignment horizontal="right" vertical="center"/>
      <protection hidden="1"/>
    </xf>
    <xf numFmtId="183" fontId="23" fillId="0" borderId="0" xfId="0" applyNumberFormat="1" applyFont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hidden="1"/>
    </xf>
    <xf numFmtId="0" fontId="0" fillId="0" borderId="22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240" xfId="0" applyBorder="1" applyAlignment="1" applyProtection="1">
      <alignment horizontal="right" vertical="center" indent="1"/>
      <protection hidden="1"/>
    </xf>
    <xf numFmtId="183" fontId="115" fillId="0" borderId="89" xfId="0" applyNumberFormat="1" applyFont="1" applyBorder="1" applyProtection="1">
      <alignment vertical="center"/>
      <protection hidden="1"/>
    </xf>
    <xf numFmtId="183" fontId="115" fillId="0" borderId="261" xfId="0" applyNumberFormat="1" applyFont="1" applyBorder="1" applyProtection="1">
      <alignment vertical="center"/>
      <protection hidden="1"/>
    </xf>
    <xf numFmtId="183" fontId="30" fillId="0" borderId="180" xfId="0" applyNumberFormat="1" applyFont="1" applyBorder="1" applyAlignment="1" applyProtection="1">
      <alignment horizontal="left" vertical="center" indent="1"/>
      <protection hidden="1"/>
    </xf>
    <xf numFmtId="183" fontId="37" fillId="0" borderId="40" xfId="0" applyNumberFormat="1" applyFont="1" applyBorder="1" applyAlignment="1" applyProtection="1">
      <alignment horizontal="center" vertical="center"/>
      <protection hidden="1"/>
    </xf>
    <xf numFmtId="183" fontId="117" fillId="0" borderId="40" xfId="0" applyNumberFormat="1" applyFont="1" applyBorder="1" applyAlignment="1" applyProtection="1">
      <alignment horizontal="right" vertical="center"/>
      <protection hidden="1"/>
    </xf>
    <xf numFmtId="183" fontId="39" fillId="0" borderId="0" xfId="0" applyNumberFormat="1" applyFont="1" applyAlignment="1" applyProtection="1">
      <alignment horizontal="left" vertical="center" indent="1"/>
      <protection hidden="1"/>
    </xf>
    <xf numFmtId="186" fontId="39" fillId="0" borderId="0" xfId="0" applyNumberFormat="1" applyFont="1" applyProtection="1">
      <alignment vertical="center"/>
      <protection hidden="1"/>
    </xf>
    <xf numFmtId="183" fontId="119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Alignment="1" applyProtection="1">
      <alignment horizontal="right" vertical="center"/>
      <protection hidden="1"/>
    </xf>
    <xf numFmtId="183" fontId="115" fillId="34" borderId="40" xfId="0" applyNumberFormat="1" applyFont="1" applyFill="1" applyBorder="1" applyProtection="1">
      <alignment vertical="center"/>
      <protection locked="0" hidden="1"/>
    </xf>
    <xf numFmtId="183" fontId="115" fillId="0" borderId="189" xfId="0" applyNumberFormat="1" applyFont="1" applyBorder="1" applyProtection="1">
      <alignment vertical="center"/>
      <protection hidden="1"/>
    </xf>
    <xf numFmtId="183" fontId="115" fillId="0" borderId="89" xfId="0" applyNumberFormat="1" applyFont="1" applyBorder="1" applyAlignment="1" applyProtection="1">
      <alignment horizontal="center" vertical="center"/>
      <protection hidden="1"/>
    </xf>
    <xf numFmtId="183" fontId="30" fillId="0" borderId="89" xfId="0" applyNumberFormat="1" applyFont="1" applyBorder="1" applyAlignment="1" applyProtection="1">
      <alignment horizontal="right" vertical="center"/>
      <protection hidden="1"/>
    </xf>
    <xf numFmtId="183" fontId="115" fillId="0" borderId="188" xfId="0" applyNumberFormat="1" applyFont="1" applyBorder="1" applyProtection="1">
      <alignment vertical="center"/>
      <protection hidden="1"/>
    </xf>
    <xf numFmtId="0" fontId="0" fillId="0" borderId="55" xfId="0" applyBorder="1">
      <alignment vertical="center"/>
    </xf>
    <xf numFmtId="189" fontId="0" fillId="0" borderId="0" xfId="0" applyNumberFormat="1">
      <alignment vertical="center"/>
    </xf>
    <xf numFmtId="0" fontId="124" fillId="0" borderId="4" xfId="0" applyFont="1" applyBorder="1" applyAlignment="1">
      <alignment horizontal="center" vertical="center" wrapText="1"/>
    </xf>
    <xf numFmtId="3" fontId="125" fillId="0" borderId="4" xfId="0" applyNumberFormat="1" applyFont="1" applyBorder="1" applyAlignment="1">
      <alignment horizontal="center" vertical="center" wrapText="1"/>
    </xf>
    <xf numFmtId="0" fontId="125" fillId="0" borderId="4" xfId="0" applyFont="1" applyBorder="1" applyAlignment="1">
      <alignment horizontal="center" vertical="center" wrapText="1"/>
    </xf>
    <xf numFmtId="0" fontId="126" fillId="27" borderId="4" xfId="0" applyFont="1" applyFill="1" applyBorder="1" applyAlignment="1">
      <alignment horizontal="center" wrapText="1"/>
    </xf>
    <xf numFmtId="0" fontId="126" fillId="28" borderId="4" xfId="0" applyFont="1" applyFill="1" applyBorder="1" applyAlignment="1">
      <alignment horizontal="center" wrapText="1"/>
    </xf>
    <xf numFmtId="0" fontId="126" fillId="29" borderId="4" xfId="0" applyFont="1" applyFill="1" applyBorder="1" applyAlignment="1">
      <alignment horizontal="center" wrapText="1"/>
    </xf>
    <xf numFmtId="0" fontId="45" fillId="26" borderId="132" xfId="0" applyFont="1" applyFill="1" applyBorder="1" applyAlignment="1">
      <alignment horizontal="center" wrapText="1"/>
    </xf>
    <xf numFmtId="0" fontId="12" fillId="26" borderId="85" xfId="0" applyFont="1" applyFill="1" applyBorder="1" applyAlignment="1" applyProtection="1">
      <alignment horizontal="center" vertical="center"/>
      <protection hidden="1"/>
    </xf>
    <xf numFmtId="176" fontId="23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horizontal="center" vertical="center"/>
    </xf>
    <xf numFmtId="0" fontId="23" fillId="35" borderId="86" xfId="0" applyFont="1" applyFill="1" applyBorder="1" applyAlignment="1" applyProtection="1">
      <alignment horizontal="center" vertical="center"/>
      <protection locked="0" hidden="1"/>
    </xf>
    <xf numFmtId="0" fontId="4" fillId="0" borderId="29" xfId="0" applyFont="1" applyBorder="1" applyAlignment="1" applyProtection="1">
      <alignment horizontal="left" vertical="center" indent="1"/>
      <protection hidden="1"/>
    </xf>
    <xf numFmtId="0" fontId="126" fillId="0" borderId="4" xfId="0" applyFont="1" applyBorder="1" applyAlignment="1">
      <alignment horizontal="center" vertical="center" wrapText="1"/>
    </xf>
    <xf numFmtId="3" fontId="13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13" applyAlignment="1">
      <alignment horizontal="left" vertical="center"/>
    </xf>
    <xf numFmtId="0" fontId="0" fillId="0" borderId="0" xfId="0" applyAlignment="1" applyProtection="1">
      <alignment horizontal="left" vertical="center" indent="1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6" fillId="0" borderId="309" xfId="0" applyFont="1" applyBorder="1" applyAlignment="1" applyProtection="1">
      <alignment horizontal="center" vertical="center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0" fontId="13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33" fillId="25" borderId="4" xfId="0" applyFont="1" applyFill="1" applyBorder="1" applyAlignment="1">
      <alignment horizontal="center" vertical="center"/>
    </xf>
    <xf numFmtId="191" fontId="153" fillId="0" borderId="335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43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56" xfId="0" applyNumberFormat="1" applyFont="1" applyBorder="1" applyAlignment="1" applyProtection="1">
      <alignment horizontal="left" vertical="center" wrapText="1" indent="1" readingOrder="1"/>
      <protection hidden="1"/>
    </xf>
    <xf numFmtId="0" fontId="154" fillId="0" borderId="0" xfId="0" applyFont="1" applyProtection="1">
      <alignment vertical="center"/>
      <protection hidden="1"/>
    </xf>
    <xf numFmtId="0" fontId="157" fillId="0" borderId="170" xfId="17" applyFont="1" applyBorder="1" applyAlignment="1" applyProtection="1">
      <alignment horizontal="center" vertical="center"/>
      <protection hidden="1"/>
    </xf>
    <xf numFmtId="14" fontId="157" fillId="15" borderId="171" xfId="17" applyNumberFormat="1" applyFont="1" applyFill="1" applyBorder="1" applyAlignment="1" applyProtection="1">
      <alignment horizontal="center" vertical="center"/>
      <protection locked="0" hidden="1"/>
    </xf>
    <xf numFmtId="0" fontId="158" fillId="0" borderId="372" xfId="0" applyFont="1" applyBorder="1" applyAlignment="1" applyProtection="1">
      <alignment horizontal="left" vertical="center" wrapText="1" indent="1" readingOrder="1"/>
      <protection hidden="1"/>
    </xf>
    <xf numFmtId="3" fontId="158" fillId="15" borderId="373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56" xfId="0" applyFont="1" applyBorder="1" applyAlignment="1" applyProtection="1">
      <alignment horizontal="center" vertical="center"/>
      <protection hidden="1"/>
    </xf>
    <xf numFmtId="10" fontId="154" fillId="15" borderId="57" xfId="0" applyNumberFormat="1" applyFont="1" applyFill="1" applyBorder="1" applyAlignment="1" applyProtection="1">
      <alignment horizontal="right" vertical="center" indent="1"/>
      <protection locked="0" hidden="1"/>
    </xf>
    <xf numFmtId="0" fontId="154" fillId="0" borderId="57" xfId="0" applyFont="1" applyBorder="1" applyAlignment="1" applyProtection="1">
      <alignment horizontal="center" vertical="center"/>
      <protection hidden="1"/>
    </xf>
    <xf numFmtId="6" fontId="154" fillId="0" borderId="58" xfId="0" applyNumberFormat="1" applyFont="1" applyBorder="1" applyAlignment="1" applyProtection="1">
      <alignment horizontal="right" vertical="center" indent="1"/>
      <protection hidden="1"/>
    </xf>
    <xf numFmtId="0" fontId="158" fillId="0" borderId="374" xfId="0" applyFont="1" applyBorder="1" applyAlignment="1" applyProtection="1">
      <alignment horizontal="left" vertical="center" wrapText="1" indent="1" readingOrder="1"/>
      <protection hidden="1"/>
    </xf>
    <xf numFmtId="10" fontId="159" fillId="15" borderId="375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6" fontId="154" fillId="0" borderId="60" xfId="0" applyNumberFormat="1" applyFont="1" applyBorder="1" applyAlignment="1" applyProtection="1">
      <alignment horizontal="center" vertical="center"/>
      <protection hidden="1"/>
    </xf>
    <xf numFmtId="0" fontId="154" fillId="15" borderId="4" xfId="0" applyFont="1" applyFill="1" applyBorder="1" applyAlignment="1" applyProtection="1">
      <alignment horizontal="right" vertical="center" indent="1"/>
      <protection locked="0" hidden="1"/>
    </xf>
    <xf numFmtId="0" fontId="154" fillId="0" borderId="4" xfId="0" applyFont="1" applyBorder="1" applyAlignment="1" applyProtection="1">
      <alignment horizontal="center" vertical="center"/>
      <protection hidden="1"/>
    </xf>
    <xf numFmtId="6" fontId="154" fillId="0" borderId="61" xfId="0" applyNumberFormat="1" applyFont="1" applyBorder="1" applyAlignment="1" applyProtection="1">
      <alignment horizontal="right" vertical="center" indent="1"/>
      <protection hidden="1"/>
    </xf>
    <xf numFmtId="0" fontId="158" fillId="0" borderId="376" xfId="0" applyFont="1" applyBorder="1" applyAlignment="1" applyProtection="1">
      <alignment horizontal="left" vertical="center" wrapText="1" indent="1" readingOrder="1"/>
      <protection hidden="1"/>
    </xf>
    <xf numFmtId="0" fontId="158" fillId="15" borderId="377" xfId="0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65" xfId="0" applyFont="1" applyBorder="1" applyAlignment="1" applyProtection="1">
      <alignment horizontal="center" vertical="center"/>
      <protection hidden="1"/>
    </xf>
    <xf numFmtId="6" fontId="154" fillId="0" borderId="66" xfId="0" applyNumberFormat="1" applyFont="1" applyBorder="1" applyProtection="1">
      <alignment vertical="center"/>
      <protection hidden="1"/>
    </xf>
    <xf numFmtId="0" fontId="160" fillId="0" borderId="66" xfId="0" applyFont="1" applyBorder="1" applyAlignment="1" applyProtection="1">
      <alignment horizontal="center" vertical="center"/>
      <protection hidden="1"/>
    </xf>
    <xf numFmtId="6" fontId="159" fillId="0" borderId="67" xfId="0" applyNumberFormat="1" applyFont="1" applyBorder="1" applyAlignment="1" applyProtection="1">
      <alignment horizontal="right" vertical="center" indent="1"/>
      <protection hidden="1"/>
    </xf>
    <xf numFmtId="0" fontId="158" fillId="0" borderId="0" xfId="0" applyFont="1" applyAlignment="1" applyProtection="1">
      <alignment vertical="center" wrapText="1" readingOrder="1"/>
      <protection hidden="1"/>
    </xf>
    <xf numFmtId="0" fontId="154" fillId="0" borderId="379" xfId="0" applyFont="1" applyBorder="1" applyAlignment="1" applyProtection="1">
      <alignment horizontal="center" vertical="center"/>
      <protection hidden="1"/>
    </xf>
    <xf numFmtId="0" fontId="162" fillId="0" borderId="380" xfId="0" applyFont="1" applyBorder="1" applyAlignment="1" applyProtection="1">
      <alignment horizontal="center" vertical="center" wrapText="1" readingOrder="1"/>
      <protection hidden="1"/>
    </xf>
    <xf numFmtId="0" fontId="162" fillId="0" borderId="381" xfId="0" applyFont="1" applyBorder="1" applyAlignment="1" applyProtection="1">
      <alignment horizontal="center" vertical="center" wrapText="1" readingOrder="1"/>
      <protection hidden="1"/>
    </xf>
    <xf numFmtId="0" fontId="154" fillId="0" borderId="382" xfId="0" applyFont="1" applyBorder="1" applyAlignment="1" applyProtection="1">
      <alignment horizontal="center" vertical="center"/>
      <protection hidden="1"/>
    </xf>
    <xf numFmtId="3" fontId="162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0" fontId="154" fillId="0" borderId="386" xfId="0" applyFont="1" applyBorder="1" applyAlignment="1" applyProtection="1">
      <alignment horizontal="right" vertical="center" indent="1"/>
      <protection hidden="1"/>
    </xf>
    <xf numFmtId="188" fontId="154" fillId="0" borderId="204" xfId="0" applyNumberFormat="1" applyFont="1" applyBorder="1" applyAlignment="1" applyProtection="1">
      <alignment horizontal="left" vertical="center" indent="1"/>
      <protection hidden="1"/>
    </xf>
    <xf numFmtId="0" fontId="158" fillId="0" borderId="3" xfId="0" applyFont="1" applyBorder="1" applyAlignment="1" applyProtection="1">
      <alignment horizontal="center" vertical="center" wrapTex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205" xfId="0" applyNumberFormat="1" applyFont="1" applyBorder="1" applyAlignment="1" applyProtection="1">
      <alignment horizontal="right" vertical="center" indent="2"/>
      <protection hidden="1"/>
    </xf>
    <xf numFmtId="0" fontId="162" fillId="0" borderId="0" xfId="0" applyFont="1" applyAlignment="1" applyProtection="1">
      <alignment vertical="center" wrapText="1" readingOrder="1"/>
      <protection hidden="1"/>
    </xf>
    <xf numFmtId="188" fontId="154" fillId="0" borderId="320" xfId="0" applyNumberFormat="1" applyFont="1" applyBorder="1" applyAlignment="1" applyProtection="1">
      <alignment horizontal="left" vertical="center" indent="1"/>
      <protection hidden="1"/>
    </xf>
    <xf numFmtId="0" fontId="158" fillId="0" borderId="39" xfId="0" applyFont="1" applyBorder="1" applyAlignment="1" applyProtection="1">
      <alignment horizontal="center" vertical="center" wrapTex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21" xfId="0" applyNumberFormat="1" applyFont="1" applyBorder="1" applyAlignment="1" applyProtection="1">
      <alignment horizontal="right" vertical="center" indent="2"/>
      <protection hidden="1"/>
    </xf>
    <xf numFmtId="188" fontId="1" fillId="9" borderId="379" xfId="9" applyNumberFormat="1" applyBorder="1" applyAlignment="1" applyProtection="1">
      <alignment horizontal="left" vertical="center" indent="1"/>
      <protection hidden="1"/>
    </xf>
    <xf numFmtId="0" fontId="1" fillId="9" borderId="380" xfId="9" applyBorder="1" applyAlignment="1" applyProtection="1">
      <alignment horizontal="center" vertical="center" wrapText="1" readingOrder="1"/>
      <protection hidden="1"/>
    </xf>
    <xf numFmtId="38" fontId="1" fillId="9" borderId="381" xfId="9" applyNumberFormat="1" applyBorder="1" applyAlignment="1" applyProtection="1">
      <alignment horizontal="right" vertical="center" wrapText="1" indent="1" readingOrder="1"/>
      <protection hidden="1"/>
    </xf>
    <xf numFmtId="38" fontId="1" fillId="9" borderId="381" xfId="9" applyNumberFormat="1" applyBorder="1" applyAlignment="1" applyProtection="1">
      <alignment horizontal="right" vertical="center" wrapText="1" indent="1" readingOrder="1"/>
      <protection locked="0" hidden="1"/>
    </xf>
    <xf numFmtId="38" fontId="1" fillId="9" borderId="382" xfId="9" applyNumberFormat="1" applyBorder="1" applyAlignment="1" applyProtection="1">
      <alignment horizontal="right" vertical="center" indent="2"/>
      <protection hidden="1"/>
    </xf>
    <xf numFmtId="188" fontId="154" fillId="0" borderId="387" xfId="0" applyNumberFormat="1" applyFont="1" applyBorder="1" applyAlignment="1" applyProtection="1">
      <alignment horizontal="left" vertical="center" indent="1"/>
      <protection hidden="1"/>
    </xf>
    <xf numFmtId="0" fontId="158" fillId="0" borderId="88" xfId="0" applyFont="1" applyBorder="1" applyAlignment="1" applyProtection="1">
      <alignment horizontal="center" vertical="center" wrapTex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86" xfId="0" applyNumberFormat="1" applyFont="1" applyBorder="1" applyAlignment="1" applyProtection="1">
      <alignment horizontal="right" vertical="center" indent="2"/>
      <protection hidden="1"/>
    </xf>
    <xf numFmtId="38" fontId="154" fillId="0" borderId="205" xfId="0" applyNumberFormat="1" applyFont="1" applyBorder="1" applyAlignment="1" applyProtection="1">
      <alignment horizontal="right" vertical="center" indent="1"/>
      <protection hidden="1"/>
    </xf>
    <xf numFmtId="38" fontId="154" fillId="0" borderId="321" xfId="0" applyNumberFormat="1" applyFont="1" applyBorder="1" applyAlignment="1" applyProtection="1">
      <alignment horizontal="right" vertical="center" indent="1"/>
      <protection hidden="1"/>
    </xf>
    <xf numFmtId="38" fontId="1" fillId="9" borderId="382" xfId="9" applyNumberFormat="1" applyBorder="1" applyAlignment="1" applyProtection="1">
      <alignment horizontal="right" vertical="center" indent="1"/>
      <protection hidden="1"/>
    </xf>
    <xf numFmtId="38" fontId="154" fillId="0" borderId="386" xfId="0" applyNumberFormat="1" applyFont="1" applyBorder="1" applyAlignment="1" applyProtection="1">
      <alignment horizontal="right" vertical="center" indent="1"/>
      <protection hidden="1"/>
    </xf>
    <xf numFmtId="188" fontId="1" fillId="11" borderId="379" xfId="11" applyNumberFormat="1" applyBorder="1" applyAlignment="1" applyProtection="1">
      <alignment horizontal="left" vertical="center" indent="1"/>
      <protection hidden="1"/>
    </xf>
    <xf numFmtId="0" fontId="1" fillId="11" borderId="380" xfId="11" applyBorder="1" applyAlignment="1" applyProtection="1">
      <alignment horizontal="center" vertical="center" wrapText="1" readingOrder="1"/>
      <protection hidden="1"/>
    </xf>
    <xf numFmtId="38" fontId="1" fillId="11" borderId="381" xfId="11" applyNumberFormat="1" applyBorder="1" applyAlignment="1" applyProtection="1">
      <alignment horizontal="right" vertical="center" wrapText="1" indent="1" readingOrder="1"/>
      <protection hidden="1"/>
    </xf>
    <xf numFmtId="38" fontId="1" fillId="11" borderId="381" xfId="11" applyNumberFormat="1" applyBorder="1" applyAlignment="1" applyProtection="1">
      <alignment horizontal="right" vertical="center" wrapText="1" indent="1" readingOrder="1"/>
      <protection locked="0" hidden="1"/>
    </xf>
    <xf numFmtId="38" fontId="1" fillId="11" borderId="382" xfId="11" applyNumberFormat="1" applyBorder="1" applyAlignment="1" applyProtection="1">
      <alignment horizontal="right" vertical="center" indent="1"/>
      <protection hidden="1"/>
    </xf>
    <xf numFmtId="188" fontId="1" fillId="36" borderId="204" xfId="18" applyNumberFormat="1" applyBorder="1" applyAlignment="1" applyProtection="1">
      <alignment horizontal="left" vertical="center" indent="1"/>
      <protection hidden="1"/>
    </xf>
    <xf numFmtId="0" fontId="1" fillId="36" borderId="3" xfId="18" applyBorder="1" applyAlignment="1" applyProtection="1">
      <alignment horizontal="center" vertical="center" wrapTex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locked="0" hidden="1"/>
    </xf>
    <xf numFmtId="38" fontId="1" fillId="36" borderId="205" xfId="18" applyNumberFormat="1" applyBorder="1" applyAlignment="1" applyProtection="1">
      <alignment horizontal="right" vertical="center" indent="1"/>
      <protection hidden="1"/>
    </xf>
    <xf numFmtId="188" fontId="1" fillId="32" borderId="204" xfId="15" applyNumberFormat="1" applyBorder="1" applyAlignment="1" applyProtection="1">
      <alignment horizontal="left" vertical="center" indent="1"/>
      <protection hidden="1"/>
    </xf>
    <xf numFmtId="0" fontId="1" fillId="32" borderId="3" xfId="15" applyBorder="1" applyAlignment="1" applyProtection="1">
      <alignment horizontal="center" vertical="center" wrapTex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locked="0" hidden="1"/>
    </xf>
    <xf numFmtId="38" fontId="1" fillId="32" borderId="205" xfId="15" applyNumberFormat="1" applyBorder="1" applyAlignment="1" applyProtection="1">
      <alignment horizontal="right" vertical="center" indent="1"/>
      <protection hidden="1"/>
    </xf>
    <xf numFmtId="0" fontId="1" fillId="32" borderId="39" xfId="15" applyBorder="1" applyAlignment="1" applyProtection="1">
      <alignment horizontal="center" vertical="center" wrapText="1" readingOrder="1"/>
      <protection hidden="1"/>
    </xf>
    <xf numFmtId="38" fontId="1" fillId="32" borderId="40" xfId="15" applyNumberFormat="1" applyBorder="1" applyAlignment="1" applyProtection="1">
      <alignment horizontal="right" vertical="center" wrapText="1" indent="1" readingOrder="1"/>
      <protection locked="0" hidden="1"/>
    </xf>
    <xf numFmtId="6" fontId="164" fillId="0" borderId="380" xfId="0" applyNumberFormat="1" applyFont="1" applyBorder="1" applyAlignment="1" applyProtection="1">
      <alignment horizontal="right" vertical="center" wrapText="1" indent="1" readingOrder="1"/>
      <protection hidden="1"/>
    </xf>
    <xf numFmtId="6" fontId="164" fillId="0" borderId="381" xfId="0" applyNumberFormat="1" applyFont="1" applyBorder="1" applyAlignment="1" applyProtection="1">
      <alignment horizontal="right" vertical="center" wrapText="1" indent="1" readingOrder="1"/>
      <protection hidden="1"/>
    </xf>
    <xf numFmtId="6" fontId="160" fillId="0" borderId="382" xfId="0" applyNumberFormat="1" applyFont="1" applyBorder="1" applyAlignment="1" applyProtection="1">
      <alignment horizontal="right" vertical="center" inden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Protection="1">
      <alignment vertical="center"/>
    </xf>
    <xf numFmtId="192" fontId="155" fillId="0" borderId="0" xfId="0" applyNumberFormat="1" applyFont="1" applyAlignment="1" applyProtection="1">
      <alignment horizontal="left" vertical="center" indent="1"/>
    </xf>
    <xf numFmtId="42" fontId="155" fillId="0" borderId="0" xfId="0" applyNumberFormat="1" applyFont="1" applyAlignment="1" applyProtection="1">
      <alignment vertical="center"/>
    </xf>
    <xf numFmtId="192" fontId="155" fillId="0" borderId="301" xfId="0" applyNumberFormat="1" applyFont="1" applyBorder="1" applyAlignment="1" applyProtection="1">
      <alignment horizontal="left" vertical="center" indent="1"/>
    </xf>
    <xf numFmtId="192" fontId="155" fillId="0" borderId="203" xfId="0" applyNumberFormat="1" applyFont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42" fontId="155" fillId="0" borderId="196" xfId="0" applyNumberFormat="1" applyFont="1" applyBorder="1" applyAlignment="1" applyProtection="1">
      <alignment vertical="center"/>
    </xf>
    <xf numFmtId="192" fontId="155" fillId="0" borderId="0" xfId="0" applyNumberFormat="1" applyFont="1" applyBorder="1" applyAlignment="1" applyProtection="1">
      <alignment horizontal="left" vertical="center" indent="1"/>
    </xf>
    <xf numFmtId="192" fontId="155" fillId="0" borderId="392" xfId="0" applyNumberFormat="1" applyFont="1" applyBorder="1" applyAlignment="1" applyProtection="1">
      <alignment horizontal="left" vertical="center" indent="1"/>
    </xf>
    <xf numFmtId="192" fontId="27" fillId="0" borderId="379" xfId="0" applyNumberFormat="1" applyFont="1" applyBorder="1" applyAlignment="1" applyProtection="1">
      <alignment horizontal="center" vertical="center"/>
    </xf>
    <xf numFmtId="0" fontId="16" fillId="0" borderId="381" xfId="0" applyFont="1" applyBorder="1" applyAlignment="1" applyProtection="1">
      <alignment horizontal="center" vertical="center" wrapText="1"/>
    </xf>
    <xf numFmtId="0" fontId="16" fillId="0" borderId="381" xfId="0" applyFont="1" applyBorder="1" applyAlignment="1" applyProtection="1">
      <alignment horizontal="center" vertical="center"/>
    </xf>
    <xf numFmtId="42" fontId="16" fillId="0" borderId="381" xfId="0" applyNumberFormat="1" applyFont="1" applyBorder="1" applyAlignment="1" applyProtection="1">
      <alignment horizontal="left" vertical="center" indent="1"/>
    </xf>
    <xf numFmtId="0" fontId="16" fillId="0" borderId="394" xfId="0" applyFont="1" applyBorder="1" applyAlignment="1" applyProtection="1">
      <alignment horizontal="center" vertical="center"/>
    </xf>
    <xf numFmtId="0" fontId="16" fillId="0" borderId="38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5" fillId="0" borderId="0" xfId="0" applyFont="1" applyBorder="1" applyAlignment="1" applyProtection="1">
      <alignment horizontal="center" vertical="center"/>
    </xf>
    <xf numFmtId="192" fontId="142" fillId="0" borderId="0" xfId="15" applyNumberFormat="1" applyFont="1" applyFill="1" applyBorder="1" applyAlignment="1" applyProtection="1">
      <alignment horizontal="center" vertical="center"/>
    </xf>
    <xf numFmtId="0" fontId="168" fillId="0" borderId="4" xfId="0" applyFont="1" applyBorder="1" applyAlignment="1" applyProtection="1">
      <alignment horizontal="center" vertical="center"/>
    </xf>
    <xf numFmtId="0" fontId="0" fillId="0" borderId="240" xfId="0" applyBorder="1" applyAlignment="1" applyProtection="1">
      <alignment horizontal="center" vertical="center"/>
    </xf>
    <xf numFmtId="192" fontId="0" fillId="0" borderId="387" xfId="0" applyNumberFormat="1" applyBorder="1" applyProtection="1">
      <alignment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vertical="center" indent="1"/>
      <protection locked="0"/>
    </xf>
    <xf numFmtId="42" fontId="0" fillId="0" borderId="89" xfId="0" applyNumberFormat="1" applyBorder="1" applyAlignment="1" applyProtection="1">
      <alignment horizontal="left" vertical="center" indent="2"/>
      <protection locked="0"/>
    </xf>
    <xf numFmtId="0" fontId="0" fillId="0" borderId="187" xfId="0" applyBorder="1" applyAlignment="1" applyProtection="1">
      <alignment horizontal="left" vertical="center" indent="1"/>
      <protection locked="0"/>
    </xf>
    <xf numFmtId="0" fontId="0" fillId="0" borderId="386" xfId="0" applyBorder="1" applyAlignment="1" applyProtection="1">
      <alignment horizontal="left" vertical="center" indent="1"/>
      <protection locked="0"/>
    </xf>
    <xf numFmtId="193" fontId="169" fillId="0" borderId="0" xfId="0" applyNumberFormat="1" applyFont="1" applyBorder="1" applyAlignment="1" applyProtection="1">
      <alignment horizontal="right" vertical="center" indent="1"/>
    </xf>
    <xf numFmtId="192" fontId="23" fillId="35" borderId="223" xfId="0" applyNumberFormat="1" applyFont="1" applyFill="1" applyBorder="1" applyAlignment="1" applyProtection="1">
      <alignment horizontal="center" vertical="center"/>
    </xf>
    <xf numFmtId="194" fontId="23" fillId="35" borderId="240" xfId="0" applyNumberFormat="1" applyFont="1" applyFill="1" applyBorder="1" applyAlignment="1" applyProtection="1">
      <alignment horizontal="right" vertical="center" indent="1"/>
    </xf>
    <xf numFmtId="194" fontId="23" fillId="0" borderId="0" xfId="0" applyNumberFormat="1" applyFont="1" applyFill="1" applyBorder="1" applyAlignment="1" applyProtection="1">
      <alignment horizontal="right" vertical="center" indent="1"/>
    </xf>
    <xf numFmtId="194" fontId="23" fillId="0" borderId="223" xfId="0" applyNumberFormat="1" applyFont="1" applyBorder="1" applyAlignment="1" applyProtection="1">
      <alignment horizontal="center" vertical="center"/>
      <protection hidden="1"/>
    </xf>
    <xf numFmtId="0" fontId="0" fillId="0" borderId="240" xfId="0" applyBorder="1" applyAlignment="1" applyProtection="1">
      <alignment horizontal="center" vertical="center"/>
      <protection locked="0"/>
    </xf>
    <xf numFmtId="192" fontId="0" fillId="0" borderId="204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42" fontId="0" fillId="0" borderId="4" xfId="0" applyNumberFormat="1" applyBorder="1" applyAlignment="1" applyProtection="1">
      <alignment horizontal="left" vertical="center" indent="2"/>
      <protection locked="0"/>
    </xf>
    <xf numFmtId="0" fontId="0" fillId="0" borderId="20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23" fillId="0" borderId="240" xfId="0" applyFont="1" applyBorder="1" applyAlignment="1" applyProtection="1">
      <alignment horizontal="center" vertical="center"/>
      <protection hidden="1"/>
    </xf>
    <xf numFmtId="0" fontId="23" fillId="0" borderId="223" xfId="0" applyFont="1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11" fillId="0" borderId="225" xfId="0" applyFont="1" applyBorder="1" applyAlignment="1" applyProtection="1">
      <alignment horizontal="center" vertical="center"/>
    </xf>
    <xf numFmtId="0" fontId="72" fillId="0" borderId="245" xfId="0" applyFont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center" vertical="center"/>
      <protection hidden="1"/>
    </xf>
    <xf numFmtId="0" fontId="23" fillId="0" borderId="225" xfId="0" applyFont="1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horizontal="center" vertical="center"/>
      <protection hidden="1"/>
    </xf>
    <xf numFmtId="0" fontId="0" fillId="0" borderId="245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 indent="1"/>
    </xf>
    <xf numFmtId="0" fontId="0" fillId="0" borderId="0" xfId="0" applyFill="1" applyBorder="1" applyProtection="1">
      <alignment vertical="center"/>
    </xf>
    <xf numFmtId="0" fontId="0" fillId="0" borderId="191" xfId="0" applyBorder="1" applyAlignment="1" applyProtection="1">
      <alignment horizontal="center" vertical="center"/>
    </xf>
    <xf numFmtId="192" fontId="142" fillId="0" borderId="0" xfId="5" applyNumberFormat="1" applyFont="1" applyFill="1" applyBorder="1" applyAlignment="1" applyProtection="1">
      <alignment horizontal="center" vertical="center"/>
    </xf>
    <xf numFmtId="192" fontId="12" fillId="35" borderId="400" xfId="0" applyNumberFormat="1" applyFont="1" applyFill="1" applyBorder="1" applyAlignment="1" applyProtection="1">
      <alignment horizontal="center" vertical="center"/>
    </xf>
    <xf numFmtId="194" fontId="23" fillId="35" borderId="405" xfId="0" applyNumberFormat="1" applyFont="1" applyFill="1" applyBorder="1" applyAlignment="1" applyProtection="1">
      <alignment horizontal="right" vertical="center" indent="1"/>
    </xf>
    <xf numFmtId="194" fontId="23" fillId="0" borderId="400" xfId="0" applyNumberFormat="1" applyFont="1" applyBorder="1" applyAlignment="1" applyProtection="1">
      <alignment horizontal="center" vertical="center"/>
      <protection hidden="1"/>
    </xf>
    <xf numFmtId="0" fontId="0" fillId="0" borderId="401" xfId="0" applyBorder="1" applyAlignment="1" applyProtection="1">
      <alignment horizontal="center" vertical="center"/>
      <protection hidden="1"/>
    </xf>
    <xf numFmtId="0" fontId="0" fillId="0" borderId="40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0" borderId="416" xfId="0" applyFont="1" applyBorder="1" applyAlignment="1" applyProtection="1">
      <alignment horizontal="center" vertical="center"/>
    </xf>
    <xf numFmtId="0" fontId="12" fillId="0" borderId="418" xfId="0" applyFont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23" fillId="0" borderId="416" xfId="0" applyFont="1" applyBorder="1" applyAlignment="1" applyProtection="1">
      <alignment horizontal="center" vertical="center"/>
      <protection hidden="1"/>
    </xf>
    <xf numFmtId="0" fontId="0" fillId="0" borderId="418" xfId="0" applyBorder="1" applyAlignment="1" applyProtection="1">
      <alignment horizontal="center" vertical="center"/>
      <protection locked="0"/>
    </xf>
    <xf numFmtId="0" fontId="23" fillId="0" borderId="418" xfId="0" applyFont="1" applyBorder="1" applyAlignment="1" applyProtection="1">
      <alignment horizontal="center" vertical="center"/>
      <protection hidden="1"/>
    </xf>
    <xf numFmtId="0" fontId="0" fillId="0" borderId="421" xfId="0" applyBorder="1" applyAlignment="1" applyProtection="1">
      <alignment horizontal="center" vertical="center"/>
      <protection hidden="1"/>
    </xf>
    <xf numFmtId="0" fontId="0" fillId="0" borderId="420" xfId="0" applyBorder="1" applyAlignment="1" applyProtection="1">
      <alignment vertical="center"/>
      <protection locked="0"/>
    </xf>
    <xf numFmtId="0" fontId="11" fillId="0" borderId="419" xfId="0" applyFont="1" applyBorder="1" applyAlignment="1" applyProtection="1">
      <alignment horizontal="center" vertical="center"/>
    </xf>
    <xf numFmtId="0" fontId="72" fillId="0" borderId="424" xfId="0" applyFont="1" applyBorder="1" applyAlignment="1" applyProtection="1">
      <alignment horizontal="center" vertical="center"/>
      <protection hidden="1"/>
    </xf>
    <xf numFmtId="0" fontId="23" fillId="0" borderId="419" xfId="0" applyFont="1" applyBorder="1" applyAlignment="1" applyProtection="1">
      <alignment horizontal="center" vertical="center"/>
      <protection hidden="1"/>
    </xf>
    <xf numFmtId="0" fontId="0" fillId="0" borderId="425" xfId="0" applyBorder="1" applyAlignment="1" applyProtection="1">
      <alignment horizontal="center" vertical="center"/>
      <protection hidden="1"/>
    </xf>
    <xf numFmtId="0" fontId="0" fillId="0" borderId="424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indent="1"/>
      <protection locked="0"/>
    </xf>
    <xf numFmtId="192" fontId="0" fillId="0" borderId="204" xfId="0" applyNumberFormat="1" applyBorder="1" applyAlignment="1" applyProtection="1">
      <alignment vertical="center"/>
      <protection locked="0"/>
    </xf>
    <xf numFmtId="192" fontId="0" fillId="0" borderId="4" xfId="0" applyNumberFormat="1" applyBorder="1" applyAlignment="1" applyProtection="1">
      <alignment horizontal="center" vertical="center"/>
      <protection locked="0"/>
    </xf>
    <xf numFmtId="0" fontId="142" fillId="0" borderId="0" xfId="0" applyFont="1" applyBorder="1" applyAlignment="1" applyProtection="1">
      <alignment horizontal="left" vertical="center"/>
      <protection locked="0"/>
    </xf>
    <xf numFmtId="0" fontId="170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0" fillId="0" borderId="0" xfId="0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/>
      <protection locked="0"/>
    </xf>
    <xf numFmtId="192" fontId="0" fillId="0" borderId="210" xfId="0" applyNumberFormat="1" applyBorder="1" applyProtection="1">
      <alignment vertical="center"/>
      <protection locked="0"/>
    </xf>
    <xf numFmtId="0" fontId="0" fillId="0" borderId="211" xfId="0" applyBorder="1" applyAlignment="1" applyProtection="1">
      <alignment horizontal="center" vertical="center"/>
      <protection locked="0"/>
    </xf>
    <xf numFmtId="0" fontId="0" fillId="0" borderId="211" xfId="0" applyBorder="1" applyAlignment="1" applyProtection="1">
      <alignment horizontal="left" vertical="center" indent="1"/>
      <protection locked="0"/>
    </xf>
    <xf numFmtId="42" fontId="0" fillId="0" borderId="211" xfId="0" applyNumberFormat="1" applyBorder="1" applyAlignment="1" applyProtection="1">
      <alignment horizontal="left" vertical="center" indent="2"/>
      <protection locked="0"/>
    </xf>
    <xf numFmtId="0" fontId="0" fillId="0" borderId="323" xfId="0" applyBorder="1" applyAlignment="1" applyProtection="1">
      <alignment horizontal="left" vertical="center" indent="1"/>
      <protection locked="0"/>
    </xf>
    <xf numFmtId="0" fontId="0" fillId="0" borderId="212" xfId="0" applyBorder="1" applyAlignment="1" applyProtection="1">
      <alignment horizontal="left" vertical="center" indent="1"/>
      <protection locked="0"/>
    </xf>
    <xf numFmtId="192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2" fontId="0" fillId="0" borderId="0" xfId="0" applyNumberFormat="1" applyAlignment="1" applyProtection="1">
      <alignment horizontal="left" vertical="center" indent="2"/>
      <protection locked="0"/>
    </xf>
    <xf numFmtId="0" fontId="0" fillId="0" borderId="215" xfId="0" applyBorder="1" applyAlignment="1" applyProtection="1">
      <alignment horizontal="left" vertical="center" indent="1"/>
      <protection locked="0"/>
    </xf>
    <xf numFmtId="192" fontId="0" fillId="0" borderId="426" xfId="0" applyNumberFormat="1" applyBorder="1" applyProtection="1">
      <alignment vertical="center"/>
      <protection locked="0"/>
    </xf>
    <xf numFmtId="0" fontId="0" fillId="0" borderId="427" xfId="0" applyBorder="1" applyAlignment="1" applyProtection="1">
      <alignment horizontal="center" vertical="center"/>
      <protection locked="0"/>
    </xf>
    <xf numFmtId="0" fontId="0" fillId="0" borderId="427" xfId="0" applyBorder="1" applyAlignment="1" applyProtection="1">
      <alignment horizontal="left" vertical="center" indent="2"/>
      <protection locked="0"/>
    </xf>
    <xf numFmtId="42" fontId="0" fillId="0" borderId="427" xfId="0" applyNumberFormat="1" applyBorder="1" applyAlignment="1" applyProtection="1">
      <alignment horizontal="left" vertical="center" indent="3"/>
      <protection locked="0"/>
    </xf>
    <xf numFmtId="0" fontId="0" fillId="0" borderId="427" xfId="0" applyBorder="1" applyAlignment="1" applyProtection="1">
      <alignment horizontal="left" vertical="center" indent="1"/>
      <protection locked="0"/>
    </xf>
    <xf numFmtId="0" fontId="0" fillId="0" borderId="428" xfId="0" applyBorder="1" applyAlignment="1" applyProtection="1">
      <alignment horizontal="left" vertical="center" indent="2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7" fillId="0" borderId="125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195" fontId="16" fillId="0" borderId="123" xfId="0" applyNumberFormat="1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6" fillId="0" borderId="124" xfId="0" applyFont="1" applyBorder="1" applyAlignment="1">
      <alignment horizontal="center" vertical="center" wrapText="1"/>
    </xf>
    <xf numFmtId="0" fontId="0" fillId="0" borderId="88" xfId="0" applyBorder="1" applyAlignment="1">
      <alignment horizontal="left" vertical="center" indent="1"/>
    </xf>
    <xf numFmtId="0" fontId="0" fillId="0" borderId="89" xfId="0" applyBorder="1" applyAlignment="1">
      <alignment horizontal="left" vertical="center" indent="1"/>
    </xf>
    <xf numFmtId="195" fontId="0" fillId="0" borderId="89" xfId="0" applyNumberFormat="1" applyBorder="1" applyAlignment="1">
      <alignment horizontal="left" vertical="center" indent="1"/>
    </xf>
    <xf numFmtId="0" fontId="0" fillId="0" borderId="89" xfId="0" applyBorder="1" applyAlignment="1">
      <alignment horizontal="left" vertical="center" wrapText="1" indent="1"/>
    </xf>
    <xf numFmtId="0" fontId="0" fillId="0" borderId="187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95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195" fontId="0" fillId="0" borderId="40" xfId="0" applyNumberFormat="1" applyBorder="1" applyAlignment="1">
      <alignment horizontal="left" vertical="center" indent="1"/>
    </xf>
    <xf numFmtId="0" fontId="0" fillId="0" borderId="40" xfId="0" applyBorder="1" applyAlignment="1">
      <alignment horizontal="left" vertical="center" wrapText="1" indent="1"/>
    </xf>
    <xf numFmtId="0" fontId="0" fillId="0" borderId="262" xfId="0" applyBorder="1" applyAlignment="1">
      <alignment horizontal="left" vertical="center" wrapText="1" indent="1"/>
    </xf>
    <xf numFmtId="195" fontId="0" fillId="0" borderId="0" xfId="0" applyNumberFormat="1" applyAlignment="1">
      <alignment horizontal="left" vertical="center" indent="1"/>
    </xf>
    <xf numFmtId="196" fontId="0" fillId="0" borderId="0" xfId="0" applyNumberFormat="1" applyProtection="1">
      <alignment vertical="center"/>
      <protection hidden="1"/>
    </xf>
    <xf numFmtId="196" fontId="23" fillId="0" borderId="197" xfId="0" applyNumberFormat="1" applyFont="1" applyFill="1" applyBorder="1" applyAlignment="1" applyProtection="1">
      <alignment horizontal="center" vertical="center"/>
      <protection hidden="1"/>
    </xf>
    <xf numFmtId="196" fontId="0" fillId="15" borderId="198" xfId="0" applyNumberFormat="1" applyFill="1" applyBorder="1" applyAlignment="1" applyProtection="1">
      <alignment horizontal="center" vertical="center"/>
      <protection locked="0" hidden="1"/>
    </xf>
    <xf numFmtId="196" fontId="23" fillId="0" borderId="198" xfId="0" applyNumberFormat="1" applyFont="1" applyFill="1" applyBorder="1" applyAlignment="1" applyProtection="1">
      <alignment horizontal="center" vertical="center"/>
      <protection hidden="1"/>
    </xf>
    <xf numFmtId="196" fontId="10" fillId="0" borderId="0" xfId="0" applyNumberFormat="1" applyFont="1" applyBorder="1" applyAlignment="1" applyProtection="1">
      <alignment horizontal="left" vertical="center"/>
      <protection hidden="1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2" fillId="3" borderId="1" xfId="3" applyNumberFormat="1" applyFont="1" applyAlignment="1" applyProtection="1">
      <alignment horizontal="center" vertical="center"/>
      <protection locked="0" hidden="1"/>
    </xf>
    <xf numFmtId="196" fontId="23" fillId="0" borderId="320" xfId="0" applyNumberFormat="1" applyFont="1" applyFill="1" applyBorder="1" applyAlignment="1" applyProtection="1">
      <alignment horizontal="center" vertical="center"/>
      <protection hidden="1"/>
    </xf>
    <xf numFmtId="196" fontId="23" fillId="0" borderId="40" xfId="0" applyNumberFormat="1" applyFont="1" applyFill="1" applyBorder="1" applyAlignment="1" applyProtection="1">
      <alignment horizontal="center" vertical="center"/>
      <protection hidden="1"/>
    </xf>
    <xf numFmtId="196" fontId="23" fillId="18" borderId="210" xfId="0" applyNumberFormat="1" applyFont="1" applyFill="1" applyBorder="1" applyAlignment="1" applyProtection="1">
      <alignment horizontal="center" vertical="center"/>
      <protection hidden="1"/>
    </xf>
    <xf numFmtId="196" fontId="11" fillId="18" borderId="323" xfId="0" applyNumberFormat="1" applyFont="1" applyFill="1" applyBorder="1" applyAlignment="1" applyProtection="1">
      <alignment horizontal="center" vertical="center"/>
      <protection hidden="1"/>
    </xf>
    <xf numFmtId="196" fontId="0" fillId="18" borderId="211" xfId="0" applyNumberFormat="1" applyFill="1" applyBorder="1" applyAlignment="1" applyProtection="1">
      <alignment horizontal="center" vertical="center"/>
      <protection hidden="1"/>
    </xf>
    <xf numFmtId="196" fontId="58" fillId="18" borderId="212" xfId="0" applyNumberFormat="1" applyFont="1" applyFill="1" applyBorder="1" applyProtection="1">
      <alignment vertical="center"/>
      <protection hidden="1"/>
    </xf>
    <xf numFmtId="196" fontId="23" fillId="0" borderId="210" xfId="0" applyNumberFormat="1" applyFont="1" applyFill="1" applyBorder="1" applyAlignment="1" applyProtection="1">
      <alignment horizontal="center" vertical="center"/>
      <protection hidden="1"/>
    </xf>
    <xf numFmtId="196" fontId="0" fillId="0" borderId="211" xfId="0" applyNumberFormat="1" applyFill="1" applyBorder="1" applyAlignment="1" applyProtection="1">
      <alignment horizontal="center" vertical="center"/>
      <protection hidden="1"/>
    </xf>
    <xf numFmtId="196" fontId="0" fillId="0" borderId="0" xfId="0" applyNumberFormat="1" applyFill="1" applyProtection="1">
      <alignment vertical="center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8" fillId="0" borderId="0" xfId="0" applyNumberFormat="1" applyFont="1" applyBorder="1" applyAlignment="1" applyProtection="1">
      <alignment horizontal="center" vertical="center"/>
      <protection hidden="1"/>
    </xf>
    <xf numFmtId="196" fontId="23" fillId="0" borderId="324" xfId="0" applyNumberFormat="1" applyFont="1" applyFill="1" applyBorder="1" applyAlignment="1" applyProtection="1">
      <alignment horizontal="center" vertical="center"/>
      <protection hidden="1"/>
    </xf>
    <xf numFmtId="196" fontId="0" fillId="0" borderId="325" xfId="0" applyNumberFormat="1" applyFill="1" applyBorder="1" applyAlignment="1" applyProtection="1">
      <alignment horizontal="center" vertical="center"/>
      <protection hidden="1"/>
    </xf>
    <xf numFmtId="196" fontId="23" fillId="0" borderId="326" xfId="0" applyNumberFormat="1" applyFont="1" applyFill="1" applyBorder="1" applyAlignment="1" applyProtection="1">
      <alignment horizontal="center" vertical="center"/>
      <protection hidden="1"/>
    </xf>
    <xf numFmtId="196" fontId="58" fillId="0" borderId="327" xfId="0" applyNumberFormat="1" applyFont="1" applyFill="1" applyBorder="1" applyAlignment="1" applyProtection="1">
      <alignment horizontal="center" vertical="center"/>
      <protection hidden="1"/>
    </xf>
    <xf numFmtId="196" fontId="149" fillId="0" borderId="328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29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29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29" xfId="0" applyNumberFormat="1" applyFont="1" applyBorder="1" applyAlignment="1" applyProtection="1">
      <alignment horizontal="center" vertical="center"/>
      <protection hidden="1"/>
    </xf>
    <xf numFmtId="196" fontId="23" fillId="0" borderId="330" xfId="0" applyNumberFormat="1" applyFont="1" applyBorder="1" applyAlignment="1" applyProtection="1">
      <alignment horizontal="center" vertical="center"/>
      <protection hidden="1"/>
    </xf>
    <xf numFmtId="196" fontId="149" fillId="0" borderId="331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32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32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32" xfId="0" applyNumberFormat="1" applyFont="1" applyBorder="1" applyAlignment="1" applyProtection="1">
      <alignment horizontal="center" vertical="center"/>
      <protection hidden="1"/>
    </xf>
    <xf numFmtId="196" fontId="23" fillId="0" borderId="333" xfId="0" applyNumberFormat="1" applyFont="1" applyBorder="1" applyAlignment="1" applyProtection="1">
      <alignment horizontal="center" vertical="center"/>
      <protection hidden="1"/>
    </xf>
    <xf numFmtId="196" fontId="0" fillId="0" borderId="0" xfId="0" applyNumberFormat="1" applyBorder="1" applyProtection="1">
      <alignment vertical="center"/>
      <protection hidden="1"/>
    </xf>
    <xf numFmtId="196" fontId="151" fillId="0" borderId="334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5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36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37" xfId="0" applyNumberFormat="1" applyBorder="1" applyAlignment="1" applyProtection="1">
      <alignment horizontal="right" vertical="center" indent="1"/>
      <protection hidden="1"/>
    </xf>
    <xf numFmtId="196" fontId="151" fillId="0" borderId="339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5" xfId="0" applyNumberFormat="1" applyFont="1" applyBorder="1" applyAlignment="1" applyProtection="1">
      <alignment horizontal="center" vertical="center" wrapText="1" readingOrder="1"/>
      <protection hidden="1"/>
    </xf>
    <xf numFmtId="196" fontId="0" fillId="0" borderId="341" xfId="0" applyNumberFormat="1" applyBorder="1" applyAlignment="1" applyProtection="1">
      <alignment horizontal="right" vertical="center" indent="1"/>
      <protection hidden="1"/>
    </xf>
    <xf numFmtId="196" fontId="151" fillId="0" borderId="342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3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44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45" xfId="0" applyNumberFormat="1" applyBorder="1" applyAlignment="1" applyProtection="1">
      <alignment horizontal="right" vertical="center" indent="1"/>
      <protection hidden="1"/>
    </xf>
    <xf numFmtId="196" fontId="151" fillId="0" borderId="347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3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49" xfId="1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50" xfId="10" applyNumberFormat="1" applyFont="1" applyBorder="1" applyAlignment="1" applyProtection="1">
      <alignment horizontal="right" vertical="center" wrapText="1" indent="1" readingOrder="1"/>
      <protection hidden="1"/>
    </xf>
    <xf numFmtId="196" fontId="23" fillId="10" borderId="351" xfId="10" applyNumberFormat="1" applyFont="1" applyBorder="1" applyAlignment="1" applyProtection="1">
      <alignment horizontal="right" vertical="center" wrapText="1" indent="1" readingOrder="1"/>
      <protection hidden="1"/>
    </xf>
    <xf numFmtId="196" fontId="11" fillId="10" borderId="55" xfId="10" applyNumberFormat="1" applyFont="1" applyBorder="1" applyAlignment="1" applyProtection="1">
      <alignment horizontal="right" vertical="center" indent="1"/>
      <protection hidden="1"/>
    </xf>
    <xf numFmtId="196" fontId="1" fillId="9" borderId="353" xfId="9" applyNumberFormat="1" applyBorder="1" applyAlignment="1" applyProtection="1">
      <alignment horizontal="center" vertical="center" wrapText="1" readingOrder="1"/>
      <protection hidden="1"/>
    </xf>
    <xf numFmtId="196" fontId="1" fillId="9" borderId="350" xfId="9" applyNumberFormat="1" applyBorder="1" applyAlignment="1" applyProtection="1">
      <alignment horizontal="center" vertical="center" wrapText="1" readingOrder="1"/>
      <protection hidden="1"/>
    </xf>
    <xf numFmtId="196" fontId="151" fillId="0" borderId="355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6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57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58" xfId="0" applyNumberFormat="1" applyBorder="1" applyAlignment="1" applyProtection="1">
      <alignment horizontal="right" vertical="center" indent="1"/>
      <protection hidden="1"/>
    </xf>
    <xf numFmtId="196" fontId="151" fillId="0" borderId="360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6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49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50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51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55" xfId="6" applyNumberFormat="1" applyFont="1" applyBorder="1" applyAlignment="1" applyProtection="1">
      <alignment horizontal="right" vertical="center" indent="1"/>
      <protection hidden="1"/>
    </xf>
    <xf numFmtId="196" fontId="138" fillId="10" borderId="349" xfId="10" applyNumberFormat="1" applyFont="1" applyBorder="1" applyAlignment="1" applyProtection="1">
      <alignment horizontal="center" vertical="center" wrapText="1" readingOrder="1"/>
      <protection hidden="1"/>
    </xf>
    <xf numFmtId="196" fontId="138" fillId="10" borderId="350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351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62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63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4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5" xfId="6" applyNumberFormat="1" applyFont="1" applyBorder="1" applyAlignment="1" applyProtection="1">
      <alignment horizontal="right" vertical="center" indent="1"/>
      <protection hidden="1"/>
    </xf>
    <xf numFmtId="196" fontId="1" fillId="9" borderId="367" xfId="9" applyNumberFormat="1" applyBorder="1" applyAlignment="1" applyProtection="1">
      <alignment horizontal="center" vertical="center" wrapText="1" readingOrder="1"/>
      <protection hidden="1"/>
    </xf>
    <xf numFmtId="196" fontId="1" fillId="9" borderId="368" xfId="9" applyNumberFormat="1" applyBorder="1" applyAlignment="1" applyProtection="1">
      <alignment horizontal="center" vertical="center" wrapText="1" readingOrder="1"/>
      <protection hidden="1"/>
    </xf>
    <xf numFmtId="191" fontId="153" fillId="23" borderId="429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29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30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35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43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56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" fillId="9" borderId="429" xfId="9" applyNumberFormat="1" applyBorder="1" applyAlignment="1" applyProtection="1">
      <alignment horizontal="left" vertical="center" wrapText="1" indent="1" readingOrder="1"/>
      <protection hidden="1"/>
    </xf>
    <xf numFmtId="191" fontId="1" fillId="9" borderId="430" xfId="9" applyNumberFormat="1" applyBorder="1" applyAlignment="1" applyProtection="1">
      <alignment horizontal="left" vertical="center" wrapText="1" indent="1" readingOrder="1"/>
      <protection hidden="1"/>
    </xf>
    <xf numFmtId="197" fontId="0" fillId="13" borderId="199" xfId="19" applyNumberFormat="1" applyFont="1" applyFill="1" applyBorder="1" applyAlignment="1" applyProtection="1">
      <alignment horizontal="center" vertical="center"/>
      <protection locked="0" hidden="1"/>
    </xf>
    <xf numFmtId="10" fontId="11" fillId="15" borderId="40" xfId="19" applyNumberFormat="1" applyFont="1" applyFill="1" applyBorder="1" applyAlignment="1" applyProtection="1">
      <alignment horizontal="center" vertical="center"/>
      <protection locked="0" hidden="1"/>
    </xf>
    <xf numFmtId="182" fontId="0" fillId="15" borderId="321" xfId="0" applyNumberFormat="1" applyFill="1" applyBorder="1" applyAlignment="1" applyProtection="1">
      <alignment horizontal="center" vertical="center"/>
      <protection locked="0" hidden="1"/>
    </xf>
    <xf numFmtId="196" fontId="23" fillId="0" borderId="338" xfId="0" applyNumberFormat="1" applyFont="1" applyBorder="1" applyAlignment="1" applyProtection="1">
      <alignment horizontal="right" vertical="center" indent="1"/>
      <protection hidden="1"/>
    </xf>
    <xf numFmtId="196" fontId="23" fillId="0" borderId="346" xfId="0" applyNumberFormat="1" applyFont="1" applyBorder="1" applyAlignment="1" applyProtection="1">
      <alignment horizontal="right" vertical="center" indent="1"/>
      <protection hidden="1"/>
    </xf>
    <xf numFmtId="196" fontId="11" fillId="10" borderId="352" xfId="10" applyNumberFormat="1" applyFont="1" applyBorder="1" applyAlignment="1" applyProtection="1">
      <alignment horizontal="right" vertical="center" indent="1"/>
      <protection hidden="1"/>
    </xf>
    <xf numFmtId="196" fontId="23" fillId="0" borderId="359" xfId="0" applyNumberFormat="1" applyFont="1" applyBorder="1" applyAlignment="1" applyProtection="1">
      <alignment horizontal="right" vertical="center" indent="1"/>
      <protection hidden="1"/>
    </xf>
    <xf numFmtId="196" fontId="23" fillId="10" borderId="352" xfId="10" applyNumberFormat="1" applyFont="1" applyBorder="1" applyAlignment="1" applyProtection="1">
      <alignment horizontal="right" vertical="center" indent="1"/>
      <protection hidden="1"/>
    </xf>
    <xf numFmtId="196" fontId="23" fillId="6" borderId="352" xfId="6" applyNumberFormat="1" applyFont="1" applyBorder="1" applyAlignment="1" applyProtection="1">
      <alignment horizontal="right" vertical="center" indent="1"/>
      <protection hidden="1"/>
    </xf>
    <xf numFmtId="196" fontId="23" fillId="6" borderId="366" xfId="6" applyNumberFormat="1" applyFont="1" applyBorder="1" applyAlignment="1" applyProtection="1">
      <alignment horizontal="right" vertical="center" indent="1"/>
      <protection hidden="1"/>
    </xf>
    <xf numFmtId="196" fontId="0" fillId="0" borderId="0" xfId="0" applyNumberFormat="1" applyAlignment="1" applyProtection="1">
      <alignment horizontal="right" vertical="center" indent="1"/>
      <protection hidden="1"/>
    </xf>
    <xf numFmtId="196" fontId="0" fillId="0" borderId="335" xfId="0" applyNumberFormat="1" applyBorder="1" applyAlignment="1" applyProtection="1">
      <alignment horizontal="right" vertical="center" indent="1"/>
      <protection hidden="1"/>
    </xf>
    <xf numFmtId="196" fontId="0" fillId="0" borderId="340" xfId="0" applyNumberFormat="1" applyBorder="1" applyAlignment="1" applyProtection="1">
      <alignment horizontal="right" vertical="center" indent="1"/>
      <protection hidden="1"/>
    </xf>
    <xf numFmtId="196" fontId="0" fillId="0" borderId="343" xfId="0" applyNumberFormat="1" applyBorder="1" applyAlignment="1" applyProtection="1">
      <alignment horizontal="right" vertical="center" indent="1"/>
      <protection hidden="1"/>
    </xf>
    <xf numFmtId="196" fontId="0" fillId="0" borderId="348" xfId="0" applyNumberFormat="1" applyBorder="1" applyAlignment="1" applyProtection="1">
      <alignment horizontal="right" vertical="center" indent="1"/>
      <protection hidden="1"/>
    </xf>
    <xf numFmtId="196" fontId="11" fillId="9" borderId="350" xfId="9" applyNumberFormat="1" applyFont="1" applyBorder="1" applyAlignment="1" applyProtection="1">
      <alignment horizontal="right" vertical="center" indent="1"/>
      <protection hidden="1"/>
    </xf>
    <xf numFmtId="196" fontId="11" fillId="9" borderId="354" xfId="9" applyNumberFormat="1" applyFont="1" applyBorder="1" applyAlignment="1" applyProtection="1">
      <alignment horizontal="right" vertical="center" indent="1"/>
      <protection hidden="1"/>
    </xf>
    <xf numFmtId="196" fontId="0" fillId="0" borderId="356" xfId="0" applyNumberFormat="1" applyBorder="1" applyAlignment="1" applyProtection="1">
      <alignment horizontal="right" vertical="center" indent="1"/>
      <protection hidden="1"/>
    </xf>
    <xf numFmtId="196" fontId="0" fillId="0" borderId="361" xfId="0" applyNumberFormat="1" applyBorder="1" applyAlignment="1" applyProtection="1">
      <alignment horizontal="right" vertical="center" indent="1"/>
      <protection hidden="1"/>
    </xf>
    <xf numFmtId="196" fontId="1" fillId="9" borderId="350" xfId="9" applyNumberFormat="1" applyBorder="1" applyAlignment="1" applyProtection="1">
      <alignment horizontal="right" vertical="center" indent="1"/>
      <protection hidden="1"/>
    </xf>
    <xf numFmtId="196" fontId="1" fillId="9" borderId="354" xfId="9" applyNumberFormat="1" applyBorder="1" applyAlignment="1" applyProtection="1">
      <alignment horizontal="right" vertical="center" indent="1"/>
      <protection hidden="1"/>
    </xf>
    <xf numFmtId="196" fontId="1" fillId="9" borderId="368" xfId="9" applyNumberFormat="1" applyBorder="1" applyAlignment="1" applyProtection="1">
      <alignment horizontal="right" vertical="center" indent="1"/>
      <protection hidden="1"/>
    </xf>
    <xf numFmtId="196" fontId="1" fillId="9" borderId="369" xfId="9" applyNumberFormat="1" applyBorder="1" applyAlignment="1" applyProtection="1">
      <alignment horizontal="right" vertical="center" indent="1"/>
      <protection hidden="1"/>
    </xf>
    <xf numFmtId="196" fontId="1" fillId="9" borderId="350" xfId="9" applyNumberFormat="1" applyBorder="1" applyAlignment="1" applyProtection="1">
      <alignment horizontal="right" vertical="center" wrapText="1" indent="1" readingOrder="1"/>
      <protection hidden="1"/>
    </xf>
    <xf numFmtId="196" fontId="1" fillId="9" borderId="368" xfId="9" applyNumberFormat="1" applyBorder="1" applyAlignment="1" applyProtection="1">
      <alignment horizontal="right" vertical="center" wrapText="1" indent="1" readingOrder="1"/>
      <protection hidden="1"/>
    </xf>
    <xf numFmtId="196" fontId="11" fillId="0" borderId="321" xfId="0" applyNumberFormat="1" applyFont="1" applyFill="1" applyBorder="1" applyAlignment="1" applyProtection="1">
      <alignment horizontal="center" vertical="center"/>
      <protection hidden="1"/>
    </xf>
    <xf numFmtId="176" fontId="4" fillId="0" borderId="48" xfId="0" applyNumberFormat="1" applyFont="1" applyBorder="1" applyAlignment="1" applyProtection="1">
      <alignment horizontal="center" vertical="center" shrinkToFit="1"/>
      <protection hidden="1"/>
    </xf>
    <xf numFmtId="176" fontId="4" fillId="0" borderId="432" xfId="0" applyNumberFormat="1" applyFont="1" applyBorder="1" applyAlignment="1" applyProtection="1">
      <alignment horizontal="center" vertical="center" shrinkToFi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0" fillId="0" borderId="260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23" fillId="9" borderId="2" xfId="9" applyNumberFormat="1" applyFont="1" applyBorder="1" applyAlignment="1" applyProtection="1">
      <alignment horizontal="center" vertical="center"/>
      <protection hidden="1"/>
    </xf>
    <xf numFmtId="183" fontId="23" fillId="9" borderId="261" xfId="9" applyNumberFormat="1" applyFont="1" applyBorder="1" applyAlignment="1" applyProtection="1">
      <alignment horizontal="center" vertical="center"/>
      <protection hidden="1"/>
    </xf>
    <xf numFmtId="183" fontId="3" fillId="23" borderId="2" xfId="0" applyNumberFormat="1" applyFont="1" applyFill="1" applyBorder="1" applyAlignment="1" applyProtection="1">
      <alignment horizontal="center" vertical="center"/>
      <protection locked="0" hidden="1"/>
    </xf>
    <xf numFmtId="183" fontId="0" fillId="23" borderId="261" xfId="0" applyNumberFormat="1" applyFill="1" applyBorder="1" applyAlignment="1" applyProtection="1">
      <alignment horizontal="center" vertical="center"/>
      <protection locked="0" hidden="1"/>
    </xf>
    <xf numFmtId="183" fontId="23" fillId="9" borderId="259" xfId="9" applyNumberFormat="1" applyFont="1" applyBorder="1" applyAlignment="1" applyProtection="1">
      <alignment horizontal="center" vertical="center"/>
      <protection hidden="1"/>
    </xf>
    <xf numFmtId="183" fontId="0" fillId="23" borderId="259" xfId="0" applyNumberFormat="1" applyFill="1" applyBorder="1" applyAlignment="1" applyProtection="1">
      <alignment horizontal="center" vertical="center"/>
      <protection locked="0" hidden="1"/>
    </xf>
    <xf numFmtId="183" fontId="1" fillId="9" borderId="3" xfId="9" applyNumberFormat="1" applyBorder="1" applyAlignment="1" applyProtection="1">
      <alignment horizontal="center" vertical="center"/>
      <protection hidden="1"/>
    </xf>
    <xf numFmtId="183" fontId="1" fillId="9" borderId="248" xfId="9" applyNumberFormat="1" applyBorder="1" applyAlignment="1" applyProtection="1">
      <alignment horizontal="left" vertical="center" indent="1"/>
      <protection hidden="1"/>
    </xf>
    <xf numFmtId="183" fontId="1" fillId="9" borderId="88" xfId="9" applyNumberFormat="1" applyBorder="1" applyAlignment="1" applyProtection="1">
      <alignment horizontal="center" vertical="center"/>
      <protection hidden="1"/>
    </xf>
    <xf numFmtId="183" fontId="23" fillId="0" borderId="433" xfId="0" applyNumberFormat="1" applyFont="1" applyBorder="1" applyAlignment="1" applyProtection="1">
      <alignment horizontal="center" vertical="center"/>
      <protection hidden="1"/>
    </xf>
    <xf numFmtId="183" fontId="11" fillId="15" borderId="4" xfId="0" applyNumberFormat="1" applyFont="1" applyFill="1" applyBorder="1" applyAlignment="1" applyProtection="1">
      <alignment horizontal="right" vertical="center"/>
      <protection locked="0" hidden="1"/>
    </xf>
    <xf numFmtId="183" fontId="1" fillId="9" borderId="68" xfId="9" applyNumberFormat="1" applyBorder="1" applyAlignment="1" applyProtection="1">
      <alignment horizontal="left" vertical="center" indent="1"/>
      <protection hidden="1"/>
    </xf>
    <xf numFmtId="183" fontId="1" fillId="9" borderId="4" xfId="9" applyNumberFormat="1" applyBorder="1" applyProtection="1">
      <alignment vertical="center"/>
      <protection hidden="1"/>
    </xf>
    <xf numFmtId="183" fontId="1" fillId="9" borderId="188" xfId="9" applyNumberFormat="1" applyBorder="1" applyProtection="1">
      <alignment vertical="center"/>
      <protection hidden="1"/>
    </xf>
    <xf numFmtId="183" fontId="4" fillId="0" borderId="259" xfId="0" applyNumberFormat="1" applyFont="1" applyBorder="1" applyAlignment="1" applyProtection="1">
      <alignment horizontal="center" vertical="center"/>
      <protection hidden="1"/>
    </xf>
    <xf numFmtId="183" fontId="4" fillId="0" borderId="240" xfId="0" applyNumberFormat="1" applyFont="1" applyBorder="1" applyAlignment="1" applyProtection="1">
      <alignment horizontal="center" vertical="center"/>
      <protection hidden="1"/>
    </xf>
    <xf numFmtId="183" fontId="1" fillId="9" borderId="89" xfId="9" applyNumberFormat="1" applyBorder="1" applyAlignment="1" applyProtection="1">
      <alignment horizontal="right" vertical="center"/>
      <protection hidden="1"/>
    </xf>
    <xf numFmtId="0" fontId="0" fillId="0" borderId="392" xfId="0" applyBorder="1" applyAlignment="1" applyProtection="1">
      <alignment horizontal="left" vertical="center"/>
      <protection hidden="1"/>
    </xf>
    <xf numFmtId="0" fontId="0" fillId="0" borderId="434" xfId="0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176" fontId="0" fillId="0" borderId="431" xfId="0" applyNumberFormat="1" applyBorder="1" applyAlignment="1" applyProtection="1">
      <alignment horizontal="center" vertical="center"/>
      <protection hidden="1"/>
    </xf>
    <xf numFmtId="176" fontId="0" fillId="0" borderId="307" xfId="0" applyNumberFormat="1" applyBorder="1" applyAlignment="1" applyProtection="1">
      <alignment horizontal="center" vertical="center"/>
      <protection hidden="1"/>
    </xf>
    <xf numFmtId="0" fontId="134" fillId="0" borderId="0" xfId="0" applyFont="1" applyAlignment="1">
      <alignment horizontal="center" vertical="center"/>
    </xf>
    <xf numFmtId="0" fontId="134" fillId="0" borderId="30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04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23" fillId="0" borderId="304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/>
      <protection hidden="1"/>
    </xf>
    <xf numFmtId="0" fontId="23" fillId="0" borderId="46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18" borderId="31" xfId="0" applyFill="1" applyBorder="1" applyAlignment="1" applyProtection="1">
      <alignment horizontal="right" vertical="center" indent="1"/>
      <protection hidden="1"/>
    </xf>
    <xf numFmtId="0" fontId="0" fillId="18" borderId="33" xfId="0" applyFill="1" applyBorder="1" applyAlignment="1" applyProtection="1">
      <alignment horizontal="right" vertical="center" indent="1"/>
      <protection hidden="1"/>
    </xf>
    <xf numFmtId="183" fontId="0" fillId="0" borderId="0" xfId="0" applyNumberFormat="1" applyBorder="1" applyAlignment="1" applyProtection="1">
      <alignment horizontal="center" vertical="center"/>
      <protection hidden="1"/>
    </xf>
    <xf numFmtId="0" fontId="34" fillId="0" borderId="78" xfId="0" applyFont="1" applyBorder="1" applyAlignment="1" applyProtection="1">
      <alignment horizontal="left" wrapText="1"/>
      <protection hidden="1"/>
    </xf>
    <xf numFmtId="0" fontId="42" fillId="0" borderId="0" xfId="13" applyBorder="1" applyAlignment="1">
      <alignment horizontal="left" vertical="center" indent="1"/>
    </xf>
    <xf numFmtId="179" fontId="0" fillId="0" borderId="15" xfId="0" applyNumberForma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wrapText="1"/>
      <protection hidden="1"/>
    </xf>
    <xf numFmtId="0" fontId="24" fillId="0" borderId="20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176" fontId="52" fillId="0" borderId="0" xfId="14" applyNumberFormat="1" applyFont="1" applyBorder="1" applyAlignment="1" applyProtection="1">
      <alignment horizontal="left" vertical="center"/>
    </xf>
    <xf numFmtId="0" fontId="42" fillId="0" borderId="0" xfId="14" applyBorder="1" applyAlignment="1" applyProtection="1">
      <alignment horizontal="left" vertical="center" readingOrder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90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25" fillId="0" borderId="19" xfId="0" applyFont="1" applyBorder="1" applyAlignment="1" applyProtection="1">
      <alignment horizontal="center" wrapText="1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140" xfId="0" applyBorder="1" applyAlignment="1" applyProtection="1">
      <alignment horizontal="center" vertical="center"/>
      <protection hidden="1"/>
    </xf>
    <xf numFmtId="0" fontId="56" fillId="0" borderId="142" xfId="0" applyFont="1" applyBorder="1" applyAlignment="1" applyProtection="1">
      <alignment horizontal="center" vertical="center" shrinkToFit="1"/>
      <protection hidden="1"/>
    </xf>
    <xf numFmtId="0" fontId="56" fillId="0" borderId="143" xfId="0" applyFont="1" applyBorder="1" applyAlignment="1" applyProtection="1">
      <alignment horizontal="center" vertical="center" shrinkToFit="1"/>
      <protection hidden="1"/>
    </xf>
    <xf numFmtId="0" fontId="56" fillId="0" borderId="144" xfId="0" applyFont="1" applyBorder="1" applyAlignment="1" applyProtection="1">
      <alignment horizontal="center" vertical="center" shrinkToFit="1"/>
      <protection hidden="1"/>
    </xf>
    <xf numFmtId="0" fontId="56" fillId="0" borderId="145" xfId="0" applyFont="1" applyBorder="1" applyAlignment="1" applyProtection="1">
      <alignment horizontal="center" vertical="center" shrinkToFit="1"/>
      <protection hidden="1"/>
    </xf>
    <xf numFmtId="0" fontId="56" fillId="0" borderId="146" xfId="0" applyFont="1" applyBorder="1" applyAlignment="1" applyProtection="1">
      <alignment horizontal="center" vertical="center" shrinkToFit="1"/>
      <protection hidden="1"/>
    </xf>
    <xf numFmtId="0" fontId="56" fillId="0" borderId="147" xfId="0" applyFont="1" applyBorder="1" applyAlignment="1" applyProtection="1">
      <alignment horizontal="center" vertical="center" shrinkToFi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80" fillId="0" borderId="0" xfId="14" applyFont="1" applyBorder="1" applyAlignment="1" applyProtection="1">
      <alignment horizontal="left" vertical="center" indent="1" readingOrder="1"/>
    </xf>
    <xf numFmtId="0" fontId="131" fillId="23" borderId="0" xfId="0" applyFont="1" applyFill="1" applyAlignment="1">
      <alignment horizontal="left" vertical="center" indent="1"/>
    </xf>
    <xf numFmtId="0" fontId="0" fillId="0" borderId="56" xfId="0" applyBorder="1" applyAlignment="1" applyProtection="1">
      <alignment horizontal="center" vertical="center" shrinkToFit="1"/>
      <protection hidden="1"/>
    </xf>
    <xf numFmtId="0" fontId="0" fillId="0" borderId="57" xfId="0" applyBorder="1" applyAlignment="1" applyProtection="1">
      <alignment horizontal="center" vertical="center" shrinkToFit="1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10" fillId="0" borderId="79" xfId="0" applyFont="1" applyBorder="1" applyAlignment="1" applyProtection="1">
      <alignment horizontal="left" vertical="center"/>
      <protection hidden="1"/>
    </xf>
    <xf numFmtId="0" fontId="0" fillId="0" borderId="79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6" fillId="0" borderId="119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8" fillId="0" borderId="79" xfId="0" applyFont="1" applyBorder="1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5" fillId="0" borderId="306" xfId="0" applyFont="1" applyBorder="1" applyAlignment="1" applyProtection="1">
      <alignment horizontal="left"/>
      <protection hidden="1"/>
    </xf>
    <xf numFmtId="0" fontId="76" fillId="0" borderId="0" xfId="13" applyFont="1" applyFill="1" applyAlignment="1" applyProtection="1">
      <alignment horizontal="center"/>
      <protection hidden="1"/>
    </xf>
    <xf numFmtId="0" fontId="96" fillId="0" borderId="307" xfId="13" applyFont="1" applyBorder="1" applyAlignment="1">
      <alignment horizontal="left" vertical="center" indent="1"/>
    </xf>
    <xf numFmtId="0" fontId="101" fillId="0" borderId="307" xfId="13" applyFont="1" applyBorder="1" applyAlignment="1">
      <alignment horizontal="left" vertical="center" indent="1"/>
    </xf>
    <xf numFmtId="0" fontId="11" fillId="13" borderId="2" xfId="0" applyFont="1" applyFill="1" applyBorder="1" applyAlignment="1" applyProtection="1">
      <alignment horizontal="center" vertical="center"/>
      <protection locked="0" hidden="1"/>
    </xf>
    <xf numFmtId="0" fontId="11" fillId="13" borderId="3" xfId="0" applyFont="1" applyFill="1" applyBorder="1" applyAlignment="1" applyProtection="1">
      <alignment horizontal="center" vertical="center"/>
      <protection locked="0" hidden="1"/>
    </xf>
    <xf numFmtId="0" fontId="17" fillId="14" borderId="2" xfId="0" applyFont="1" applyFill="1" applyBorder="1" applyAlignment="1" applyProtection="1">
      <alignment horizontal="center" vertical="center"/>
      <protection locked="0" hidden="1"/>
    </xf>
    <xf numFmtId="0" fontId="17" fillId="14" borderId="3" xfId="0" applyFont="1" applyFill="1" applyBorder="1" applyAlignment="1" applyProtection="1">
      <alignment horizontal="center" vertical="center"/>
      <protection locked="0" hidden="1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4" fillId="0" borderId="33" xfId="0" applyFont="1" applyBorder="1" applyAlignment="1" applyProtection="1">
      <alignment horizontal="left" wrapText="1" indent="1"/>
      <protection locked="0"/>
    </xf>
    <xf numFmtId="0" fontId="24" fillId="0" borderId="32" xfId="0" applyFont="1" applyBorder="1" applyAlignment="1" applyProtection="1">
      <alignment horizontal="left" wrapText="1" indent="1"/>
      <protection locked="0"/>
    </xf>
    <xf numFmtId="0" fontId="24" fillId="0" borderId="150" xfId="0" applyFont="1" applyBorder="1" applyAlignment="1" applyProtection="1">
      <alignment horizontal="left" wrapText="1" indent="1"/>
      <protection locked="0"/>
    </xf>
    <xf numFmtId="0" fontId="24" fillId="0" borderId="155" xfId="0" applyFont="1" applyBorder="1" applyAlignment="1" applyProtection="1">
      <alignment horizontal="left" wrapText="1" indent="1"/>
      <protection locked="0"/>
    </xf>
    <xf numFmtId="0" fontId="24" fillId="0" borderId="151" xfId="0" applyFont="1" applyBorder="1" applyAlignment="1" applyProtection="1">
      <alignment horizontal="left" wrapText="1" indent="1"/>
      <protection locked="0"/>
    </xf>
    <xf numFmtId="0" fontId="34" fillId="0" borderId="0" xfId="0" applyFont="1" applyAlignment="1">
      <alignment horizontal="left" wrapText="1"/>
    </xf>
    <xf numFmtId="183" fontId="24" fillId="13" borderId="15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51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48" xfId="0" applyNumberFormat="1" applyFont="1" applyBorder="1" applyAlignment="1" applyProtection="1">
      <alignment horizontal="center" wrapText="1"/>
      <protection locked="0"/>
    </xf>
    <xf numFmtId="183" fontId="25" fillId="0" borderId="51" xfId="0" applyNumberFormat="1" applyFont="1" applyBorder="1" applyAlignment="1" applyProtection="1">
      <alignment horizontal="center" wrapText="1"/>
      <protection locked="0"/>
    </xf>
    <xf numFmtId="183" fontId="25" fillId="0" borderId="63" xfId="0" applyNumberFormat="1" applyFont="1" applyBorder="1" applyAlignment="1" applyProtection="1">
      <alignment horizontal="center" wrapText="1"/>
      <protection locked="0"/>
    </xf>
    <xf numFmtId="0" fontId="24" fillId="0" borderId="152" xfId="0" applyFont="1" applyBorder="1" applyAlignment="1" applyProtection="1">
      <alignment horizontal="left" wrapText="1" indent="1"/>
      <protection locked="0"/>
    </xf>
    <xf numFmtId="0" fontId="24" fillId="0" borderId="153" xfId="0" applyFont="1" applyBorder="1" applyAlignment="1" applyProtection="1">
      <alignment horizontal="left" wrapText="1" indent="1"/>
      <protection locked="0"/>
    </xf>
    <xf numFmtId="0" fontId="24" fillId="0" borderId="154" xfId="0" applyFont="1" applyBorder="1" applyAlignment="1" applyProtection="1">
      <alignment horizontal="left" wrapText="1" indent="1"/>
      <protection locked="0"/>
    </xf>
    <xf numFmtId="183" fontId="24" fillId="0" borderId="70" xfId="0" applyNumberFormat="1" applyFont="1" applyBorder="1" applyAlignment="1" applyProtection="1">
      <alignment horizontal="left" wrapText="1" indent="1"/>
      <protection hidden="1"/>
    </xf>
    <xf numFmtId="183" fontId="24" fillId="0" borderId="112" xfId="0" applyNumberFormat="1" applyFont="1" applyBorder="1" applyAlignment="1" applyProtection="1">
      <alignment horizontal="left" wrapText="1" indent="1"/>
      <protection hidden="1"/>
    </xf>
    <xf numFmtId="183" fontId="24" fillId="0" borderId="70" xfId="0" applyNumberFormat="1" applyFont="1" applyBorder="1" applyAlignment="1" applyProtection="1">
      <alignment horizontal="center" wrapText="1"/>
      <protection locked="0"/>
    </xf>
    <xf numFmtId="183" fontId="24" fillId="0" borderId="27" xfId="0" applyNumberFormat="1" applyFont="1" applyBorder="1" applyAlignment="1" applyProtection="1">
      <alignment horizontal="center" wrapText="1"/>
      <protection locked="0"/>
    </xf>
    <xf numFmtId="183" fontId="24" fillId="0" borderId="112" xfId="0" applyNumberFormat="1" applyFont="1" applyBorder="1" applyAlignment="1" applyProtection="1">
      <alignment horizontal="center" wrapText="1"/>
      <protection locked="0"/>
    </xf>
    <xf numFmtId="183" fontId="24" fillId="13" borderId="7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31" xfId="0" applyNumberFormat="1" applyFont="1" applyBorder="1" applyAlignment="1" applyProtection="1">
      <alignment horizontal="center" wrapText="1"/>
      <protection locked="0"/>
    </xf>
    <xf numFmtId="183" fontId="25" fillId="0" borderId="33" xfId="0" applyNumberFormat="1" applyFont="1" applyBorder="1" applyAlignment="1" applyProtection="1">
      <alignment horizontal="center" wrapText="1"/>
      <protection locked="0"/>
    </xf>
    <xf numFmtId="183" fontId="25" fillId="0" borderId="32" xfId="0" applyNumberFormat="1" applyFont="1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 applyProtection="1">
      <alignment horizontal="left" vertical="center" indent="1"/>
      <protection locked="0" hidden="1"/>
    </xf>
    <xf numFmtId="0" fontId="0" fillId="0" borderId="32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>
      <alignment horizontal="distributed" vertical="center" indent="1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182" fontId="0" fillId="0" borderId="48" xfId="0" applyNumberFormat="1" applyBorder="1" applyAlignment="1" applyProtection="1">
      <alignment horizontal="left" vertical="center" indent="1"/>
      <protection locked="0" hidden="1"/>
    </xf>
    <xf numFmtId="182" fontId="0" fillId="0" borderId="51" xfId="0" applyNumberFormat="1" applyBorder="1" applyAlignment="1" applyProtection="1">
      <alignment horizontal="left" vertical="center" indent="1"/>
      <protection locked="0" hidden="1"/>
    </xf>
    <xf numFmtId="182" fontId="0" fillId="0" borderId="63" xfId="0" applyNumberFormat="1" applyBorder="1" applyAlignment="1" applyProtection="1">
      <alignment horizontal="left" vertical="center" indent="1"/>
      <protection locked="0" hidden="1"/>
    </xf>
    <xf numFmtId="0" fontId="0" fillId="0" borderId="51" xfId="0" applyBorder="1" applyAlignment="1">
      <alignment horizontal="distributed" vertical="center" indent="1"/>
    </xf>
    <xf numFmtId="0" fontId="0" fillId="0" borderId="48" xfId="0" applyBorder="1" applyAlignment="1" applyProtection="1">
      <alignment horizontal="left" vertical="center" indent="1"/>
      <protection locked="0"/>
    </xf>
    <xf numFmtId="0" fontId="0" fillId="0" borderId="63" xfId="0" applyBorder="1" applyAlignment="1" applyProtection="1">
      <alignment horizontal="left" vertical="center" indent="1"/>
      <protection locked="0"/>
    </xf>
    <xf numFmtId="0" fontId="23" fillId="0" borderId="2" xfId="0" applyFont="1" applyBorder="1" applyAlignment="1">
      <alignment horizontal="left" vertical="center" indent="1"/>
    </xf>
    <xf numFmtId="0" fontId="23" fillId="0" borderId="148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0" fillId="0" borderId="149" xfId="0" applyBorder="1" applyAlignment="1">
      <alignment horizontal="center" vertical="center"/>
    </xf>
    <xf numFmtId="0" fontId="63" fillId="0" borderId="2" xfId="0" applyFont="1" applyBorder="1" applyAlignment="1" applyProtection="1">
      <alignment horizontal="center" wrapText="1"/>
      <protection hidden="1"/>
    </xf>
    <xf numFmtId="0" fontId="63" fillId="0" borderId="3" xfId="0" applyFont="1" applyBorder="1" applyAlignment="1" applyProtection="1">
      <alignment horizontal="center" wrapText="1"/>
      <protection hidden="1"/>
    </xf>
    <xf numFmtId="0" fontId="63" fillId="0" borderId="2" xfId="0" applyFont="1" applyBorder="1" applyAlignment="1">
      <alignment horizontal="center" wrapText="1"/>
    </xf>
    <xf numFmtId="0" fontId="63" fillId="0" borderId="148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82" fontId="0" fillId="0" borderId="31" xfId="0" applyNumberFormat="1" applyBorder="1" applyAlignment="1" applyProtection="1">
      <alignment horizontal="left" vertical="center" indent="1"/>
      <protection locked="0" hidden="1"/>
    </xf>
    <xf numFmtId="182" fontId="0" fillId="0" borderId="33" xfId="0" applyNumberFormat="1" applyBorder="1" applyAlignment="1" applyProtection="1">
      <alignment horizontal="left" vertical="center" indent="1"/>
      <protection locked="0" hidden="1"/>
    </xf>
    <xf numFmtId="182" fontId="0" fillId="0" borderId="32" xfId="0" applyNumberFormat="1" applyBorder="1" applyAlignment="1" applyProtection="1">
      <alignment horizontal="left" vertical="center" indent="1"/>
      <protection locked="0" hidden="1"/>
    </xf>
    <xf numFmtId="0" fontId="6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148" xfId="0" applyBorder="1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0" fontId="23" fillId="0" borderId="148" xfId="0" applyFont="1" applyBorder="1" applyAlignment="1">
      <alignment horizontal="distributed" vertical="center" inden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hidden="1"/>
    </xf>
    <xf numFmtId="0" fontId="10" fillId="0" borderId="27" xfId="0" applyFont="1" applyBorder="1" applyAlignment="1" applyProtection="1">
      <alignment horizontal="left" vertical="center" indent="1"/>
      <protection hidden="1"/>
    </xf>
    <xf numFmtId="0" fontId="10" fillId="0" borderId="112" xfId="0" applyFont="1" applyBorder="1" applyAlignment="1" applyProtection="1">
      <alignment horizontal="left" vertical="center" indent="1"/>
      <protection hidden="1"/>
    </xf>
    <xf numFmtId="0" fontId="0" fillId="0" borderId="27" xfId="0" applyBorder="1" applyAlignment="1">
      <alignment horizontal="distributed" vertical="center" indent="1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112" xfId="0" applyBorder="1" applyAlignment="1" applyProtection="1">
      <alignment horizontal="left" vertical="center" indent="1"/>
      <protection locked="0"/>
    </xf>
    <xf numFmtId="0" fontId="42" fillId="0" borderId="0" xfId="14" applyBorder="1" applyAlignment="1" applyProtection="1">
      <alignment horizontal="left" vertical="center" indent="1" readingOrder="1"/>
    </xf>
    <xf numFmtId="0" fontId="42" fillId="0" borderId="0" xfId="13" applyAlignment="1">
      <alignment horizontal="left" vertical="center"/>
    </xf>
    <xf numFmtId="0" fontId="14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indent="3"/>
    </xf>
    <xf numFmtId="0" fontId="0" fillId="13" borderId="2" xfId="0" applyFill="1" applyBorder="1" applyAlignment="1" applyProtection="1">
      <alignment horizontal="center" vertical="center"/>
      <protection locked="0" hidden="1"/>
    </xf>
    <xf numFmtId="0" fontId="0" fillId="13" borderId="3" xfId="0" applyFill="1" applyBorder="1" applyAlignment="1" applyProtection="1">
      <alignment horizontal="center" vertical="center"/>
      <protection locked="0" hidden="1"/>
    </xf>
    <xf numFmtId="0" fontId="12" fillId="0" borderId="179" xfId="0" applyFont="1" applyFill="1" applyBorder="1" applyAlignment="1" applyProtection="1">
      <alignment horizontal="center" vertical="center"/>
      <protection hidden="1"/>
    </xf>
    <xf numFmtId="0" fontId="12" fillId="0" borderId="148" xfId="0" applyFont="1" applyFill="1" applyBorder="1" applyAlignment="1" applyProtection="1">
      <alignment horizontal="center" vertical="center"/>
      <protection hidden="1"/>
    </xf>
    <xf numFmtId="0" fontId="12" fillId="0" borderId="69" xfId="0" applyFont="1" applyFill="1" applyBorder="1" applyAlignment="1" applyProtection="1">
      <alignment horizontal="center" vertical="center"/>
      <protection hidden="1"/>
    </xf>
    <xf numFmtId="0" fontId="11" fillId="0" borderId="179" xfId="0" applyFont="1" applyFill="1" applyBorder="1" applyAlignment="1" applyProtection="1">
      <alignment horizontal="center" vertical="center"/>
      <protection hidden="1"/>
    </xf>
    <xf numFmtId="0" fontId="11" fillId="0" borderId="148" xfId="0" applyFont="1" applyFill="1" applyBorder="1" applyAlignment="1" applyProtection="1">
      <alignment horizontal="center" vertical="center"/>
      <protection hidden="1"/>
    </xf>
    <xf numFmtId="0" fontId="11" fillId="0" borderId="69" xfId="0" applyFont="1" applyFill="1" applyBorder="1" applyAlignment="1" applyProtection="1">
      <alignment horizontal="center" vertical="center"/>
      <protection hidden="1"/>
    </xf>
    <xf numFmtId="183" fontId="12" fillId="0" borderId="170" xfId="0" applyNumberFormat="1" applyFont="1" applyBorder="1" applyAlignment="1" applyProtection="1">
      <alignment horizontal="center" vertical="center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12" fillId="0" borderId="60" xfId="0" applyNumberFormat="1" applyFont="1" applyBorder="1" applyAlignment="1" applyProtection="1">
      <alignment horizontal="center" vertical="center" textRotation="255"/>
      <protection hidden="1"/>
    </xf>
    <xf numFmtId="183" fontId="12" fillId="0" borderId="140" xfId="0" applyNumberFormat="1" applyFont="1" applyBorder="1" applyAlignment="1" applyProtection="1">
      <alignment horizontal="center" vertical="center" textRotation="255"/>
      <protection hidden="1"/>
    </xf>
    <xf numFmtId="183" fontId="0" fillId="0" borderId="56" xfId="0" applyNumberForma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183" fontId="123" fillId="0" borderId="178" xfId="0" applyNumberFormat="1" applyFont="1" applyBorder="1" applyAlignment="1" applyProtection="1">
      <alignment horizontal="center" vertical="center"/>
      <protection hidden="1"/>
    </xf>
    <xf numFmtId="183" fontId="123" fillId="0" borderId="158" xfId="0" applyNumberFormat="1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locked="0" hidden="1"/>
    </xf>
    <xf numFmtId="0" fontId="23" fillId="0" borderId="148" xfId="0" applyFont="1" applyBorder="1" applyAlignment="1" applyProtection="1">
      <alignment horizontal="center" vertical="center"/>
      <protection locked="0" hidden="1"/>
    </xf>
    <xf numFmtId="0" fontId="23" fillId="0" borderId="3" xfId="0" applyFont="1" applyBorder="1" applyAlignment="1" applyProtection="1">
      <alignment horizontal="center" vertical="center"/>
      <protection locked="0" hidden="1"/>
    </xf>
    <xf numFmtId="0" fontId="0" fillId="0" borderId="166" xfId="0" applyBorder="1" applyAlignment="1" applyProtection="1">
      <alignment horizontal="center" vertical="center"/>
      <protection hidden="1"/>
    </xf>
    <xf numFmtId="0" fontId="0" fillId="0" borderId="167" xfId="0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left" vertical="center" indent="1"/>
      <protection hidden="1"/>
    </xf>
    <xf numFmtId="0" fontId="118" fillId="0" borderId="158" xfId="0" applyFont="1" applyBorder="1" applyAlignment="1" applyProtection="1">
      <alignment horizontal="left" vertical="center" indent="5"/>
      <protection hidden="1"/>
    </xf>
    <xf numFmtId="0" fontId="23" fillId="0" borderId="15" xfId="0" applyFont="1" applyBorder="1" applyAlignment="1" applyProtection="1">
      <alignment horizontal="left" vertical="center" indent="1"/>
      <protection hidden="1"/>
    </xf>
    <xf numFmtId="183" fontId="11" fillId="33" borderId="159" xfId="0" applyNumberFormat="1" applyFont="1" applyFill="1" applyBorder="1" applyAlignment="1" applyProtection="1">
      <alignment horizontal="center" vertical="center"/>
      <protection hidden="1"/>
    </xf>
    <xf numFmtId="183" fontId="11" fillId="33" borderId="160" xfId="0" applyNumberFormat="1" applyFont="1" applyFill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23" fillId="0" borderId="179" xfId="0" applyFont="1" applyBorder="1" applyAlignment="1" applyProtection="1">
      <alignment horizontal="center" vertical="center"/>
      <protection hidden="1"/>
    </xf>
    <xf numFmtId="0" fontId="23" fillId="0" borderId="148" xfId="0" applyFont="1" applyBorder="1" applyAlignment="1" applyProtection="1">
      <alignment horizontal="center" vertical="center"/>
      <protection hidden="1"/>
    </xf>
    <xf numFmtId="0" fontId="23" fillId="0" borderId="69" xfId="0" applyFont="1" applyBorder="1" applyAlignment="1" applyProtection="1">
      <alignment horizontal="center" vertical="center"/>
      <protection hidden="1"/>
    </xf>
    <xf numFmtId="0" fontId="0" fillId="0" borderId="179" xfId="0" applyBorder="1" applyAlignment="1" applyProtection="1">
      <alignment horizontal="center" vertical="center"/>
      <protection hidden="1"/>
    </xf>
    <xf numFmtId="0" fontId="0" fillId="0" borderId="148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10" fillId="0" borderId="302" xfId="0" applyFont="1" applyBorder="1" applyAlignment="1" applyProtection="1">
      <alignment horizontal="center" vertical="center"/>
      <protection hidden="1"/>
    </xf>
    <xf numFmtId="0" fontId="0" fillId="0" borderId="30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180" xfId="0" applyBorder="1" applyAlignment="1" applyProtection="1">
      <alignment horizontal="left" vertical="center" indent="1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202" xfId="0" applyFont="1" applyBorder="1" applyAlignment="1" applyProtection="1">
      <alignment horizontal="center" vertical="center"/>
      <protection hidden="1"/>
    </xf>
    <xf numFmtId="0" fontId="23" fillId="0" borderId="203" xfId="0" applyFont="1" applyBorder="1" applyAlignment="1" applyProtection="1">
      <alignment horizontal="center" vertical="center"/>
      <protection hidden="1"/>
    </xf>
    <xf numFmtId="0" fontId="60" fillId="0" borderId="215" xfId="0" applyFont="1" applyBorder="1" applyAlignment="1" applyProtection="1">
      <alignment horizontal="left" vertical="center" indent="3"/>
      <protection hidden="1"/>
    </xf>
    <xf numFmtId="0" fontId="60" fillId="0" borderId="15" xfId="0" applyFont="1" applyBorder="1" applyAlignment="1" applyProtection="1">
      <alignment horizontal="left" vertical="center" indent="3"/>
      <protection hidden="1"/>
    </xf>
    <xf numFmtId="0" fontId="86" fillId="0" borderId="0" xfId="13" applyFont="1" applyAlignment="1">
      <alignment horizontal="center" vertical="center"/>
    </xf>
    <xf numFmtId="0" fontId="42" fillId="0" borderId="0" xfId="13" applyAlignment="1">
      <alignment horizontal="center" vertical="center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68" fillId="0" borderId="196" xfId="0" applyFont="1" applyBorder="1" applyAlignment="1" applyProtection="1">
      <alignment horizontal="left" vertical="center"/>
      <protection hidden="1"/>
    </xf>
    <xf numFmtId="183" fontId="70" fillId="0" borderId="179" xfId="0" applyNumberFormat="1" applyFont="1" applyBorder="1" applyAlignment="1" applyProtection="1">
      <alignment horizontal="left" vertical="center" indent="1"/>
      <protection hidden="1"/>
    </xf>
    <xf numFmtId="183" fontId="71" fillId="0" borderId="148" xfId="0" applyNumberFormat="1" applyFont="1" applyBorder="1" applyAlignment="1" applyProtection="1">
      <alignment horizontal="left" vertical="center" indent="1"/>
      <protection hidden="1"/>
    </xf>
    <xf numFmtId="183" fontId="71" fillId="0" borderId="69" xfId="0" applyNumberFormat="1" applyFont="1" applyBorder="1" applyAlignment="1" applyProtection="1">
      <alignment horizontal="left" vertical="center" indent="1"/>
      <protection hidden="1"/>
    </xf>
    <xf numFmtId="183" fontId="70" fillId="0" borderId="287" xfId="0" applyNumberFormat="1" applyFont="1" applyBorder="1" applyAlignment="1" applyProtection="1">
      <alignment horizontal="left" vertical="center" indent="1"/>
      <protection hidden="1"/>
    </xf>
    <xf numFmtId="183" fontId="71" fillId="0" borderId="288" xfId="0" applyNumberFormat="1" applyFont="1" applyBorder="1" applyAlignment="1" applyProtection="1">
      <alignment horizontal="left" vertical="center" indent="1"/>
      <protection hidden="1"/>
    </xf>
    <xf numFmtId="183" fontId="73" fillId="0" borderId="289" xfId="0" applyNumberFormat="1" applyFont="1" applyBorder="1" applyAlignment="1" applyProtection="1">
      <alignment horizontal="left" vertical="center" indent="1"/>
      <protection hidden="1"/>
    </xf>
    <xf numFmtId="183" fontId="73" fillId="0" borderId="290" xfId="0" applyNumberFormat="1" applyFont="1" applyBorder="1" applyAlignment="1" applyProtection="1">
      <alignment horizontal="left" vertical="center" indent="1"/>
      <protection hidden="1"/>
    </xf>
    <xf numFmtId="183" fontId="73" fillId="14" borderId="295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6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7" xfId="0" applyNumberFormat="1" applyFont="1" applyFill="1" applyBorder="1" applyAlignment="1" applyProtection="1">
      <alignment horizontal="right" vertical="center"/>
      <protection locked="0" hidden="1"/>
    </xf>
    <xf numFmtId="0" fontId="0" fillId="0" borderId="301" xfId="0" applyBorder="1" applyAlignment="1">
      <alignment horizontal="left" vertical="center" indent="1"/>
    </xf>
    <xf numFmtId="183" fontId="73" fillId="0" borderId="278" xfId="0" applyNumberFormat="1" applyFont="1" applyBorder="1" applyAlignment="1" applyProtection="1">
      <alignment horizontal="left" vertical="center" indent="1"/>
      <protection hidden="1"/>
    </xf>
    <xf numFmtId="183" fontId="73" fillId="0" borderId="279" xfId="0" applyNumberFormat="1" applyFont="1" applyBorder="1" applyAlignment="1" applyProtection="1">
      <alignment horizontal="left" vertical="center" indent="1"/>
      <protection hidden="1"/>
    </xf>
    <xf numFmtId="183" fontId="73" fillId="14" borderId="28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84" xfId="0" applyNumberFormat="1" applyFont="1" applyFill="1" applyBorder="1" applyAlignment="1" applyProtection="1">
      <alignment horizontal="right" vertical="center"/>
      <protection locked="0" hidden="1"/>
    </xf>
    <xf numFmtId="183" fontId="10" fillId="0" borderId="265" xfId="0" applyNumberFormat="1" applyFont="1" applyBorder="1" applyAlignment="1" applyProtection="1">
      <alignment horizontal="left" vertical="center" indent="1"/>
      <protection hidden="1"/>
    </xf>
    <xf numFmtId="183" fontId="10" fillId="0" borderId="247" xfId="0" applyNumberFormat="1" applyFont="1" applyBorder="1" applyAlignment="1" applyProtection="1">
      <alignment horizontal="left" vertical="center" indent="1"/>
      <protection hidden="1"/>
    </xf>
    <xf numFmtId="183" fontId="10" fillId="0" borderId="221" xfId="0" applyNumberFormat="1" applyFont="1" applyBorder="1" applyAlignment="1" applyProtection="1">
      <alignment horizontal="left" vertical="center" indent="1"/>
      <protection hidden="1"/>
    </xf>
    <xf numFmtId="183" fontId="73" fillId="0" borderId="266" xfId="0" applyNumberFormat="1" applyFont="1" applyBorder="1" applyAlignment="1" applyProtection="1">
      <alignment horizontal="left" vertical="center" indent="1"/>
      <protection hidden="1"/>
    </xf>
    <xf numFmtId="183" fontId="73" fillId="0" borderId="267" xfId="0" applyNumberFormat="1" applyFont="1" applyBorder="1" applyAlignment="1" applyProtection="1">
      <alignment horizontal="left" vertical="center" indent="1"/>
      <protection hidden="1"/>
    </xf>
    <xf numFmtId="183" fontId="73" fillId="0" borderId="272" xfId="0" applyNumberFormat="1" applyFont="1" applyBorder="1" applyAlignment="1" applyProtection="1">
      <alignment horizontal="right" vertical="center"/>
      <protection locked="0" hidden="1"/>
    </xf>
    <xf numFmtId="183" fontId="73" fillId="0" borderId="273" xfId="0" applyNumberFormat="1" applyFont="1" applyBorder="1" applyAlignment="1" applyProtection="1">
      <alignment horizontal="right" vertical="center"/>
      <protection locked="0" hidden="1"/>
    </xf>
    <xf numFmtId="183" fontId="73" fillId="0" borderId="274" xfId="0" applyNumberFormat="1" applyFont="1" applyBorder="1" applyAlignment="1" applyProtection="1">
      <alignment horizontal="right" vertical="center"/>
      <protection locked="0" hidden="1"/>
    </xf>
    <xf numFmtId="183" fontId="73" fillId="13" borderId="28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284" xfId="0" applyNumberFormat="1" applyFont="1" applyFill="1" applyBorder="1" applyAlignment="1" applyProtection="1">
      <alignment horizontal="right" vertical="center"/>
      <protection locked="0" hidden="1"/>
    </xf>
    <xf numFmtId="183" fontId="70" fillId="0" borderId="260" xfId="0" applyNumberFormat="1" applyFont="1" applyBorder="1" applyAlignment="1" applyProtection="1">
      <alignment horizontal="left" vertical="center" indent="1"/>
      <protection hidden="1"/>
    </xf>
    <xf numFmtId="183" fontId="71" fillId="0" borderId="217" xfId="0" applyNumberFormat="1" applyFont="1" applyBorder="1" applyAlignment="1" applyProtection="1">
      <alignment horizontal="left" vertical="center" indent="1"/>
      <protection hidden="1"/>
    </xf>
    <xf numFmtId="183" fontId="71" fillId="0" borderId="260" xfId="0" applyNumberFormat="1" applyFont="1" applyBorder="1" applyAlignment="1" applyProtection="1">
      <alignment horizontal="left" vertical="center" indent="1"/>
      <protection hidden="1"/>
    </xf>
    <xf numFmtId="183" fontId="0" fillId="0" borderId="260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217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0" fillId="0" borderId="262" xfId="0" applyNumberFormat="1" applyBorder="1" applyAlignment="1" applyProtection="1">
      <alignment horizontal="right" vertical="center"/>
      <protection locked="0" hidden="1"/>
    </xf>
    <xf numFmtId="183" fontId="0" fillId="0" borderId="149" xfId="0" applyNumberFormat="1" applyBorder="1" applyAlignment="1" applyProtection="1">
      <alignment horizontal="right" vertical="center"/>
      <protection locked="0" hidden="1"/>
    </xf>
    <xf numFmtId="183" fontId="0" fillId="0" borderId="39" xfId="0" applyNumberFormat="1" applyBorder="1" applyAlignment="1" applyProtection="1">
      <alignment horizontal="right" vertical="center"/>
      <protection locked="0" hidden="1"/>
    </xf>
    <xf numFmtId="183" fontId="12" fillId="0" borderId="260" xfId="0" applyNumberFormat="1" applyFont="1" applyBorder="1" applyAlignment="1" applyProtection="1">
      <alignment horizontal="left" vertical="center" indent="1"/>
      <protection hidden="1"/>
    </xf>
    <xf numFmtId="183" fontId="12" fillId="0" borderId="148" xfId="0" applyNumberFormat="1" applyFont="1" applyBorder="1" applyAlignment="1" applyProtection="1">
      <alignment horizontal="left" vertical="center" indent="1"/>
      <protection hidden="1"/>
    </xf>
    <xf numFmtId="183" fontId="12" fillId="0" borderId="3" xfId="0" applyNumberFormat="1" applyFont="1" applyBorder="1" applyAlignment="1" applyProtection="1">
      <alignment horizontal="left" vertical="center" indent="1"/>
      <protection hidden="1"/>
    </xf>
    <xf numFmtId="183" fontId="0" fillId="0" borderId="179" xfId="0" applyNumberFormat="1" applyBorder="1" applyAlignment="1" applyProtection="1">
      <alignment horizontal="center" vertical="center"/>
      <protection hidden="1"/>
    </xf>
    <xf numFmtId="183" fontId="0" fillId="0" borderId="148" xfId="0" applyNumberFormat="1" applyBorder="1" applyAlignment="1" applyProtection="1">
      <alignment horizontal="center" vertical="center"/>
      <protection hidden="1"/>
    </xf>
    <xf numFmtId="183" fontId="0" fillId="0" borderId="69" xfId="0" applyNumberFormat="1" applyBorder="1" applyAlignment="1" applyProtection="1">
      <alignment horizontal="center" vertical="center"/>
      <protection hidden="1"/>
    </xf>
    <xf numFmtId="183" fontId="0" fillId="23" borderId="262" xfId="0" applyNumberFormat="1" applyFill="1" applyBorder="1" applyAlignment="1" applyProtection="1">
      <alignment horizontal="center" vertical="center"/>
      <protection locked="0" hidden="1"/>
    </xf>
    <xf numFmtId="183" fontId="0" fillId="23" borderId="149" xfId="0" applyNumberFormat="1" applyFill="1" applyBorder="1" applyAlignment="1" applyProtection="1">
      <alignment horizontal="center" vertical="center"/>
      <protection locked="0" hidden="1"/>
    </xf>
    <xf numFmtId="183" fontId="0" fillId="23" borderId="39" xfId="0" applyNumberFormat="1" applyFill="1" applyBorder="1" applyAlignment="1" applyProtection="1">
      <alignment horizontal="center" vertical="center"/>
      <protection locked="0" hidden="1"/>
    </xf>
    <xf numFmtId="0" fontId="80" fillId="0" borderId="148" xfId="13" applyFont="1" applyBorder="1" applyAlignment="1" applyProtection="1">
      <alignment horizontal="center" vertical="center"/>
      <protection hidden="1"/>
    </xf>
    <xf numFmtId="0" fontId="80" fillId="0" borderId="69" xfId="13" applyFont="1" applyBorder="1" applyAlignment="1" applyProtection="1">
      <alignment horizontal="center" vertical="center"/>
      <protection hidden="1"/>
    </xf>
    <xf numFmtId="183" fontId="23" fillId="9" borderId="260" xfId="9" applyNumberFormat="1" applyFont="1" applyBorder="1" applyAlignment="1" applyProtection="1">
      <alignment horizontal="center" vertical="center"/>
      <protection hidden="1"/>
    </xf>
    <xf numFmtId="183" fontId="23" fillId="9" borderId="148" xfId="9" applyNumberFormat="1" applyFont="1" applyBorder="1" applyAlignment="1" applyProtection="1">
      <alignment horizontal="center" vertical="center"/>
      <protection hidden="1"/>
    </xf>
    <xf numFmtId="183" fontId="23" fillId="9" borderId="3" xfId="9" applyNumberFormat="1" applyFont="1" applyBorder="1" applyAlignment="1" applyProtection="1">
      <alignment horizontal="center" vertical="center"/>
      <protection hidden="1"/>
    </xf>
    <xf numFmtId="183" fontId="23" fillId="9" borderId="262" xfId="9" applyNumberFormat="1" applyFont="1" applyBorder="1" applyAlignment="1" applyProtection="1">
      <alignment horizontal="center" vertical="center"/>
      <protection locked="0" hidden="1"/>
    </xf>
    <xf numFmtId="183" fontId="23" fillId="9" borderId="149" xfId="9" applyNumberFormat="1" applyFont="1" applyBorder="1" applyAlignment="1" applyProtection="1">
      <alignment horizontal="center" vertical="center"/>
      <protection locked="0" hidden="1"/>
    </xf>
    <xf numFmtId="183" fontId="23" fillId="9" borderId="39" xfId="9" applyNumberFormat="1" applyFont="1" applyBorder="1" applyAlignment="1" applyProtection="1">
      <alignment horizontal="center" vertical="center"/>
      <protection locked="0" hidden="1"/>
    </xf>
    <xf numFmtId="183" fontId="0" fillId="15" borderId="2" xfId="0" applyNumberFormat="1" applyFill="1" applyBorder="1" applyAlignment="1" applyProtection="1">
      <alignment horizontal="right" vertical="center"/>
      <protection locked="0" hidden="1"/>
    </xf>
    <xf numFmtId="183" fontId="0" fillId="15" borderId="148" xfId="0" applyNumberFormat="1" applyFill="1" applyBorder="1" applyAlignment="1" applyProtection="1">
      <alignment horizontal="right" vertical="center"/>
      <protection locked="0" hidden="1"/>
    </xf>
    <xf numFmtId="183" fontId="0" fillId="15" borderId="3" xfId="0" applyNumberFormat="1" applyFill="1" applyBorder="1" applyAlignment="1" applyProtection="1">
      <alignment horizontal="right" vertical="center"/>
      <protection locked="0" hidden="1"/>
    </xf>
    <xf numFmtId="183" fontId="0" fillId="0" borderId="260" xfId="0" applyNumberFormat="1" applyBorder="1" applyAlignment="1" applyProtection="1">
      <alignment horizontal="center" vertical="center"/>
      <protection hidden="1"/>
    </xf>
    <xf numFmtId="183" fontId="0" fillId="0" borderId="217" xfId="0" applyNumberFormat="1" applyBorder="1" applyAlignment="1" applyProtection="1">
      <alignment horizontal="center" vertical="center"/>
      <protection hidden="1"/>
    </xf>
    <xf numFmtId="183" fontId="16" fillId="0" borderId="260" xfId="0" applyNumberFormat="1" applyFont="1" applyBorder="1" applyAlignment="1" applyProtection="1">
      <alignment horizontal="left" vertical="center" indent="1"/>
      <protection hidden="1"/>
    </xf>
    <xf numFmtId="183" fontId="16" fillId="0" borderId="148" xfId="0" applyNumberFormat="1" applyFont="1" applyBorder="1" applyAlignment="1" applyProtection="1">
      <alignment horizontal="left" vertical="center" indent="1"/>
      <protection hidden="1"/>
    </xf>
    <xf numFmtId="183" fontId="16" fillId="0" borderId="3" xfId="0" applyNumberFormat="1" applyFont="1" applyBorder="1" applyAlignment="1" applyProtection="1">
      <alignment horizontal="left" vertical="center" indent="1"/>
      <protection hidden="1"/>
    </xf>
    <xf numFmtId="183" fontId="16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2" fillId="0" borderId="2" xfId="0" applyNumberFormat="1" applyFont="1" applyBorder="1" applyAlignment="1" applyProtection="1">
      <alignment horizontal="right" vertical="center"/>
      <protection locked="0" hidden="1"/>
    </xf>
    <xf numFmtId="183" fontId="12" fillId="0" borderId="148" xfId="0" applyNumberFormat="1" applyFont="1" applyBorder="1" applyAlignment="1" applyProtection="1">
      <alignment horizontal="right" vertical="center"/>
      <protection locked="0" hidden="1"/>
    </xf>
    <xf numFmtId="183" fontId="12" fillId="0" borderId="3" xfId="0" applyNumberFormat="1" applyFont="1" applyBorder="1" applyAlignment="1" applyProtection="1">
      <alignment horizontal="right" vertical="center"/>
      <protection locked="0" hidden="1"/>
    </xf>
    <xf numFmtId="183" fontId="11" fillId="0" borderId="260" xfId="0" applyNumberFormat="1" applyFont="1" applyBorder="1" applyAlignment="1" applyProtection="1">
      <alignment horizontal="left" vertical="center" indent="1"/>
      <protection hidden="1"/>
    </xf>
    <xf numFmtId="183" fontId="11" fillId="0" borderId="148" xfId="0" applyNumberFormat="1" applyFont="1" applyBorder="1" applyAlignment="1" applyProtection="1">
      <alignment horizontal="left" vertical="center" indent="1"/>
      <protection hidden="1"/>
    </xf>
    <xf numFmtId="183" fontId="11" fillId="0" borderId="3" xfId="0" applyNumberFormat="1" applyFont="1" applyBorder="1" applyAlignment="1" applyProtection="1">
      <alignment horizontal="left" vertical="center" inden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57" xfId="0" applyNumberFormat="1" applyFont="1" applyBorder="1" applyAlignment="1" applyProtection="1">
      <alignment horizontal="left" vertical="center" indent="1"/>
      <protection hidden="1"/>
    </xf>
    <xf numFmtId="183" fontId="11" fillId="0" borderId="235" xfId="0" applyNumberFormat="1" applyFont="1" applyBorder="1" applyAlignment="1" applyProtection="1">
      <alignment horizontal="left" vertical="center" indent="1"/>
      <protection hidden="1"/>
    </xf>
    <xf numFmtId="183" fontId="11" fillId="0" borderId="258" xfId="0" applyNumberFormat="1" applyFont="1" applyBorder="1" applyAlignment="1" applyProtection="1">
      <alignment horizontal="left" vertical="center" indent="1"/>
      <protection hidden="1"/>
    </xf>
    <xf numFmtId="183" fontId="12" fillId="15" borderId="208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35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58" xfId="0" applyNumberFormat="1" applyFont="1" applyFill="1" applyBorder="1" applyAlignment="1" applyProtection="1">
      <alignment horizontal="right" vertical="center"/>
      <protection locked="0"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83" fontId="12" fillId="0" borderId="249" xfId="0" applyNumberFormat="1" applyFont="1" applyBorder="1" applyAlignment="1" applyProtection="1">
      <alignment horizontal="center" vertical="center"/>
      <protection hidden="1"/>
    </xf>
    <xf numFmtId="183" fontId="12" fillId="0" borderId="250" xfId="0" applyNumberFormat="1" applyFont="1" applyBorder="1" applyAlignment="1" applyProtection="1">
      <alignment horizontal="center" vertical="center"/>
      <protection hidden="1"/>
    </xf>
    <xf numFmtId="183" fontId="11" fillId="15" borderId="254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0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5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00" xfId="0" applyNumberFormat="1" applyFont="1" applyBorder="1" applyAlignment="1" applyProtection="1">
      <alignment horizontal="center" vertical="center" textRotation="255"/>
      <protection hidden="1"/>
    </xf>
    <xf numFmtId="183" fontId="11" fillId="0" borderId="239" xfId="0" applyNumberFormat="1" applyFont="1" applyBorder="1" applyAlignment="1" applyProtection="1">
      <alignment horizontal="center" vertical="center" textRotation="255"/>
      <protection hidden="1"/>
    </xf>
    <xf numFmtId="183" fontId="11" fillId="0" borderId="218" xfId="0" applyNumberFormat="1" applyFont="1" applyBorder="1" applyAlignment="1" applyProtection="1">
      <alignment horizontal="center" vertical="center" textRotation="255"/>
      <protection hidden="1"/>
    </xf>
    <xf numFmtId="0" fontId="60" fillId="0" borderId="0" xfId="0" applyFont="1" applyAlignment="1" applyProtection="1">
      <alignment horizontal="left" vertical="center" indent="3"/>
      <protection hidden="1"/>
    </xf>
    <xf numFmtId="0" fontId="37" fillId="12" borderId="4" xfId="12" applyFont="1" applyBorder="1" applyAlignment="1" applyProtection="1">
      <alignment horizontal="center" vertical="center" wrapText="1"/>
      <protection hidden="1"/>
    </xf>
    <xf numFmtId="0" fontId="115" fillId="12" borderId="4" xfId="12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115" fillId="13" borderId="40" xfId="0" applyFont="1" applyFill="1" applyBorder="1" applyAlignment="1" applyProtection="1">
      <alignment horizontal="center" vertical="center" textRotation="255"/>
      <protection hidden="1"/>
    </xf>
    <xf numFmtId="0" fontId="115" fillId="13" borderId="190" xfId="0" applyFont="1" applyFill="1" applyBorder="1" applyAlignment="1" applyProtection="1">
      <alignment horizontal="center" vertical="center" textRotation="255"/>
      <protection hidden="1"/>
    </xf>
    <xf numFmtId="0" fontId="115" fillId="13" borderId="89" xfId="0" applyFont="1" applyFill="1" applyBorder="1" applyAlignment="1" applyProtection="1">
      <alignment horizontal="center" vertical="center" textRotation="255"/>
      <protection hidden="1"/>
    </xf>
    <xf numFmtId="0" fontId="115" fillId="13" borderId="2" xfId="0" applyFont="1" applyFill="1" applyBorder="1" applyAlignment="1" applyProtection="1">
      <alignment horizontal="center" vertical="center"/>
      <protection hidden="1"/>
    </xf>
    <xf numFmtId="0" fontId="115" fillId="13" borderId="3" xfId="0" applyFont="1" applyFill="1" applyBorder="1" applyAlignment="1" applyProtection="1">
      <alignment horizontal="center" vertical="center"/>
      <protection hidden="1"/>
    </xf>
    <xf numFmtId="14" fontId="115" fillId="0" borderId="2" xfId="0" applyNumberFormat="1" applyFont="1" applyBorder="1" applyAlignment="1" applyProtection="1">
      <alignment horizontal="center" vertical="center"/>
      <protection locked="0" hidden="1"/>
    </xf>
    <xf numFmtId="14" fontId="115" fillId="0" borderId="148" xfId="0" applyNumberFormat="1" applyFont="1" applyBorder="1" applyAlignment="1" applyProtection="1">
      <alignment horizontal="center" vertical="center"/>
      <protection locked="0" hidden="1"/>
    </xf>
    <xf numFmtId="14" fontId="115" fillId="0" borderId="3" xfId="0" applyNumberFormat="1" applyFont="1" applyBorder="1" applyAlignment="1" applyProtection="1">
      <alignment horizontal="center" vertical="center"/>
      <protection locked="0" hidden="1"/>
    </xf>
    <xf numFmtId="0" fontId="115" fillId="0" borderId="4" xfId="0" applyFont="1" applyBorder="1" applyAlignment="1" applyProtection="1">
      <alignment horizontal="center" vertical="center" textRotation="255"/>
      <protection hidden="1"/>
    </xf>
    <xf numFmtId="0" fontId="115" fillId="0" borderId="2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1"/>
      <protection hidden="1"/>
    </xf>
    <xf numFmtId="0" fontId="115" fillId="0" borderId="148" xfId="0" applyFont="1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left" vertical="center" indent="1"/>
      <protection hidden="1"/>
    </xf>
    <xf numFmtId="0" fontId="116" fillId="0" borderId="2" xfId="0" applyFont="1" applyBorder="1" applyAlignment="1" applyProtection="1">
      <alignment horizontal="left" vertical="center" indent="1"/>
      <protection hidden="1"/>
    </xf>
    <xf numFmtId="0" fontId="116" fillId="0" borderId="3" xfId="0" applyFont="1" applyBorder="1" applyAlignment="1" applyProtection="1">
      <alignment horizontal="left" vertical="center" indent="1"/>
      <protection hidden="1"/>
    </xf>
    <xf numFmtId="0" fontId="37" fillId="12" borderId="4" xfId="12" applyFont="1" applyBorder="1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Alignment="1" applyProtection="1">
      <alignment horizontal="left" vertical="center" indent="1"/>
      <protection hidden="1"/>
    </xf>
    <xf numFmtId="0" fontId="115" fillId="0" borderId="262" xfId="0" applyFont="1" applyBorder="1" applyAlignment="1" applyProtection="1">
      <alignment horizontal="center"/>
      <protection hidden="1"/>
    </xf>
    <xf numFmtId="0" fontId="115" fillId="0" borderId="39" xfId="0" applyFont="1" applyBorder="1" applyAlignment="1" applyProtection="1">
      <alignment horizontal="center"/>
      <protection hidden="1"/>
    </xf>
    <xf numFmtId="0" fontId="115" fillId="0" borderId="262" xfId="0" applyFont="1" applyBorder="1" applyAlignment="1" applyProtection="1">
      <alignment horizontal="left" vertical="center" indent="1"/>
      <protection hidden="1"/>
    </xf>
    <xf numFmtId="0" fontId="115" fillId="0" borderId="149" xfId="0" applyFont="1" applyBorder="1" applyAlignment="1" applyProtection="1">
      <alignment horizontal="left" vertical="center" indent="1"/>
      <protection hidden="1"/>
    </xf>
    <xf numFmtId="0" fontId="115" fillId="0" borderId="39" xfId="0" applyFont="1" applyBorder="1" applyAlignment="1" applyProtection="1">
      <alignment horizontal="left" vertical="center" indent="1"/>
      <protection hidden="1"/>
    </xf>
    <xf numFmtId="0" fontId="115" fillId="0" borderId="262" xfId="0" applyFont="1" applyBorder="1" applyAlignment="1" applyProtection="1">
      <alignment horizontal="center" vertical="center"/>
      <protection hidden="1"/>
    </xf>
    <xf numFmtId="0" fontId="115" fillId="0" borderId="3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83" fontId="115" fillId="0" borderId="68" xfId="0" applyNumberFormat="1" applyFont="1" applyBorder="1" applyAlignment="1" applyProtection="1">
      <alignment horizontal="center" vertical="center"/>
      <protection hidden="1"/>
    </xf>
    <xf numFmtId="182" fontId="115" fillId="0" borderId="2" xfId="0" applyNumberFormat="1" applyFont="1" applyBorder="1" applyAlignment="1" applyProtection="1">
      <alignment horizontal="left" vertical="center" indent="1"/>
      <protection hidden="1"/>
    </xf>
    <xf numFmtId="182" fontId="115" fillId="0" borderId="148" xfId="0" applyNumberFormat="1" applyFont="1" applyBorder="1" applyAlignment="1" applyProtection="1">
      <alignment horizontal="left" vertical="center" indent="1"/>
      <protection hidden="1"/>
    </xf>
    <xf numFmtId="182" fontId="115" fillId="0" borderId="3" xfId="0" applyNumberFormat="1" applyFont="1" applyBorder="1" applyAlignment="1" applyProtection="1">
      <alignment horizontal="left" vertical="center" indent="1"/>
      <protection hidden="1"/>
    </xf>
    <xf numFmtId="14" fontId="115" fillId="0" borderId="2" xfId="0" applyNumberFormat="1" applyFont="1" applyBorder="1" applyAlignment="1" applyProtection="1">
      <alignment horizontal="left" vertical="center" indent="1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188" fontId="0" fillId="0" borderId="4" xfId="0" applyNumberFormat="1" applyBorder="1" applyAlignment="1" applyProtection="1">
      <alignment horizontal="center" vertical="center"/>
      <protection hidden="1"/>
    </xf>
    <xf numFmtId="14" fontId="116" fillId="0" borderId="2" xfId="0" applyNumberFormat="1" applyFont="1" applyBorder="1" applyAlignment="1" applyProtection="1">
      <alignment horizontal="center" vertical="center"/>
      <protection hidden="1"/>
    </xf>
    <xf numFmtId="14" fontId="116" fillId="0" borderId="3" xfId="0" applyNumberFormat="1" applyFont="1" applyBorder="1" applyAlignment="1" applyProtection="1">
      <alignment horizontal="center" vertical="center"/>
      <protection hidden="1"/>
    </xf>
    <xf numFmtId="182" fontId="115" fillId="0" borderId="187" xfId="0" applyNumberFormat="1" applyFont="1" applyBorder="1" applyAlignment="1" applyProtection="1">
      <alignment horizontal="center" vertical="center"/>
      <protection locked="0" hidden="1"/>
    </xf>
    <xf numFmtId="182" fontId="115" fillId="0" borderId="307" xfId="0" applyNumberFormat="1" applyFont="1" applyBorder="1" applyAlignment="1" applyProtection="1">
      <alignment horizontal="center" vertical="center"/>
      <protection locked="0" hidden="1"/>
    </xf>
    <xf numFmtId="0" fontId="115" fillId="12" borderId="4" xfId="12" applyFont="1" applyBorder="1" applyAlignment="1" applyProtection="1">
      <alignment horizontal="center" vertical="center"/>
      <protection hidden="1"/>
    </xf>
    <xf numFmtId="0" fontId="10" fillId="0" borderId="309" xfId="0" applyFont="1" applyBorder="1" applyAlignment="1" applyProtection="1">
      <alignment horizontal="center" vertical="center"/>
      <protection hidden="1"/>
    </xf>
    <xf numFmtId="0" fontId="10" fillId="0" borderId="166" xfId="0" applyFont="1" applyBorder="1" applyAlignment="1" applyProtection="1">
      <alignment horizontal="center" vertical="center"/>
      <protection hidden="1"/>
    </xf>
    <xf numFmtId="0" fontId="10" fillId="0" borderId="168" xfId="0" applyFont="1" applyBorder="1" applyAlignment="1" applyProtection="1">
      <alignment horizontal="center" vertical="center"/>
      <protection hidden="1"/>
    </xf>
    <xf numFmtId="0" fontId="10" fillId="0" borderId="167" xfId="0" applyFont="1" applyBorder="1" applyAlignment="1" applyProtection="1">
      <alignment horizontal="center" vertical="center"/>
      <protection hidden="1"/>
    </xf>
    <xf numFmtId="0" fontId="116" fillId="0" borderId="166" xfId="0" applyFont="1" applyBorder="1" applyAlignment="1" applyProtection="1">
      <alignment horizontal="center" vertical="center"/>
      <protection hidden="1"/>
    </xf>
    <xf numFmtId="0" fontId="116" fillId="0" borderId="168" xfId="0" applyFont="1" applyBorder="1" applyAlignment="1" applyProtection="1">
      <alignment horizontal="center" vertical="center"/>
      <protection hidden="1"/>
    </xf>
    <xf numFmtId="0" fontId="116" fillId="0" borderId="167" xfId="0" applyFont="1" applyBorder="1" applyAlignment="1" applyProtection="1">
      <alignment horizontal="center" vertical="center"/>
      <protection hidden="1"/>
    </xf>
    <xf numFmtId="0" fontId="116" fillId="0" borderId="309" xfId="0" applyFont="1" applyBorder="1" applyAlignment="1" applyProtection="1">
      <alignment horizontal="center" vertical="center"/>
      <protection hidden="1"/>
    </xf>
    <xf numFmtId="183" fontId="115" fillId="0" borderId="2" xfId="0" applyNumberFormat="1" applyFont="1" applyBorder="1" applyAlignment="1" applyProtection="1">
      <alignment horizontal="left" vertical="center" indent="1"/>
      <protection hidden="1"/>
    </xf>
    <xf numFmtId="183" fontId="115" fillId="0" borderId="148" xfId="0" applyNumberFormat="1" applyFont="1" applyBorder="1" applyAlignment="1" applyProtection="1">
      <alignment horizontal="left" vertical="center" indent="1"/>
      <protection hidden="1"/>
    </xf>
    <xf numFmtId="183" fontId="115" fillId="0" borderId="3" xfId="0" applyNumberFormat="1" applyFont="1" applyBorder="1" applyAlignment="1" applyProtection="1">
      <alignment horizontal="left" vertical="center" indent="1"/>
      <protection hidden="1"/>
    </xf>
    <xf numFmtId="177" fontId="115" fillId="0" borderId="2" xfId="0" applyNumberFormat="1" applyFont="1" applyBorder="1" applyAlignment="1" applyProtection="1">
      <alignment horizontal="left" vertical="center" indent="3"/>
      <protection hidden="1"/>
    </xf>
    <xf numFmtId="177" fontId="115" fillId="0" borderId="3" xfId="0" applyNumberFormat="1" applyFont="1" applyBorder="1" applyAlignment="1" applyProtection="1">
      <alignment horizontal="left" vertical="center" indent="3"/>
      <protection hidden="1"/>
    </xf>
    <xf numFmtId="177" fontId="115" fillId="0" borderId="4" xfId="0" applyNumberFormat="1" applyFont="1" applyBorder="1" applyAlignment="1" applyProtection="1">
      <alignment horizontal="center" vertical="center"/>
      <protection hidden="1"/>
    </xf>
    <xf numFmtId="177" fontId="115" fillId="0" borderId="2" xfId="0" applyNumberFormat="1" applyFont="1" applyBorder="1" applyAlignment="1" applyProtection="1">
      <alignment horizontal="left" vertical="center" indent="1"/>
      <protection hidden="1"/>
    </xf>
    <xf numFmtId="177" fontId="115" fillId="0" borderId="148" xfId="0" applyNumberFormat="1" applyFont="1" applyBorder="1" applyAlignment="1" applyProtection="1">
      <alignment horizontal="left" vertical="center" indent="1"/>
      <protection hidden="1"/>
    </xf>
    <xf numFmtId="177" fontId="115" fillId="0" borderId="3" xfId="0" applyNumberFormat="1" applyFont="1" applyBorder="1" applyAlignment="1" applyProtection="1">
      <alignment horizontal="left" vertical="center" indent="1"/>
      <protection hidden="1"/>
    </xf>
    <xf numFmtId="183" fontId="115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 indent="1"/>
    </xf>
    <xf numFmtId="183" fontId="115" fillId="0" borderId="262" xfId="0" applyNumberFormat="1" applyFont="1" applyBorder="1" applyAlignment="1" applyProtection="1">
      <alignment horizontal="left" vertical="center" indent="1"/>
      <protection hidden="1"/>
    </xf>
    <xf numFmtId="183" fontId="115" fillId="0" borderId="149" xfId="0" applyNumberFormat="1" applyFont="1" applyBorder="1" applyAlignment="1" applyProtection="1">
      <alignment horizontal="left" vertical="center" indent="1"/>
      <protection hidden="1"/>
    </xf>
    <xf numFmtId="183" fontId="115" fillId="0" borderId="39" xfId="0" applyNumberFormat="1" applyFont="1" applyBorder="1" applyAlignment="1" applyProtection="1">
      <alignment horizontal="left" vertical="center" indent="1"/>
      <protection hidden="1"/>
    </xf>
    <xf numFmtId="183" fontId="115" fillId="0" borderId="191" xfId="0" applyNumberFormat="1" applyFont="1" applyBorder="1" applyAlignment="1" applyProtection="1">
      <alignment horizontal="left" vertical="center" indent="1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183" fontId="115" fillId="0" borderId="315" xfId="0" applyNumberFormat="1" applyFont="1" applyBorder="1" applyAlignment="1" applyProtection="1">
      <alignment horizontal="left" vertical="center" indent="1"/>
      <protection hidden="1"/>
    </xf>
    <xf numFmtId="183" fontId="115" fillId="0" borderId="187" xfId="0" applyNumberFormat="1" applyFont="1" applyBorder="1" applyAlignment="1" applyProtection="1">
      <alignment horizontal="left" vertical="center" indent="1"/>
      <protection hidden="1"/>
    </xf>
    <xf numFmtId="183" fontId="115" fillId="0" borderId="307" xfId="0" applyNumberFormat="1" applyFont="1" applyBorder="1" applyAlignment="1" applyProtection="1">
      <alignment horizontal="left" vertical="center" indent="1"/>
      <protection hidden="1"/>
    </xf>
    <xf numFmtId="183" fontId="115" fillId="0" borderId="88" xfId="0" applyNumberFormat="1" applyFont="1" applyBorder="1" applyAlignment="1" applyProtection="1">
      <alignment horizontal="left" vertical="center" indent="1"/>
      <protection hidden="1"/>
    </xf>
    <xf numFmtId="0" fontId="23" fillId="0" borderId="0" xfId="0" applyFont="1" applyAlignment="1">
      <alignment horizontal="left" vertical="center" indent="1"/>
    </xf>
    <xf numFmtId="0" fontId="115" fillId="0" borderId="260" xfId="0" applyFont="1" applyBorder="1" applyAlignment="1" applyProtection="1">
      <alignment horizontal="center" vertical="center"/>
      <protection hidden="1"/>
    </xf>
    <xf numFmtId="0" fontId="115" fillId="0" borderId="148" xfId="0" applyFont="1" applyBorder="1" applyAlignment="1" applyProtection="1">
      <alignment horizontal="center" vertical="center"/>
      <protection hidden="1"/>
    </xf>
    <xf numFmtId="0" fontId="115" fillId="0" borderId="217" xfId="0" applyFont="1" applyBorder="1" applyAlignment="1" applyProtection="1">
      <alignment horizontal="center" vertical="center"/>
      <protection hidden="1"/>
    </xf>
    <xf numFmtId="0" fontId="80" fillId="0" borderId="0" xfId="14" applyFont="1" applyAlignment="1">
      <alignment horizontal="center" vertical="center" readingOrder="1"/>
    </xf>
    <xf numFmtId="183" fontId="118" fillId="0" borderId="265" xfId="0" applyNumberFormat="1" applyFont="1" applyBorder="1" applyAlignment="1" applyProtection="1">
      <alignment horizontal="center" vertical="center"/>
      <protection hidden="1"/>
    </xf>
    <xf numFmtId="183" fontId="118" fillId="0" borderId="247" xfId="0" applyNumberFormat="1" applyFont="1" applyBorder="1" applyAlignment="1" applyProtection="1">
      <alignment horizontal="center" vertical="center"/>
      <protection hidden="1"/>
    </xf>
    <xf numFmtId="183" fontId="118" fillId="0" borderId="221" xfId="0" applyNumberFormat="1" applyFont="1" applyBorder="1" applyAlignment="1" applyProtection="1">
      <alignment horizontal="center" vertical="center"/>
      <protection hidden="1"/>
    </xf>
    <xf numFmtId="0" fontId="42" fillId="0" borderId="0" xfId="13" applyAlignment="1">
      <alignment horizontal="left" vertical="center" indent="1"/>
    </xf>
    <xf numFmtId="0" fontId="23" fillId="0" borderId="0" xfId="0" applyFont="1" applyAlignment="1" applyProtection="1">
      <alignment horizontal="center" vertical="center"/>
      <protection hidden="1"/>
    </xf>
    <xf numFmtId="183" fontId="39" fillId="0" borderId="179" xfId="0" applyNumberFormat="1" applyFont="1" applyBorder="1" applyAlignment="1" applyProtection="1">
      <alignment horizontal="center" vertical="center"/>
      <protection hidden="1"/>
    </xf>
    <xf numFmtId="183" fontId="39" fillId="0" borderId="148" xfId="0" applyNumberFormat="1" applyFont="1" applyBorder="1" applyAlignment="1" applyProtection="1">
      <alignment horizontal="center" vertical="center"/>
      <protection hidden="1"/>
    </xf>
    <xf numFmtId="183" fontId="39" fillId="0" borderId="69" xfId="0" applyNumberFormat="1" applyFont="1" applyBorder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3"/>
      <protection hidden="1"/>
    </xf>
    <xf numFmtId="0" fontId="115" fillId="0" borderId="3" xfId="0" applyFont="1" applyBorder="1" applyAlignment="1" applyProtection="1">
      <alignment horizontal="left" vertical="center" indent="3"/>
      <protection hidden="1"/>
    </xf>
    <xf numFmtId="0" fontId="23" fillId="0" borderId="317" xfId="0" applyFont="1" applyBorder="1" applyAlignment="1" applyProtection="1">
      <alignment horizontal="left" vertical="center" indent="1"/>
      <protection hidden="1"/>
    </xf>
    <xf numFmtId="0" fontId="96" fillId="0" borderId="0" xfId="13" applyFont="1" applyAlignment="1">
      <alignment horizontal="left" vertical="center" indent="1"/>
    </xf>
    <xf numFmtId="0" fontId="101" fillId="0" borderId="0" xfId="13" applyFont="1" applyAlignment="1">
      <alignment horizontal="left" vertical="center" indent="1"/>
    </xf>
    <xf numFmtId="0" fontId="80" fillId="0" borderId="0" xfId="13" applyFont="1" applyAlignment="1">
      <alignment horizontal="left" vertical="center" readingOrder="1"/>
    </xf>
    <xf numFmtId="0" fontId="42" fillId="0" borderId="0" xfId="13" applyAlignment="1">
      <alignment horizontal="left" vertical="center" readingOrder="1"/>
    </xf>
    <xf numFmtId="183" fontId="0" fillId="0" borderId="0" xfId="0" applyNumberForma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Border="1" applyAlignment="1" applyProtection="1">
      <alignment horizontal="left" indent="1"/>
      <protection hidden="1"/>
    </xf>
    <xf numFmtId="0" fontId="24" fillId="0" borderId="4" xfId="0" applyFont="1" applyBorder="1" applyAlignment="1">
      <alignment horizontal="left" vertical="center" indent="1"/>
    </xf>
    <xf numFmtId="0" fontId="23" fillId="0" borderId="0" xfId="0" applyFont="1" applyBorder="1" applyAlignment="1" applyProtection="1">
      <alignment horizontal="left" vertical="center" indent="1"/>
      <protection hidden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196" fontId="3" fillId="0" borderId="0" xfId="0" applyNumberFormat="1" applyFont="1" applyAlignment="1" applyProtection="1">
      <alignment horizontal="left" vertical="center"/>
      <protection hidden="1"/>
    </xf>
    <xf numFmtId="196" fontId="0" fillId="0" borderId="319" xfId="0" applyNumberFormat="1" applyFill="1" applyBorder="1" applyAlignment="1" applyProtection="1">
      <alignment horizontal="left" vertical="center" indent="1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0" fillId="0" borderId="319" xfId="0" applyNumberFormat="1" applyFill="1" applyBorder="1" applyAlignment="1" applyProtection="1">
      <alignment horizontal="left" vertical="center" indent="2"/>
      <protection hidden="1"/>
    </xf>
    <xf numFmtId="196" fontId="0" fillId="0" borderId="0" xfId="0" applyNumberFormat="1" applyFill="1" applyAlignment="1" applyProtection="1">
      <alignment horizontal="left" vertical="center" indent="2"/>
      <protection hidden="1"/>
    </xf>
    <xf numFmtId="196" fontId="23" fillId="0" borderId="0" xfId="0" applyNumberFormat="1" applyFont="1" applyAlignment="1">
      <alignment horizontal="left" vertical="center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7" fillId="0" borderId="322" xfId="0" applyNumberFormat="1" applyFont="1" applyBorder="1" applyAlignment="1" applyProtection="1">
      <alignment horizontal="center" vertical="center"/>
      <protection hidden="1"/>
    </xf>
    <xf numFmtId="196" fontId="10" fillId="0" borderId="0" xfId="0" applyNumberFormat="1" applyFont="1" applyAlignment="1" applyProtection="1">
      <alignment horizontal="left" vertical="center"/>
      <protection hidden="1"/>
    </xf>
    <xf numFmtId="0" fontId="42" fillId="0" borderId="0" xfId="13">
      <alignment vertical="center"/>
    </xf>
    <xf numFmtId="196" fontId="139" fillId="0" borderId="0" xfId="0" applyNumberFormat="1" applyFont="1" applyAlignment="1" applyProtection="1">
      <alignment horizontal="center" vertical="center"/>
      <protection hidden="1"/>
    </xf>
    <xf numFmtId="196" fontId="141" fillId="0" borderId="0" xfId="0" applyNumberFormat="1" applyFont="1" applyAlignment="1" applyProtection="1">
      <alignment horizontal="right" vertical="center"/>
      <protection hidden="1"/>
    </xf>
    <xf numFmtId="196" fontId="11" fillId="0" borderId="0" xfId="0" applyNumberFormat="1" applyFont="1" applyAlignment="1">
      <alignment horizontal="left" vertical="center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2" fillId="0" borderId="0" xfId="0" applyNumberFormat="1" applyFont="1" applyBorder="1" applyAlignment="1" applyProtection="1">
      <alignment horizontal="center" vertical="center"/>
      <protection hidden="1"/>
    </xf>
    <xf numFmtId="0" fontId="162" fillId="0" borderId="388" xfId="0" applyFont="1" applyBorder="1" applyAlignment="1" applyProtection="1">
      <alignment horizontal="center" vertical="center" wrapText="1" readingOrder="1"/>
      <protection hidden="1"/>
    </xf>
    <xf numFmtId="0" fontId="162" fillId="0" borderId="389" xfId="0" applyFont="1" applyBorder="1" applyAlignment="1" applyProtection="1">
      <alignment horizontal="center" vertical="center" wrapText="1" readingOrder="1"/>
      <protection hidden="1"/>
    </xf>
    <xf numFmtId="0" fontId="155" fillId="0" borderId="0" xfId="0" applyFont="1" applyAlignment="1" applyProtection="1">
      <alignment horizontal="center" vertical="center"/>
      <protection hidden="1"/>
    </xf>
    <xf numFmtId="0" fontId="12" fillId="3" borderId="1" xfId="3" applyFont="1" applyAlignment="1" applyProtection="1">
      <alignment horizontal="left" vertical="center" wrapText="1"/>
      <protection hidden="1"/>
    </xf>
    <xf numFmtId="0" fontId="12" fillId="3" borderId="1" xfId="3" applyFont="1" applyAlignment="1" applyProtection="1">
      <alignment horizontal="left" vertical="center"/>
      <protection hidden="1"/>
    </xf>
    <xf numFmtId="0" fontId="156" fillId="0" borderId="370" xfId="16" applyFont="1" applyBorder="1" applyAlignment="1" applyProtection="1">
      <alignment horizontal="center" vertical="center"/>
      <protection hidden="1"/>
    </xf>
    <xf numFmtId="0" fontId="156" fillId="0" borderId="371" xfId="16" applyFont="1" applyBorder="1" applyAlignment="1" applyProtection="1">
      <alignment horizontal="center" vertical="center"/>
      <protection hidden="1"/>
    </xf>
    <xf numFmtId="0" fontId="157" fillId="0" borderId="174" xfId="17" applyFont="1" applyBorder="1" applyAlignment="1" applyProtection="1">
      <alignment horizontal="center" vertical="center"/>
      <protection hidden="1"/>
    </xf>
    <xf numFmtId="0" fontId="157" fillId="0" borderId="371" xfId="17" applyFont="1" applyBorder="1" applyAlignment="1" applyProtection="1">
      <alignment horizontal="center" vertical="center"/>
      <protection hidden="1"/>
    </xf>
    <xf numFmtId="0" fontId="158" fillId="0" borderId="378" xfId="0" applyFont="1" applyBorder="1" applyAlignment="1" applyProtection="1">
      <alignment horizontal="left" vertical="center" wrapText="1" indent="1" readingOrder="1"/>
      <protection hidden="1"/>
    </xf>
    <xf numFmtId="0" fontId="159" fillId="0" borderId="383" xfId="0" applyFont="1" applyBorder="1" applyAlignment="1" applyProtection="1">
      <alignment horizontal="center" vertical="center"/>
      <protection hidden="1"/>
    </xf>
    <xf numFmtId="0" fontId="159" fillId="0" borderId="384" xfId="0" applyFont="1" applyBorder="1" applyAlignment="1" applyProtection="1">
      <alignment horizontal="center" vertical="center"/>
      <protection hidden="1"/>
    </xf>
    <xf numFmtId="0" fontId="159" fillId="0" borderId="385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indent="1"/>
      <protection locked="0"/>
    </xf>
    <xf numFmtId="0" fontId="23" fillId="0" borderId="419" xfId="0" applyFont="1" applyBorder="1" applyAlignment="1" applyProtection="1">
      <alignment horizontal="center" vertical="center"/>
    </xf>
    <xf numFmtId="0" fontId="23" fillId="0" borderId="420" xfId="0" applyFont="1" applyBorder="1" applyAlignment="1" applyProtection="1">
      <alignment horizontal="center" vertical="center"/>
    </xf>
    <xf numFmtId="0" fontId="0" fillId="0" borderId="422" xfId="0" applyBorder="1" applyAlignment="1" applyProtection="1">
      <alignment horizontal="center" vertical="center"/>
      <protection locked="0"/>
    </xf>
    <xf numFmtId="0" fontId="0" fillId="0" borderId="423" xfId="0" applyBorder="1" applyAlignment="1" applyProtection="1">
      <alignment horizontal="center" vertical="center"/>
      <protection locked="0"/>
    </xf>
    <xf numFmtId="0" fontId="7" fillId="37" borderId="390" xfId="0" applyFont="1" applyFill="1" applyBorder="1" applyAlignment="1" applyProtection="1">
      <alignment horizontal="center" vertical="center" wrapText="1"/>
    </xf>
    <xf numFmtId="0" fontId="7" fillId="37" borderId="301" xfId="0" applyFont="1" applyFill="1" applyBorder="1" applyAlignment="1" applyProtection="1">
      <alignment horizontal="center" vertical="center" wrapText="1"/>
    </xf>
    <xf numFmtId="0" fontId="7" fillId="37" borderId="203" xfId="0" applyFont="1" applyFill="1" applyBorder="1" applyAlignment="1" applyProtection="1">
      <alignment horizontal="center" vertical="center" wrapText="1"/>
    </xf>
    <xf numFmtId="0" fontId="7" fillId="37" borderId="393" xfId="0" applyFont="1" applyFill="1" applyBorder="1" applyAlignment="1" applyProtection="1">
      <alignment horizontal="center" vertical="center" wrapText="1"/>
    </xf>
    <xf numFmtId="0" fontId="7" fillId="37" borderId="307" xfId="0" applyFont="1" applyFill="1" applyBorder="1" applyAlignment="1" applyProtection="1">
      <alignment horizontal="center" vertical="center" wrapText="1"/>
    </xf>
    <xf numFmtId="0" fontId="7" fillId="37" borderId="214" xfId="0" applyFont="1" applyFill="1" applyBorder="1" applyAlignment="1" applyProtection="1">
      <alignment horizontal="center" vertical="center" wrapText="1"/>
    </xf>
    <xf numFmtId="42" fontId="10" fillId="0" borderId="19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  <protection locked="0"/>
    </xf>
    <xf numFmtId="192" fontId="23" fillId="0" borderId="213" xfId="0" applyNumberFormat="1" applyFont="1" applyBorder="1" applyAlignment="1" applyProtection="1">
      <alignment horizontal="center" vertical="center"/>
    </xf>
    <xf numFmtId="192" fontId="23" fillId="0" borderId="89" xfId="0" applyNumberFormat="1" applyFont="1" applyBorder="1" applyAlignment="1" applyProtection="1">
      <alignment horizontal="center" vertical="center"/>
    </xf>
    <xf numFmtId="193" fontId="169" fillId="0" borderId="88" xfId="0" applyNumberFormat="1" applyFont="1" applyBorder="1" applyAlignment="1" applyProtection="1">
      <alignment horizontal="right" vertical="center" indent="1"/>
      <protection hidden="1"/>
    </xf>
    <xf numFmtId="193" fontId="169" fillId="0" borderId="89" xfId="0" applyNumberFormat="1" applyFont="1" applyBorder="1" applyAlignment="1" applyProtection="1">
      <alignment horizontal="right" vertical="center" indent="1"/>
      <protection hidden="1"/>
    </xf>
    <xf numFmtId="193" fontId="169" fillId="0" borderId="208" xfId="0" applyNumberFormat="1" applyFont="1" applyBorder="1" applyAlignment="1" applyProtection="1">
      <alignment horizontal="center" vertical="center"/>
      <protection locked="0"/>
    </xf>
    <xf numFmtId="193" fontId="169" fillId="0" borderId="209" xfId="0" applyNumberFormat="1" applyFont="1" applyBorder="1" applyAlignment="1" applyProtection="1">
      <alignment horizontal="center" vertical="center"/>
      <protection locked="0"/>
    </xf>
    <xf numFmtId="192" fontId="142" fillId="0" borderId="223" xfId="15" applyNumberFormat="1" applyFont="1" applyFill="1" applyBorder="1" applyAlignment="1" applyProtection="1">
      <alignment horizontal="center" vertical="center"/>
    </xf>
    <xf numFmtId="192" fontId="142" fillId="0" borderId="240" xfId="15" applyNumberFormat="1" applyFont="1" applyFill="1" applyBorder="1" applyAlignment="1" applyProtection="1">
      <alignment horizontal="center" vertical="center"/>
    </xf>
    <xf numFmtId="0" fontId="0" fillId="0" borderId="405" xfId="0" applyBorder="1" applyAlignment="1" applyProtection="1">
      <alignment horizontal="center" vertical="center"/>
    </xf>
    <xf numFmtId="0" fontId="0" fillId="0" borderId="412" xfId="0" applyBorder="1" applyAlignment="1" applyProtection="1">
      <alignment horizontal="center" vertical="center"/>
    </xf>
    <xf numFmtId="192" fontId="0" fillId="0" borderId="413" xfId="0" applyNumberFormat="1" applyBorder="1" applyAlignment="1" applyProtection="1">
      <alignment horizontal="center" vertical="center"/>
    </xf>
    <xf numFmtId="192" fontId="0" fillId="0" borderId="89" xfId="0" applyNumberFormat="1" applyBorder="1" applyAlignment="1" applyProtection="1">
      <alignment horizontal="center" vertical="center"/>
    </xf>
    <xf numFmtId="193" fontId="169" fillId="0" borderId="414" xfId="0" applyNumberFormat="1" applyFont="1" applyBorder="1" applyAlignment="1" applyProtection="1">
      <alignment horizontal="center" vertical="center"/>
      <protection locked="0"/>
    </xf>
    <xf numFmtId="193" fontId="169" fillId="0" borderId="415" xfId="0" applyNumberFormat="1" applyFont="1" applyBorder="1" applyAlignment="1" applyProtection="1">
      <alignment horizontal="center" vertical="center"/>
      <protection locked="0"/>
    </xf>
    <xf numFmtId="0" fontId="23" fillId="0" borderId="416" xfId="0" applyFont="1" applyBorder="1" applyAlignment="1" applyProtection="1">
      <alignment horizontal="center" vertical="center"/>
    </xf>
    <xf numFmtId="0" fontId="93" fillId="0" borderId="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17" xfId="0" applyBorder="1" applyAlignment="1" applyProtection="1">
      <alignment horizontal="center" vertical="center"/>
      <protection locked="0"/>
    </xf>
    <xf numFmtId="192" fontId="142" fillId="5" borderId="400" xfId="5" applyNumberFormat="1" applyFont="1" applyBorder="1" applyAlignment="1" applyProtection="1">
      <alignment horizontal="center" vertical="center"/>
    </xf>
    <xf numFmtId="192" fontId="142" fillId="5" borderId="401" xfId="5" applyNumberFormat="1" applyFont="1" applyBorder="1" applyAlignment="1" applyProtection="1">
      <alignment horizontal="center" vertical="center"/>
    </xf>
    <xf numFmtId="192" fontId="142" fillId="5" borderId="406" xfId="5" applyNumberFormat="1" applyFont="1" applyBorder="1" applyAlignment="1" applyProtection="1">
      <alignment horizontal="center" vertical="center"/>
    </xf>
    <xf numFmtId="192" fontId="142" fillId="5" borderId="407" xfId="5" applyNumberFormat="1" applyFont="1" applyBorder="1" applyAlignment="1" applyProtection="1">
      <alignment horizontal="center" vertical="center"/>
    </xf>
    <xf numFmtId="0" fontId="75" fillId="0" borderId="402" xfId="0" applyFont="1" applyBorder="1" applyAlignment="1" applyProtection="1">
      <alignment horizontal="center" vertical="center"/>
    </xf>
    <xf numFmtId="0" fontId="75" fillId="0" borderId="401" xfId="0" applyFont="1" applyBorder="1" applyAlignment="1" applyProtection="1">
      <alignment horizontal="center" vertical="center"/>
    </xf>
    <xf numFmtId="0" fontId="75" fillId="0" borderId="408" xfId="0" applyFont="1" applyBorder="1" applyAlignment="1" applyProtection="1">
      <alignment horizontal="center" vertical="center"/>
    </xf>
    <xf numFmtId="0" fontId="75" fillId="0" borderId="407" xfId="0" applyFont="1" applyBorder="1" applyAlignment="1" applyProtection="1">
      <alignment horizontal="center" vertical="center"/>
    </xf>
    <xf numFmtId="192" fontId="155" fillId="0" borderId="0" xfId="0" applyNumberFormat="1" applyFont="1" applyAlignment="1" applyProtection="1">
      <alignment horizontal="left" vertical="center" indent="1"/>
    </xf>
    <xf numFmtId="192" fontId="155" fillId="0" borderId="196" xfId="0" applyNumberFormat="1" applyFont="1" applyBorder="1" applyAlignment="1" applyProtection="1">
      <alignment horizontal="left" vertical="center" indent="1"/>
    </xf>
    <xf numFmtId="192" fontId="155" fillId="0" borderId="390" xfId="0" applyNumberFormat="1" applyFont="1" applyBorder="1" applyAlignment="1" applyProtection="1">
      <alignment horizontal="left" vertical="center" indent="1"/>
    </xf>
    <xf numFmtId="192" fontId="155" fillId="0" borderId="301" xfId="0" applyNumberFormat="1" applyFont="1" applyBorder="1" applyAlignment="1" applyProtection="1">
      <alignment horizontal="left" vertical="center" indent="1"/>
    </xf>
    <xf numFmtId="192" fontId="155" fillId="0" borderId="391" xfId="0" applyNumberFormat="1" applyFont="1" applyBorder="1" applyAlignment="1" applyProtection="1">
      <alignment horizontal="left" vertical="center" indent="1"/>
    </xf>
    <xf numFmtId="192" fontId="155" fillId="0" borderId="15" xfId="0" applyNumberFormat="1" applyFont="1" applyBorder="1" applyAlignment="1" applyProtection="1">
      <alignment horizontal="left" vertical="center" indent="1"/>
    </xf>
    <xf numFmtId="192" fontId="142" fillId="32" borderId="395" xfId="15" applyNumberFormat="1" applyFont="1" applyBorder="1" applyAlignment="1" applyProtection="1">
      <alignment horizontal="center" vertical="center"/>
    </xf>
    <xf numFmtId="192" fontId="142" fillId="32" borderId="396" xfId="15" applyNumberFormat="1" applyFont="1" applyBorder="1" applyAlignment="1" applyProtection="1">
      <alignment horizontal="center" vertical="center"/>
    </xf>
    <xf numFmtId="0" fontId="75" fillId="0" borderId="397" xfId="0" applyFont="1" applyBorder="1" applyAlignment="1" applyProtection="1">
      <alignment horizontal="center" vertical="center"/>
    </xf>
    <xf numFmtId="0" fontId="75" fillId="0" borderId="396" xfId="0" applyFont="1" applyBorder="1" applyAlignment="1" applyProtection="1">
      <alignment horizontal="center" vertical="center"/>
    </xf>
    <xf numFmtId="0" fontId="75" fillId="0" borderId="398" xfId="0" applyFont="1" applyBorder="1" applyAlignment="1" applyProtection="1">
      <alignment horizontal="center" vertical="center"/>
    </xf>
    <xf numFmtId="0" fontId="75" fillId="0" borderId="399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70" fillId="0" borderId="0" xfId="0" applyFont="1" applyBorder="1" applyAlignment="1" applyProtection="1">
      <alignment horizontal="left" vertical="center" indent="1"/>
      <protection locked="0"/>
    </xf>
    <xf numFmtId="0" fontId="142" fillId="0" borderId="0" xfId="0" applyFont="1" applyBorder="1" applyAlignment="1" applyProtection="1">
      <alignment horizontal="left" vertical="center" indent="1"/>
      <protection locked="0"/>
    </xf>
    <xf numFmtId="0" fontId="165" fillId="0" borderId="223" xfId="0" applyFont="1" applyBorder="1" applyAlignment="1" applyProtection="1">
      <alignment horizontal="center" vertical="center"/>
    </xf>
    <xf numFmtId="0" fontId="167" fillId="0" borderId="4" xfId="0" applyFont="1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0" fillId="0" borderId="217" xfId="0" applyBorder="1" applyAlignment="1" applyProtection="1">
      <alignment horizontal="center" vertical="center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75" fillId="0" borderId="403" xfId="0" applyFont="1" applyBorder="1" applyAlignment="1" applyProtection="1">
      <alignment horizontal="center" vertical="center"/>
    </xf>
    <xf numFmtId="0" fontId="75" fillId="0" borderId="404" xfId="0" applyFont="1" applyBorder="1" applyAlignment="1" applyProtection="1">
      <alignment horizontal="center" vertical="center"/>
    </xf>
    <xf numFmtId="0" fontId="75" fillId="0" borderId="409" xfId="0" applyFont="1" applyBorder="1" applyAlignment="1" applyProtection="1">
      <alignment horizontal="center" vertical="center"/>
    </xf>
    <xf numFmtId="0" fontId="75" fillId="0" borderId="410" xfId="0" applyFont="1" applyBorder="1" applyAlignment="1" applyProtection="1">
      <alignment horizontal="center" vertical="center"/>
    </xf>
    <xf numFmtId="192" fontId="142" fillId="0" borderId="400" xfId="5" applyNumberFormat="1" applyFont="1" applyFill="1" applyBorder="1" applyAlignment="1" applyProtection="1">
      <alignment horizontal="center" vertical="center"/>
    </xf>
    <xf numFmtId="192" fontId="142" fillId="0" borderId="405" xfId="5" applyNumberFormat="1" applyFont="1" applyFill="1" applyBorder="1" applyAlignment="1" applyProtection="1">
      <alignment horizontal="center" vertical="center"/>
    </xf>
    <xf numFmtId="192" fontId="142" fillId="0" borderId="411" xfId="5" applyNumberFormat="1" applyFont="1" applyFill="1" applyBorder="1" applyAlignment="1" applyProtection="1">
      <alignment horizontal="center" vertical="center"/>
    </xf>
    <xf numFmtId="192" fontId="142" fillId="0" borderId="412" xfId="5" applyNumberFormat="1" applyFont="1" applyFill="1" applyBorder="1" applyAlignment="1" applyProtection="1">
      <alignment horizontal="center" vertical="center"/>
    </xf>
    <xf numFmtId="0" fontId="166" fillId="0" borderId="400" xfId="0" applyFont="1" applyBorder="1" applyAlignment="1" applyProtection="1">
      <alignment horizontal="center" vertical="center"/>
    </xf>
    <xf numFmtId="0" fontId="166" fillId="0" borderId="401" xfId="0" applyFont="1" applyBorder="1" applyAlignment="1" applyProtection="1">
      <alignment horizontal="center" vertical="center"/>
    </xf>
    <xf numFmtId="0" fontId="166" fillId="0" borderId="411" xfId="0" applyFont="1" applyBorder="1" applyAlignment="1" applyProtection="1">
      <alignment horizontal="center" vertical="center"/>
    </xf>
    <xf numFmtId="0" fontId="166" fillId="0" borderId="40" xfId="0" applyFont="1" applyBorder="1" applyAlignment="1" applyProtection="1">
      <alignment horizontal="center" vertical="center"/>
    </xf>
    <xf numFmtId="0" fontId="168" fillId="0" borderId="401" xfId="0" applyFont="1" applyBorder="1" applyAlignment="1" applyProtection="1">
      <alignment horizontal="center" vertical="center"/>
    </xf>
    <xf numFmtId="0" fontId="168" fillId="0" borderId="40" xfId="0" applyFont="1" applyBorder="1" applyAlignment="1" applyProtection="1">
      <alignment horizontal="center" vertical="center"/>
    </xf>
    <xf numFmtId="192" fontId="0" fillId="0" borderId="0" xfId="0" applyNumberFormat="1" applyAlignment="1" applyProtection="1">
      <alignment horizontal="left" vertical="center"/>
    </xf>
    <xf numFmtId="0" fontId="172" fillId="0" borderId="0" xfId="0" applyFont="1" applyBorder="1" applyAlignment="1" applyProtection="1">
      <alignment horizontal="left" vertical="center" indent="1"/>
      <protection locked="0"/>
    </xf>
    <xf numFmtId="0" fontId="23" fillId="0" borderId="206" xfId="0" applyFont="1" applyBorder="1" applyAlignment="1" applyProtection="1">
      <alignment horizontal="center" vertical="center" wrapText="1"/>
    </xf>
    <xf numFmtId="0" fontId="23" fillId="0" borderId="223" xfId="0" applyFont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/>
      <protection locked="0"/>
    </xf>
    <xf numFmtId="0" fontId="23" fillId="15" borderId="240" xfId="0" applyFont="1" applyFill="1" applyBorder="1" applyAlignment="1" applyProtection="1">
      <alignment horizontal="center" vertical="center"/>
      <protection locked="0"/>
    </xf>
    <xf numFmtId="0" fontId="23" fillId="0" borderId="225" xfId="0" applyFont="1" applyBorder="1" applyAlignment="1" applyProtection="1">
      <alignment horizontal="center" vertical="center"/>
    </xf>
    <xf numFmtId="0" fontId="23" fillId="0" borderId="246" xfId="0" applyFont="1" applyBorder="1" applyAlignment="1" applyProtection="1">
      <alignment horizontal="center" vertical="center"/>
    </xf>
    <xf numFmtId="0" fontId="0" fillId="0" borderId="220" xfId="0" applyBorder="1" applyAlignment="1" applyProtection="1">
      <alignment horizontal="center" vertical="center"/>
      <protection locked="0"/>
    </xf>
    <xf numFmtId="0" fontId="0" fillId="0" borderId="221" xfId="0" applyBorder="1" applyAlignment="1" applyProtection="1">
      <alignment horizontal="center" vertical="center"/>
      <protection locked="0"/>
    </xf>
    <xf numFmtId="0" fontId="139" fillId="0" borderId="0" xfId="0" applyFont="1" applyAlignment="1">
      <alignment horizontal="left" vertical="center" indent="1"/>
    </xf>
  </cellXfs>
  <cellStyles count="20">
    <cellStyle name="20% - 강조색1" xfId="4" builtinId="30"/>
    <cellStyle name="20% - 강조색2" xfId="6" builtinId="34"/>
    <cellStyle name="20% - 강조색3" xfId="8" builtinId="38"/>
    <cellStyle name="20% - 강조색4" xfId="10" builtinId="42"/>
    <cellStyle name="20% - 강조색6" xfId="12" builtinId="50"/>
    <cellStyle name="40% - 강조색1" xfId="5" builtinId="31"/>
    <cellStyle name="40% - 강조색2" xfId="7" builtinId="35"/>
    <cellStyle name="40% - 강조색3" xfId="9" builtinId="39"/>
    <cellStyle name="40% - 강조색4" xfId="15" builtinId="43"/>
    <cellStyle name="40% - 강조색5" xfId="11" builtinId="47"/>
    <cellStyle name="40% - 강조색6" xfId="18" builtinId="51"/>
    <cellStyle name="Hyperlink" xfId="14"/>
    <cellStyle name="메모" xfId="3" builtinId="10"/>
    <cellStyle name="백분율" xfId="19" builtinId="5"/>
    <cellStyle name="쉼표 [0]" xfId="1" builtinId="6"/>
    <cellStyle name="제목" xfId="16" builtinId="15"/>
    <cellStyle name="제목 1" xfId="17" builtinId="16"/>
    <cellStyle name="좋음" xfId="2" builtinId="26"/>
    <cellStyle name="표준" xfId="0" builtinId="0"/>
    <cellStyle name="하이퍼링크" xfId="13" builtinId="8"/>
  </cellStyles>
  <dxfs count="40"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5" formatCode="###\-####\-####"/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double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medium">
          <color auto="1"/>
        </bottom>
        <vertical/>
        <horizontal/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indent="3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2" formatCode="yy&quot;年&quot;\ m&quot;月&quot;\ d&quot;日&quot;;@"/>
      <border diagonalUp="0" diagonalDown="0" outline="0">
        <left style="double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192" formatCode="yy&quot;年&quot;\ m&quot;月&quot;\ d&quot;日&quot;;@"/>
      <protection locked="0" hidden="0"/>
    </dxf>
    <dxf>
      <border>
        <top style="double">
          <color rgb="FF00B0F0"/>
        </top>
      </border>
    </dxf>
    <dxf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/>
      </border>
      <protection locked="0" hidden="0"/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I7/13" TargetMode="External"/><Relationship Id="rId2" Type="http://schemas.openxmlformats.org/officeDocument/2006/relationships/hyperlink" Target="https://cafe.daum.net/webluesky/L2JO/19" TargetMode="External"/><Relationship Id="rId1" Type="http://schemas.openxmlformats.org/officeDocument/2006/relationships/hyperlink" Target="https://cafe.daum.net/webluesky/L2F2/44" TargetMode="External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en-US" sz="1100" baseline="0"/>
            <a:t>S.G.P (Steel Gypsum Panel)</a:t>
          </a:r>
          <a:endParaRPr lang="ko-KR" altLang="en-US" sz="1100" baseline="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ko-KR" sz="800"/>
            <a:t> </a:t>
          </a:r>
          <a:r>
            <a:rPr lang="ko-KR" altLang="ko-KR" sz="900"/>
            <a:t>표현의 자유로움</a:t>
          </a:r>
          <a:r>
            <a:rPr lang="en-US" altLang="ko-KR" sz="900"/>
            <a:t>, </a:t>
          </a:r>
          <a:r>
            <a:rPr lang="ko-KR" altLang="ko-KR" sz="900"/>
            <a:t>탁월한 방음성</a:t>
          </a:r>
          <a:r>
            <a:rPr lang="en-US" altLang="ko-KR" sz="900"/>
            <a:t>, </a:t>
          </a:r>
          <a:r>
            <a:rPr lang="ko-KR" altLang="ko-KR" sz="900"/>
            <a:t>방화성과 이동설치의 간편함이 우수한 내장 칸막이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D075D6C3-62F5-48C4-9308-8D147CA90AD5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메탈 스터드</a:t>
          </a:r>
          <a:r>
            <a:rPr lang="en-US" altLang="ko-KR" sz="1100"/>
            <a:t>, </a:t>
          </a:r>
          <a:r>
            <a:rPr lang="ko-KR" altLang="ko-KR" sz="1100"/>
            <a:t>메탈 런너</a:t>
          </a:r>
          <a:r>
            <a:rPr lang="en-US" altLang="ko-KR" sz="1100"/>
            <a:t>(</a:t>
          </a:r>
          <a:r>
            <a:rPr lang="en-US" altLang="en-US" sz="1100"/>
            <a:t>Metal Stud, </a:t>
          </a:r>
          <a:r>
            <a:rPr lang="en-US" altLang="ko-KR" sz="1100"/>
            <a:t>Metal Runner)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777A271-ECB8-4FCC-B80C-926261C84DC3}" type="par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2293B6BD-7682-45D3-9CEF-596FCD2ABF06}" type="sib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AEA79C33-D25E-452B-B10C-0F0DE657E634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경량의 메탈런너와 스터드로 골격을 형성한 후 그 양쪽면에 나사못으로 보드를 부착</a:t>
          </a:r>
        </a:p>
      </dgm:t>
    </dgm:pt>
    <dgm:pt modelId="{1AF2D813-AE9D-475C-A2D9-58EDFB89286C}" type="par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B92DA41F-E983-43CD-8822-92C3C2BA2FD8}" type="sib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F300B5D6-F3F4-41FB-AB16-713B442B5FA5}">
      <dgm:prSet phldrT="[텍스트]" custT="1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메인티바 </a:t>
          </a:r>
          <a:r>
            <a:rPr lang="en-US" altLang="ko-KR" sz="1100"/>
            <a:t>(Main T-Bar)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92CDAB0-9B25-401A-83A6-85764FF094B3}" type="par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2EE37297-7C16-460D-8E03-6427F9B3B39D}" type="sib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386136E7-D219-454D-A7C8-6CAA659FECB5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시공이 빠르고 간편하며 천장내부에 설치된 배선</a:t>
          </a:r>
          <a:r>
            <a:rPr lang="en-US" altLang="en-US" sz="900"/>
            <a:t>, </a:t>
          </a:r>
          <a:r>
            <a:rPr lang="ko-KR" altLang="en-US" sz="900"/>
            <a:t>배관등의 점검이 용이</a:t>
          </a:r>
        </a:p>
      </dgm:t>
    </dgm:pt>
    <dgm:pt modelId="{77599503-D581-4ED4-849E-E5FE890DEF16}" type="par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289B51A-8AEA-43A5-8F0F-2522F01F3253}" type="sib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C1EB72A-0467-4F71-B7DB-A983CFD298EF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길이 </a:t>
          </a:r>
          <a:r>
            <a:rPr lang="en-US" altLang="ko-KR" sz="900"/>
            <a:t>: 3.66 m , </a:t>
          </a:r>
          <a:r>
            <a:rPr lang="ko-KR" altLang="en-US" sz="900"/>
            <a:t>색상 </a:t>
          </a:r>
          <a:r>
            <a:rPr lang="en-US" altLang="ko-KR" sz="900"/>
            <a:t>: </a:t>
          </a:r>
          <a:r>
            <a:rPr lang="ko-KR" altLang="en-US" sz="900"/>
            <a:t>기본색</a:t>
          </a:r>
          <a:r>
            <a:rPr lang="en-US" altLang="ko-KR" sz="900"/>
            <a:t>-</a:t>
          </a:r>
          <a:r>
            <a:rPr lang="ko-KR" altLang="en-US" sz="900"/>
            <a:t>화이트 </a:t>
          </a:r>
          <a:r>
            <a:rPr lang="en-US" altLang="ko-KR" sz="900"/>
            <a:t>(</a:t>
          </a:r>
          <a:r>
            <a:rPr lang="ko-KR" altLang="en-US" sz="900"/>
            <a:t>주문색상 </a:t>
          </a:r>
          <a:r>
            <a:rPr lang="en-US" altLang="ko-KR" sz="900"/>
            <a:t>= </a:t>
          </a:r>
          <a:r>
            <a:rPr lang="ko-KR" altLang="en-US" sz="900"/>
            <a:t>소부도장</a:t>
          </a:r>
          <a:r>
            <a:rPr lang="en-US" altLang="ko-KR" sz="900"/>
            <a:t>) , </a:t>
          </a:r>
          <a:r>
            <a:rPr lang="ko-KR" altLang="en-US" sz="900"/>
            <a:t>박스당 수량 </a:t>
          </a:r>
          <a:r>
            <a:rPr lang="en-US" altLang="ko-KR" sz="900"/>
            <a:t>: 20EA</a:t>
          </a:r>
          <a:endParaRPr lang="ko-KR" altLang="en-US" sz="900"/>
        </a:p>
      </dgm:t>
    </dgm:pt>
    <dgm:pt modelId="{F0C4C0DE-95D9-49C9-81CE-1B780719552D}" type="par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AAB072E9-9CCD-4DC5-B565-DE655B29BBBB}" type="sib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95186438-50B1-465E-A9B1-084466BB38B8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  </a:t>
          </a:r>
          <a:r>
            <a:rPr lang="en-US" altLang="ko-KR" sz="900"/>
            <a:t>KS 30, 40, 50, 65, 75, 90, 100, 125, 150 </a:t>
          </a:r>
          <a:r>
            <a:rPr lang="ko-KR" altLang="en-US" sz="900"/>
            <a:t>형 </a:t>
          </a:r>
        </a:p>
      </dgm:t>
    </dgm:pt>
    <dgm:pt modelId="{BF208EC2-2AAE-4E25-B73E-49BCDC26BA96}" type="par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6284B0B5-3228-4B37-B4FD-C04B2FE17FEF}" type="sib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71276F3B-912D-4F2B-B3DD-80E3D475AD91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</a:t>
          </a:r>
          <a:r>
            <a:rPr lang="en-US" altLang="en-US" sz="900"/>
            <a:t>A TYPE, B TYPE, C </a:t>
          </a:r>
          <a:r>
            <a:rPr lang="en-US" altLang="en-US" sz="800"/>
            <a:t>TYPE, D TYPE  </a:t>
          </a:r>
          <a:r>
            <a:rPr lang="ko-KR" altLang="en-US" sz="800"/>
            <a:t>규격 </a:t>
          </a:r>
          <a:r>
            <a:rPr lang="en-US" altLang="en-US" sz="800"/>
            <a:t>- (65, 75, 100, 125, 150mm </a:t>
          </a:r>
          <a:r>
            <a:rPr lang="ko-KR" altLang="en-US" sz="800"/>
            <a:t>외 주문 생산 가능</a:t>
          </a:r>
          <a:r>
            <a:rPr lang="en-US" altLang="en-US" sz="800"/>
            <a:t>)</a:t>
          </a:r>
          <a:endParaRPr lang="ko-KR" altLang="en-US" sz="800"/>
        </a:p>
      </dgm:t>
    </dgm:pt>
    <dgm:pt modelId="{25323768-199F-406D-A512-0F14B4EAA203}" type="par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53CFA6ED-A602-45A9-B281-77F11E26E849}" type="sib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3"/>
      <dgm:spPr/>
      <dgm:t>
        <a:bodyPr/>
        <a:lstStyle/>
        <a:p>
          <a:pPr latinLnBrk="1"/>
          <a:endParaRPr lang="ko-KR" altLang="en-US"/>
        </a:p>
      </dgm:t>
    </dgm:pt>
    <dgm:pt modelId="{FC0D3510-CC9D-44CE-ACE9-4F2A71C63766}" type="pres">
      <dgm:prSet presAssocID="{8C9C2EB9-73EC-49D5-9BD7-1F8D25790C25}" presName="img" presStyleLbl="fgImgPlace1" presStyleIdx="0" presStyleCnt="3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EF2BF29-5097-44A6-BF0F-7BED202E87A0}" type="pres">
      <dgm:prSet presAssocID="{8C9C2EB9-73EC-49D5-9BD7-1F8D25790C25}" presName="text" presStyleLbl="node1" presStyleIdx="0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E340EB03-A346-4677-AB07-6BAC6D9610FA}" type="pres">
      <dgm:prSet presAssocID="{92CA10A3-2395-417C-B49E-EB50866B71E4}" presName="spacer" presStyleCnt="0"/>
      <dgm:spPr/>
    </dgm:pt>
    <dgm:pt modelId="{7D70E207-A037-4E5E-8572-62AB75A7C3C4}" type="pres">
      <dgm:prSet presAssocID="{D075D6C3-62F5-48C4-9308-8D147CA90AD5}" presName="comp" presStyleCnt="0"/>
      <dgm:spPr/>
    </dgm:pt>
    <dgm:pt modelId="{50960ACE-0BFF-42B9-B90D-1F9C242A7DE1}" type="pres">
      <dgm:prSet presAssocID="{D075D6C3-62F5-48C4-9308-8D147CA90AD5}" presName="box" presStyleLbl="node1" presStyleIdx="1" presStyleCnt="3"/>
      <dgm:spPr/>
      <dgm:t>
        <a:bodyPr/>
        <a:lstStyle/>
        <a:p>
          <a:pPr latinLnBrk="1"/>
          <a:endParaRPr lang="ko-KR" altLang="en-US"/>
        </a:p>
      </dgm:t>
    </dgm:pt>
    <dgm:pt modelId="{5E493E35-7CEC-41AE-81A9-20BF0CAA9B6B}" type="pres">
      <dgm:prSet presAssocID="{D075D6C3-62F5-48C4-9308-8D147CA90AD5}" presName="img" presStyleLbl="fgImgPlace1" presStyleIdx="1" presStyleCnt="3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393D0F54-D1EA-4051-A956-8846CAB1394F}" type="pres">
      <dgm:prSet presAssocID="{D075D6C3-62F5-48C4-9308-8D147CA90AD5}" presName="text" presStyleLbl="node1" presStyleIdx="1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AFCF72D-B888-4C16-9286-839AA0A272B3}" type="pres">
      <dgm:prSet presAssocID="{2293B6BD-7682-45D3-9CEF-596FCD2ABF06}" presName="spacer" presStyleCnt="0"/>
      <dgm:spPr/>
    </dgm:pt>
    <dgm:pt modelId="{D1C28B39-2850-443C-951F-23A16CAD9ADC}" type="pres">
      <dgm:prSet presAssocID="{F300B5D6-F3F4-41FB-AB16-713B442B5FA5}" presName="comp" presStyleCnt="0"/>
      <dgm:spPr/>
    </dgm:pt>
    <dgm:pt modelId="{FD6E6F27-09FD-4D33-9A49-D6C6E7694092}" type="pres">
      <dgm:prSet presAssocID="{F300B5D6-F3F4-41FB-AB16-713B442B5FA5}" presName="box" presStyleLbl="node1" presStyleIdx="2" presStyleCnt="3"/>
      <dgm:spPr/>
      <dgm:t>
        <a:bodyPr/>
        <a:lstStyle/>
        <a:p>
          <a:pPr latinLnBrk="1"/>
          <a:endParaRPr lang="ko-KR" altLang="en-US"/>
        </a:p>
      </dgm:t>
    </dgm:pt>
    <dgm:pt modelId="{3E796587-C1FC-4A6E-A042-4D05F86EC3F6}" type="pres">
      <dgm:prSet presAssocID="{F300B5D6-F3F4-41FB-AB16-713B442B5FA5}" presName="img" presStyleLbl="fgImgPlace1" presStyleIdx="2" presStyleCnt="3"/>
      <dgm:spPr>
        <a:blipFill rotWithShape="0">
          <a:blip xmlns:r="http://schemas.openxmlformats.org/officeDocument/2006/relationships" r:embed="rId6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FCE7885F-B106-4BFF-B60D-B209E8BC51F7}" type="pres">
      <dgm:prSet presAssocID="{F300B5D6-F3F4-41FB-AB16-713B442B5FA5}" presName="text" presStyleLbl="node1" presStyleIdx="2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784DB0F5-4FCD-4FEE-8FBE-C240D57C03D0}" type="presOf" srcId="{AEA79C33-D25E-452B-B10C-0F0DE657E634}" destId="{393D0F54-D1EA-4051-A956-8846CAB1394F}" srcOrd="1" destOrd="1" presId="urn:microsoft.com/office/officeart/2005/8/layout/vList4"/>
    <dgm:cxn modelId="{D696065B-7EE9-46CF-B517-C80183B2EE79}" type="presOf" srcId="{D075D6C3-62F5-48C4-9308-8D147CA90AD5}" destId="{393D0F54-D1EA-4051-A956-8846CAB1394F}" srcOrd="1" destOrd="0" presId="urn:microsoft.com/office/officeart/2005/8/layout/vList4"/>
    <dgm:cxn modelId="{0566AAF0-5C8D-43F6-865B-0792A23CF8D2}" type="presOf" srcId="{386136E7-D219-454D-A7C8-6CAA659FECB5}" destId="{FD6E6F27-09FD-4D33-9A49-D6C6E7694092}" srcOrd="0" destOrd="1" presId="urn:microsoft.com/office/officeart/2005/8/layout/vList4"/>
    <dgm:cxn modelId="{719D245E-6B00-4766-BCDA-121B73622D68}" type="presOf" srcId="{F300B5D6-F3F4-41FB-AB16-713B442B5FA5}" destId="{FCE7885F-B106-4BFF-B60D-B209E8BC51F7}" srcOrd="1" destOrd="0" presId="urn:microsoft.com/office/officeart/2005/8/layout/vList4"/>
    <dgm:cxn modelId="{859C86D9-CFEA-4231-B020-37904728694E}" type="presOf" srcId="{EC1EB72A-0467-4F71-B7DB-A983CFD298EF}" destId="{FCE7885F-B106-4BFF-B60D-B209E8BC51F7}" srcOrd="1" destOrd="2" presId="urn:microsoft.com/office/officeart/2005/8/layout/vList4"/>
    <dgm:cxn modelId="{BC19AF63-646B-432C-9F26-1C13515668CA}" type="presOf" srcId="{386136E7-D219-454D-A7C8-6CAA659FECB5}" destId="{FCE7885F-B106-4BFF-B60D-B209E8BC51F7}" srcOrd="1" destOrd="1" presId="urn:microsoft.com/office/officeart/2005/8/layout/vList4"/>
    <dgm:cxn modelId="{BC8D6461-285D-4371-A590-C681C2F19312}" srcId="{F300B5D6-F3F4-41FB-AB16-713B442B5FA5}" destId="{386136E7-D219-454D-A7C8-6CAA659FECB5}" srcOrd="0" destOrd="0" parTransId="{77599503-D581-4ED4-849E-E5FE890DEF16}" sibTransId="{E289B51A-8AEA-43A5-8F0F-2522F01F3253}"/>
    <dgm:cxn modelId="{1BAC7DEF-1C2D-4000-A9D1-4F9B0D02CB1D}" type="presOf" srcId="{71276F3B-912D-4F2B-B3DD-80E3D475AD91}" destId="{1EF2BF29-5097-44A6-BF0F-7BED202E87A0}" srcOrd="1" destOrd="2" presId="urn:microsoft.com/office/officeart/2005/8/layout/vList4"/>
    <dgm:cxn modelId="{BFC21EBF-97C0-47B7-A330-DE84FDAE97F4}" type="presOf" srcId="{F300B5D6-F3F4-41FB-AB16-713B442B5FA5}" destId="{FD6E6F27-09FD-4D33-9A49-D6C6E7694092}" srcOrd="0" destOrd="0" presId="urn:microsoft.com/office/officeart/2005/8/layout/vList4"/>
    <dgm:cxn modelId="{A1A804AC-BE52-4119-A11E-0F376D115D8C}" type="presOf" srcId="{95186438-50B1-465E-A9B1-084466BB38B8}" destId="{50960ACE-0BFF-42B9-B90D-1F9C242A7DE1}" srcOrd="0" destOrd="2" presId="urn:microsoft.com/office/officeart/2005/8/layout/vList4"/>
    <dgm:cxn modelId="{6E329C41-AB54-41BB-8B8E-8771396012F0}" type="presOf" srcId="{EC1EB72A-0467-4F71-B7DB-A983CFD298EF}" destId="{FD6E6F27-09FD-4D33-9A49-D6C6E7694092}" srcOrd="0" destOrd="2" presId="urn:microsoft.com/office/officeart/2005/8/layout/vList4"/>
    <dgm:cxn modelId="{A5B1827A-3958-4F6D-B1D6-CC0942D16D50}" srcId="{F300B5D6-F3F4-41FB-AB16-713B442B5FA5}" destId="{EC1EB72A-0467-4F71-B7DB-A983CFD298EF}" srcOrd="1" destOrd="0" parTransId="{F0C4C0DE-95D9-49C9-81CE-1B780719552D}" sibTransId="{AAB072E9-9CCD-4DC5-B565-DE655B29BBBB}"/>
    <dgm:cxn modelId="{8EDE92EE-4C34-4C43-9BA4-8D37E693259E}" type="presOf" srcId="{8C9C2EB9-73EC-49D5-9BD7-1F8D25790C25}" destId="{1EF2BF29-5097-44A6-BF0F-7BED202E87A0}" srcOrd="1" destOrd="0" presId="urn:microsoft.com/office/officeart/2005/8/layout/vList4"/>
    <dgm:cxn modelId="{0089C63C-86D9-4C7C-9C03-D445DBD582D5}" type="presOf" srcId="{71276F3B-912D-4F2B-B3DD-80E3D475AD91}" destId="{8D3C186B-7CC5-46AB-96B9-352B6F85DA76}" srcOrd="0" destOrd="2" presId="urn:microsoft.com/office/officeart/2005/8/layout/vList4"/>
    <dgm:cxn modelId="{3778E053-7CE3-4B28-9B7C-087A279457C0}" srcId="{D075D6C3-62F5-48C4-9308-8D147CA90AD5}" destId="{95186438-50B1-465E-A9B1-084466BB38B8}" srcOrd="1" destOrd="0" parTransId="{BF208EC2-2AAE-4E25-B73E-49BCDC26BA96}" sibTransId="{6284B0B5-3228-4B37-B4FD-C04B2FE17FEF}"/>
    <dgm:cxn modelId="{94746748-28B8-49C0-B5B0-393B4AC5F12B}" srcId="{F97C8D8F-1B93-45A5-92F3-6DFE1F55E207}" destId="{F300B5D6-F3F4-41FB-AB16-713B442B5FA5}" srcOrd="2" destOrd="0" parTransId="{392CDAB0-9B25-401A-83A6-85764FF094B3}" sibTransId="{2EE37297-7C16-460D-8E03-6427F9B3B39D}"/>
    <dgm:cxn modelId="{12BEB59C-3B1E-4CAA-9207-D405EDB9D0B5}" type="presOf" srcId="{F97C8D8F-1B93-45A5-92F3-6DFE1F55E207}" destId="{633187E6-7CDB-4D2D-87BD-5DEA77235ACB}" srcOrd="0" destOrd="0" presId="urn:microsoft.com/office/officeart/2005/8/layout/vList4"/>
    <dgm:cxn modelId="{A677B7FA-9783-4153-8B41-69A38D742646}" srcId="{D075D6C3-62F5-48C4-9308-8D147CA90AD5}" destId="{AEA79C33-D25E-452B-B10C-0F0DE657E634}" srcOrd="0" destOrd="0" parTransId="{1AF2D813-AE9D-475C-A2D9-58EDFB89286C}" sibTransId="{B92DA41F-E983-43CD-8822-92C3C2BA2FD8}"/>
    <dgm:cxn modelId="{0CE2BCDA-150D-4353-93E9-CF3F50ECC0EA}" type="presOf" srcId="{8C9C2EB9-73EC-49D5-9BD7-1F8D25790C25}" destId="{8D3C186B-7CC5-46AB-96B9-352B6F85DA76}" srcOrd="0" destOrd="0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C4861EE1-D58A-4DE2-8759-3E6E575ECEE6}" type="presOf" srcId="{95186438-50B1-465E-A9B1-084466BB38B8}" destId="{393D0F54-D1EA-4051-A956-8846CAB1394F}" srcOrd="1" destOrd="2" presId="urn:microsoft.com/office/officeart/2005/8/layout/vList4"/>
    <dgm:cxn modelId="{999142B6-D53D-4E94-BF06-F763ACE5CBB1}" type="presOf" srcId="{EE81730D-3F88-4C09-9EBC-FBF8E8CAD347}" destId="{8D3C186B-7CC5-46AB-96B9-352B6F85DA76}" srcOrd="0" destOrd="1" presId="urn:microsoft.com/office/officeart/2005/8/layout/vList4"/>
    <dgm:cxn modelId="{E54252E9-83E1-4C53-A8D0-98643ED29D6E}" srcId="{8C9C2EB9-73EC-49D5-9BD7-1F8D25790C25}" destId="{71276F3B-912D-4F2B-B3DD-80E3D475AD91}" srcOrd="1" destOrd="0" parTransId="{25323768-199F-406D-A512-0F14B4EAA203}" sibTransId="{53CFA6ED-A602-45A9-B281-77F11E26E849}"/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7E8A1488-F845-4B6E-8476-30D166DAFAAE}" type="presOf" srcId="{D075D6C3-62F5-48C4-9308-8D147CA90AD5}" destId="{50960ACE-0BFF-42B9-B90D-1F9C242A7DE1}" srcOrd="0" destOrd="0" presId="urn:microsoft.com/office/officeart/2005/8/layout/vList4"/>
    <dgm:cxn modelId="{1BFE1E38-B78D-4331-8212-08F5D6DE29F8}" type="presOf" srcId="{EE81730D-3F88-4C09-9EBC-FBF8E8CAD347}" destId="{1EF2BF29-5097-44A6-BF0F-7BED202E87A0}" srcOrd="1" destOrd="1" presId="urn:microsoft.com/office/officeart/2005/8/layout/vList4"/>
    <dgm:cxn modelId="{0CEB2EF0-8713-47BA-A3AA-8B3E771D4DBD}" type="presOf" srcId="{AEA79C33-D25E-452B-B10C-0F0DE657E634}" destId="{50960ACE-0BFF-42B9-B90D-1F9C242A7DE1}" srcOrd="0" destOrd="1" presId="urn:microsoft.com/office/officeart/2005/8/layout/vList4"/>
    <dgm:cxn modelId="{B6974FAB-E0CC-422C-95B7-F9D84F1BA3EB}" srcId="{F97C8D8F-1B93-45A5-92F3-6DFE1F55E207}" destId="{D075D6C3-62F5-48C4-9308-8D147CA90AD5}" srcOrd="1" destOrd="0" parTransId="{1777A271-ECB8-4FCC-B80C-926261C84DC3}" sibTransId="{2293B6BD-7682-45D3-9CEF-596FCD2ABF06}"/>
    <dgm:cxn modelId="{1FBF095A-D643-4DCD-B494-E15B7A959652}" type="presParOf" srcId="{633187E6-7CDB-4D2D-87BD-5DEA77235ACB}" destId="{F129497E-9ED6-4362-9A90-54E8A44464C7}" srcOrd="0" destOrd="0" presId="urn:microsoft.com/office/officeart/2005/8/layout/vList4"/>
    <dgm:cxn modelId="{19E4882F-C8A9-42AA-9E9A-0B84CF803EDB}" type="presParOf" srcId="{F129497E-9ED6-4362-9A90-54E8A44464C7}" destId="{8D3C186B-7CC5-46AB-96B9-352B6F85DA76}" srcOrd="0" destOrd="0" presId="urn:microsoft.com/office/officeart/2005/8/layout/vList4"/>
    <dgm:cxn modelId="{16DB3C63-3261-486A-B9FD-1BDFAA9BE992}" type="presParOf" srcId="{F129497E-9ED6-4362-9A90-54E8A44464C7}" destId="{FC0D3510-CC9D-44CE-ACE9-4F2A71C63766}" srcOrd="1" destOrd="0" presId="urn:microsoft.com/office/officeart/2005/8/layout/vList4"/>
    <dgm:cxn modelId="{F8C948B8-AEE3-4402-8CF3-3DFA6AE1D6A3}" type="presParOf" srcId="{F129497E-9ED6-4362-9A90-54E8A44464C7}" destId="{1EF2BF29-5097-44A6-BF0F-7BED202E87A0}" srcOrd="2" destOrd="0" presId="urn:microsoft.com/office/officeart/2005/8/layout/vList4"/>
    <dgm:cxn modelId="{AB53A881-0BFA-45B3-845C-4A9B5F791D8E}" type="presParOf" srcId="{633187E6-7CDB-4D2D-87BD-5DEA77235ACB}" destId="{E340EB03-A346-4677-AB07-6BAC6D9610FA}" srcOrd="1" destOrd="0" presId="urn:microsoft.com/office/officeart/2005/8/layout/vList4"/>
    <dgm:cxn modelId="{55D20B3A-7058-46E0-8ABF-367E9B640496}" type="presParOf" srcId="{633187E6-7CDB-4D2D-87BD-5DEA77235ACB}" destId="{7D70E207-A037-4E5E-8572-62AB75A7C3C4}" srcOrd="2" destOrd="0" presId="urn:microsoft.com/office/officeart/2005/8/layout/vList4"/>
    <dgm:cxn modelId="{D232B1AA-5412-4A96-BC4D-48EB5CD6CA5A}" type="presParOf" srcId="{7D70E207-A037-4E5E-8572-62AB75A7C3C4}" destId="{50960ACE-0BFF-42B9-B90D-1F9C242A7DE1}" srcOrd="0" destOrd="0" presId="urn:microsoft.com/office/officeart/2005/8/layout/vList4"/>
    <dgm:cxn modelId="{AF684F3C-2E4A-4EA6-9A3E-B2BB19435A00}" type="presParOf" srcId="{7D70E207-A037-4E5E-8572-62AB75A7C3C4}" destId="{5E493E35-7CEC-41AE-81A9-20BF0CAA9B6B}" srcOrd="1" destOrd="0" presId="urn:microsoft.com/office/officeart/2005/8/layout/vList4"/>
    <dgm:cxn modelId="{735FB42F-4D2C-4D0B-83BB-72D98E6B6D13}" type="presParOf" srcId="{7D70E207-A037-4E5E-8572-62AB75A7C3C4}" destId="{393D0F54-D1EA-4051-A956-8846CAB1394F}" srcOrd="2" destOrd="0" presId="urn:microsoft.com/office/officeart/2005/8/layout/vList4"/>
    <dgm:cxn modelId="{098219D6-53B6-49D7-8AF6-0C01A505C85C}" type="presParOf" srcId="{633187E6-7CDB-4D2D-87BD-5DEA77235ACB}" destId="{DAFCF72D-B888-4C16-9286-839AA0A272B3}" srcOrd="3" destOrd="0" presId="urn:microsoft.com/office/officeart/2005/8/layout/vList4"/>
    <dgm:cxn modelId="{3B6E3239-71F3-4BA8-A231-A9358CAB30A4}" type="presParOf" srcId="{633187E6-7CDB-4D2D-87BD-5DEA77235ACB}" destId="{D1C28B39-2850-443C-951F-23A16CAD9ADC}" srcOrd="4" destOrd="0" presId="urn:microsoft.com/office/officeart/2005/8/layout/vList4"/>
    <dgm:cxn modelId="{A8A8E26E-798E-47F8-B16A-A6CFFB62FD7F}" type="presParOf" srcId="{D1C28B39-2850-443C-951F-23A16CAD9ADC}" destId="{FD6E6F27-09FD-4D33-9A49-D6C6E7694092}" srcOrd="0" destOrd="0" presId="urn:microsoft.com/office/officeart/2005/8/layout/vList4"/>
    <dgm:cxn modelId="{36AB4050-359D-488F-8640-D157C8A1E3E3}" type="presParOf" srcId="{D1C28B39-2850-443C-951F-23A16CAD9ADC}" destId="{3E796587-C1FC-4A6E-A042-4D05F86EC3F6}" srcOrd="1" destOrd="0" presId="urn:microsoft.com/office/officeart/2005/8/layout/vList4"/>
    <dgm:cxn modelId="{F88CFD6E-B10E-4621-B19A-0D557EA127E3}" type="presParOf" srcId="{D1C28B39-2850-443C-951F-23A16CAD9ADC}" destId="{FCE7885F-B106-4BFF-B60D-B209E8BC51F7}" srcOrd="2" destOrd="0" presId="urn:microsoft.com/office/officeart/2005/8/layout/vList4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1100" baseline="0"/>
            <a:t>화장실 칸막이 </a:t>
          </a:r>
          <a:r>
            <a:rPr lang="en-US" altLang="ko-KR" sz="1100" baseline="0"/>
            <a:t>(</a:t>
          </a:r>
          <a:r>
            <a:rPr lang="ko-KR" altLang="en-US" sz="1100" baseline="0"/>
            <a:t>큐비클 판넬</a:t>
          </a:r>
          <a:r>
            <a:rPr lang="en-US" altLang="ko-KR" sz="1100" baseline="0"/>
            <a:t>)</a:t>
          </a:r>
          <a:endParaRPr lang="ko-KR" altLang="en-US" sz="1100" baseline="0"/>
        </a:p>
      </dgm: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en-US" altLang="ko-KR" sz="900"/>
            <a:t> </a:t>
          </a:r>
          <a:r>
            <a:rPr lang="ko-KR" altLang="ko-KR" sz="900"/>
            <a:t>다양한 </a:t>
          </a:r>
          <a:r>
            <a:rPr lang="en-US" altLang="ko-KR" sz="900"/>
            <a:t>COLOR</a:t>
          </a:r>
          <a:r>
            <a:rPr lang="ko-KR" altLang="ko-KR" sz="900"/>
            <a:t>로 인테리어적 분위기 연출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C7A26A6-BD26-4224-BCB1-CC088022A4CD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900"/>
            <a:t>  </a:t>
          </a:r>
          <a:r>
            <a:rPr lang="en-US" altLang="en-US" sz="900"/>
            <a:t>No-Moulding System : </a:t>
          </a:r>
          <a:r>
            <a:rPr lang="ko-KR" altLang="en-US" sz="900"/>
            <a:t>공장에서 주문 제작 </a:t>
          </a:r>
          <a:r>
            <a:rPr lang="en-US" altLang="en-US" sz="900"/>
            <a:t>,  Moulding System : </a:t>
          </a:r>
          <a:r>
            <a:rPr lang="ko-KR" altLang="en-US" sz="900"/>
            <a:t>현장에서 제작 시공</a:t>
          </a:r>
          <a:r>
            <a:rPr lang="en-US" altLang="en-US" sz="900"/>
            <a:t> </a:t>
          </a:r>
          <a:endParaRPr lang="ko-KR" altLang="en-US" sz="900"/>
        </a:p>
      </dgm:t>
    </dgm:pt>
    <dgm:pt modelId="{080BBE59-B6EB-4ACC-B97B-AF848DD74BB0}" type="par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B7E43965-89D7-46F7-B99E-3BA9EF869A8F}" type="sib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1"/>
      <dgm:spPr/>
      <dgm:t>
        <a:bodyPr/>
        <a:lstStyle/>
        <a:p>
          <a:pPr latinLnBrk="1"/>
          <a:endParaRPr lang="ko-KR" altLang="en-US"/>
        </a:p>
      </dgm:t>
    </dgm:pt>
    <dgm:pt modelId="{FC0D3510-CC9D-44CE-ACE9-4F2A71C63766}" type="pres">
      <dgm:prSet presAssocID="{8C9C2EB9-73EC-49D5-9BD7-1F8D25790C25}" presName="img" presStyleLbl="fgImgPlace1" presStyleIdx="0" presStyleCnt="1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</dgm:pt>
    <dgm:pt modelId="{1EF2BF29-5097-44A6-BF0F-7BED202E87A0}" type="pres">
      <dgm:prSet presAssocID="{8C9C2EB9-73EC-49D5-9BD7-1F8D25790C25}" presName="text" presStyleLbl="node1" presStyleIdx="0" presStyleCnt="1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42B25483-7ED6-496C-9493-EC02ABAE8E3D}" type="presOf" srcId="{EE81730D-3F88-4C09-9EBC-FBF8E8CAD347}" destId="{1EF2BF29-5097-44A6-BF0F-7BED202E87A0}" srcOrd="1" destOrd="1" presId="urn:microsoft.com/office/officeart/2005/8/layout/vList4"/>
    <dgm:cxn modelId="{2E0CD795-91FB-42AF-9B47-C38DE6BEC7EC}" type="presOf" srcId="{8C9C2EB9-73EC-49D5-9BD7-1F8D25790C25}" destId="{8D3C186B-7CC5-46AB-96B9-352B6F85DA76}" srcOrd="0" destOrd="0" presId="urn:microsoft.com/office/officeart/2005/8/layout/vList4"/>
    <dgm:cxn modelId="{2870080C-F6C5-4AE3-8EFD-4FCE382A6F3C}" type="presOf" srcId="{8C9C2EB9-73EC-49D5-9BD7-1F8D25790C25}" destId="{1EF2BF29-5097-44A6-BF0F-7BED202E87A0}" srcOrd="1" destOrd="0" presId="urn:microsoft.com/office/officeart/2005/8/layout/vList4"/>
    <dgm:cxn modelId="{3596002A-1DA3-4B6F-849B-C47ADEB4ACBA}" type="presOf" srcId="{EE81730D-3F88-4C09-9EBC-FBF8E8CAD347}" destId="{8D3C186B-7CC5-46AB-96B9-352B6F85DA76}" srcOrd="0" destOrd="1" presId="urn:microsoft.com/office/officeart/2005/8/layout/vList4"/>
    <dgm:cxn modelId="{7FED8BBD-42FD-4459-834F-8C6B626A24D6}" type="presOf" srcId="{8C7A26A6-BD26-4224-BCB1-CC088022A4CD}" destId="{8D3C186B-7CC5-46AB-96B9-352B6F85DA76}" srcOrd="0" destOrd="2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2C939A39-1311-43B6-9BEC-3904107363B9}" type="presOf" srcId="{F97C8D8F-1B93-45A5-92F3-6DFE1F55E207}" destId="{633187E6-7CDB-4D2D-87BD-5DEA77235ACB}" srcOrd="0" destOrd="0" presId="urn:microsoft.com/office/officeart/2005/8/layout/vList4"/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2FDA6ADE-1EFA-42E0-AF8E-D37B14A83F59}" type="presOf" srcId="{8C7A26A6-BD26-4224-BCB1-CC088022A4CD}" destId="{1EF2BF29-5097-44A6-BF0F-7BED202E87A0}" srcOrd="1" destOrd="2" presId="urn:microsoft.com/office/officeart/2005/8/layout/vList4"/>
    <dgm:cxn modelId="{53D57CF4-BF94-432F-9E3A-53805D1A91DA}" srcId="{8C9C2EB9-73EC-49D5-9BD7-1F8D25790C25}" destId="{8C7A26A6-BD26-4224-BCB1-CC088022A4CD}" srcOrd="1" destOrd="0" parTransId="{080BBE59-B6EB-4ACC-B97B-AF848DD74BB0}" sibTransId="{B7E43965-89D7-46F7-B99E-3BA9EF869A8F}"/>
    <dgm:cxn modelId="{56887D7A-DF78-4728-A455-4CD2B646F8CC}" type="presParOf" srcId="{633187E6-7CDB-4D2D-87BD-5DEA77235ACB}" destId="{F129497E-9ED6-4362-9A90-54E8A44464C7}" srcOrd="0" destOrd="0" presId="urn:microsoft.com/office/officeart/2005/8/layout/vList4"/>
    <dgm:cxn modelId="{6C47B565-810D-4163-90FB-BC4A56276F2C}" type="presParOf" srcId="{F129497E-9ED6-4362-9A90-54E8A44464C7}" destId="{8D3C186B-7CC5-46AB-96B9-352B6F85DA76}" srcOrd="0" destOrd="0" presId="urn:microsoft.com/office/officeart/2005/8/layout/vList4"/>
    <dgm:cxn modelId="{B15D99DD-EF71-4579-ABC1-2D4108D818E4}" type="presParOf" srcId="{F129497E-9ED6-4362-9A90-54E8A44464C7}" destId="{FC0D3510-CC9D-44CE-ACE9-4F2A71C63766}" srcOrd="1" destOrd="0" presId="urn:microsoft.com/office/officeart/2005/8/layout/vList4"/>
    <dgm:cxn modelId="{D6C5DB1D-DF6E-4A78-9C33-731D085043A1}" type="presParOf" srcId="{F129497E-9ED6-4362-9A90-54E8A44464C7}" destId="{1EF2BF29-5097-44A6-BF0F-7BED202E87A0}" srcOrd="2" destOrd="0" presId="urn:microsoft.com/office/officeart/2005/8/layout/vList4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en-US" sz="1100" kern="1200" baseline="0"/>
            <a:t>S.G.P (Steel Gypsum Panel)</a:t>
          </a:r>
          <a:endParaRPr lang="ko-KR" altLang="en-US" sz="1100" kern="1200" baseline="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 </a:t>
          </a:r>
          <a:r>
            <a:rPr lang="ko-KR" altLang="ko-KR" sz="900" kern="1200"/>
            <a:t>표현의 자유로움</a:t>
          </a:r>
          <a:r>
            <a:rPr lang="en-US" altLang="ko-KR" sz="900" kern="1200"/>
            <a:t>, </a:t>
          </a:r>
          <a:r>
            <a:rPr lang="ko-KR" altLang="ko-KR" sz="900" kern="1200"/>
            <a:t>탁월한 방음성</a:t>
          </a:r>
          <a:r>
            <a:rPr lang="en-US" altLang="ko-KR" sz="900" kern="1200"/>
            <a:t>, </a:t>
          </a:r>
          <a:r>
            <a:rPr lang="ko-KR" altLang="ko-KR" sz="900" kern="1200"/>
            <a:t>방화성과 이동설치의 간편함이 우수한 내장 칸막이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</a:t>
          </a:r>
          <a:r>
            <a:rPr lang="en-US" altLang="en-US" sz="900" kern="1200"/>
            <a:t>A TYPE, B TYPE, C </a:t>
          </a:r>
          <a:r>
            <a:rPr lang="en-US" altLang="en-US" sz="800" kern="1200"/>
            <a:t>TYPE, D TYPE  </a:t>
          </a:r>
          <a:r>
            <a:rPr lang="ko-KR" altLang="en-US" sz="800" kern="1200"/>
            <a:t>규격 </a:t>
          </a:r>
          <a:r>
            <a:rPr lang="en-US" altLang="en-US" sz="800" kern="1200"/>
            <a:t>- (65, 75, 100, 125, 150mm </a:t>
          </a:r>
          <a:r>
            <a:rPr lang="ko-KR" altLang="en-US" sz="800" kern="1200"/>
            <a:t>외 주문 생산 가능</a:t>
          </a:r>
          <a:r>
            <a:rPr lang="en-US" altLang="en-US" sz="800" kern="1200"/>
            <a:t>)</a:t>
          </a:r>
          <a:endParaRPr lang="ko-KR" altLang="en-US" sz="800" kern="1200"/>
        </a:p>
      </dsp:txBody>
      <dsp:txXfrm>
        <a:off x="1219200" y="0"/>
        <a:ext cx="4448175" cy="857249"/>
      </dsp:txXfrm>
    </dsp:sp>
    <dsp:sp modelId="{FC0D3510-CC9D-44CE-ACE9-4F2A71C63766}">
      <dsp:nvSpPr>
        <dsp:cNvPr id="0" name=""/>
        <dsp:cNvSpPr/>
      </dsp:nvSpPr>
      <dsp:spPr>
        <a:xfrm>
          <a:off x="85724" y="8572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0960ACE-0BFF-42B9-B90D-1F9C242A7DE1}">
      <dsp:nvSpPr>
        <dsp:cNvPr id="0" name=""/>
        <dsp:cNvSpPr/>
      </dsp:nvSpPr>
      <dsp:spPr>
        <a:xfrm>
          <a:off x="0" y="942974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/>
            <a:t>메탈 스터드</a:t>
          </a:r>
          <a:r>
            <a:rPr lang="en-US" altLang="ko-KR" sz="1100" kern="1200"/>
            <a:t>, </a:t>
          </a:r>
          <a:r>
            <a:rPr lang="ko-KR" altLang="ko-KR" sz="1100" kern="1200"/>
            <a:t>메탈 런너</a:t>
          </a:r>
          <a:r>
            <a:rPr lang="en-US" altLang="ko-KR" sz="1100" kern="1200"/>
            <a:t>(</a:t>
          </a:r>
          <a:r>
            <a:rPr lang="en-US" altLang="en-US" sz="1100" kern="1200"/>
            <a:t>Metal Stud, </a:t>
          </a:r>
          <a:r>
            <a:rPr lang="en-US" altLang="ko-KR" sz="1100" kern="1200"/>
            <a:t>Metal Runner)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경량의 메탈런너와 스터드로 골격을 형성한 후 그 양쪽면에 나사못으로 보드를 부착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  </a:t>
          </a:r>
          <a:r>
            <a:rPr lang="en-US" altLang="ko-KR" sz="900" kern="1200"/>
            <a:t>KS 30, 40, 50, 65, 75, 90, 100, 125, 150 </a:t>
          </a:r>
          <a:r>
            <a:rPr lang="ko-KR" altLang="en-US" sz="900" kern="1200"/>
            <a:t>형 </a:t>
          </a:r>
        </a:p>
      </dsp:txBody>
      <dsp:txXfrm>
        <a:off x="1219200" y="942974"/>
        <a:ext cx="4448175" cy="857249"/>
      </dsp:txXfrm>
    </dsp:sp>
    <dsp:sp modelId="{5E493E35-7CEC-41AE-81A9-20BF0CAA9B6B}">
      <dsp:nvSpPr>
        <dsp:cNvPr id="0" name=""/>
        <dsp:cNvSpPr/>
      </dsp:nvSpPr>
      <dsp:spPr>
        <a:xfrm>
          <a:off x="85724" y="1028699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6E6F27-09FD-4D33-9A49-D6C6E7694092}">
      <dsp:nvSpPr>
        <dsp:cNvPr id="0" name=""/>
        <dsp:cNvSpPr/>
      </dsp:nvSpPr>
      <dsp:spPr>
        <a:xfrm>
          <a:off x="0" y="188595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4"/>
          </a:solidFill>
          <a:prstDash val="solid"/>
          <a:miter lim="800000"/>
        </a:ln>
        <a:effectLst/>
      </dsp:spPr>
      <dsp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/>
            <a:t>메인티바 </a:t>
          </a:r>
          <a:r>
            <a:rPr lang="en-US" altLang="ko-KR" sz="1100" kern="1200"/>
            <a:t>(Main T-Bar)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시공이 빠르고 간편하며 천장내부에 설치된 배선</a:t>
          </a:r>
          <a:r>
            <a:rPr lang="en-US" altLang="en-US" sz="900" kern="1200"/>
            <a:t>, </a:t>
          </a:r>
          <a:r>
            <a:rPr lang="ko-KR" altLang="en-US" sz="900" kern="1200"/>
            <a:t>배관등의 점검이 용이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길이 </a:t>
          </a:r>
          <a:r>
            <a:rPr lang="en-US" altLang="ko-KR" sz="900" kern="1200"/>
            <a:t>: 3.66 m , </a:t>
          </a:r>
          <a:r>
            <a:rPr lang="ko-KR" altLang="en-US" sz="900" kern="1200"/>
            <a:t>색상 </a:t>
          </a:r>
          <a:r>
            <a:rPr lang="en-US" altLang="ko-KR" sz="900" kern="1200"/>
            <a:t>: </a:t>
          </a:r>
          <a:r>
            <a:rPr lang="ko-KR" altLang="en-US" sz="900" kern="1200"/>
            <a:t>기본색</a:t>
          </a:r>
          <a:r>
            <a:rPr lang="en-US" altLang="ko-KR" sz="900" kern="1200"/>
            <a:t>-</a:t>
          </a:r>
          <a:r>
            <a:rPr lang="ko-KR" altLang="en-US" sz="900" kern="1200"/>
            <a:t>화이트 </a:t>
          </a:r>
          <a:r>
            <a:rPr lang="en-US" altLang="ko-KR" sz="900" kern="1200"/>
            <a:t>(</a:t>
          </a:r>
          <a:r>
            <a:rPr lang="ko-KR" altLang="en-US" sz="900" kern="1200"/>
            <a:t>주문색상 </a:t>
          </a:r>
          <a:r>
            <a:rPr lang="en-US" altLang="ko-KR" sz="900" kern="1200"/>
            <a:t>= </a:t>
          </a:r>
          <a:r>
            <a:rPr lang="ko-KR" altLang="en-US" sz="900" kern="1200"/>
            <a:t>소부도장</a:t>
          </a:r>
          <a:r>
            <a:rPr lang="en-US" altLang="ko-KR" sz="900" kern="1200"/>
            <a:t>) , </a:t>
          </a:r>
          <a:r>
            <a:rPr lang="ko-KR" altLang="en-US" sz="900" kern="1200"/>
            <a:t>박스당 수량 </a:t>
          </a:r>
          <a:r>
            <a:rPr lang="en-US" altLang="ko-KR" sz="900" kern="1200"/>
            <a:t>: 20EA</a:t>
          </a:r>
          <a:endParaRPr lang="ko-KR" altLang="en-US" sz="900" kern="1200"/>
        </a:p>
      </dsp:txBody>
      <dsp:txXfrm>
        <a:off x="1219200" y="1885950"/>
        <a:ext cx="4448175" cy="857249"/>
      </dsp:txXfrm>
    </dsp:sp>
    <dsp:sp modelId="{3E796587-C1FC-4A6E-A042-4D05F86EC3F6}">
      <dsp:nvSpPr>
        <dsp:cNvPr id="0" name=""/>
        <dsp:cNvSpPr/>
      </dsp:nvSpPr>
      <dsp:spPr>
        <a:xfrm>
          <a:off x="85724" y="197167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914400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100" kern="1200" baseline="0"/>
            <a:t>화장실 칸막이 </a:t>
          </a:r>
          <a:r>
            <a:rPr lang="en-US" altLang="ko-KR" sz="1100" kern="1200" baseline="0"/>
            <a:t>(</a:t>
          </a:r>
          <a:r>
            <a:rPr lang="ko-KR" altLang="en-US" sz="1100" kern="1200" baseline="0"/>
            <a:t>큐비클 판넬</a:t>
          </a:r>
          <a:r>
            <a:rPr lang="en-US" altLang="ko-KR" sz="1100" kern="1200" baseline="0"/>
            <a:t>)</a:t>
          </a:r>
          <a:endParaRPr lang="ko-KR" altLang="en-US" sz="1100" kern="1200" baseline="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900" kern="1200"/>
            <a:t> </a:t>
          </a:r>
          <a:r>
            <a:rPr lang="ko-KR" altLang="ko-KR" sz="900" kern="1200"/>
            <a:t>다양한 </a:t>
          </a:r>
          <a:r>
            <a:rPr lang="en-US" altLang="ko-KR" sz="900" kern="1200"/>
            <a:t>COLOR</a:t>
          </a:r>
          <a:r>
            <a:rPr lang="ko-KR" altLang="ko-KR" sz="900" kern="1200"/>
            <a:t>로 인테리어적 분위기 연출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900" kern="1200"/>
            <a:t>  </a:t>
          </a:r>
          <a:r>
            <a:rPr lang="en-US" altLang="en-US" sz="900" kern="1200"/>
            <a:t>No-Moulding System : </a:t>
          </a:r>
          <a:r>
            <a:rPr lang="ko-KR" altLang="en-US" sz="900" kern="1200"/>
            <a:t>공장에서 주문 제작 </a:t>
          </a:r>
          <a:r>
            <a:rPr lang="en-US" altLang="en-US" sz="900" kern="1200"/>
            <a:t>,  Moulding System : </a:t>
          </a:r>
          <a:r>
            <a:rPr lang="ko-KR" altLang="en-US" sz="900" kern="1200"/>
            <a:t>현장에서 제작 시공</a:t>
          </a:r>
          <a:r>
            <a:rPr lang="en-US" altLang="en-US" sz="900" kern="1200"/>
            <a:t> </a:t>
          </a:r>
          <a:endParaRPr lang="ko-KR" altLang="en-US" sz="900" kern="1200"/>
        </a:p>
      </dsp:txBody>
      <dsp:txXfrm>
        <a:off x="1224915" y="0"/>
        <a:ext cx="4442460" cy="914400"/>
      </dsp:txXfrm>
    </dsp:sp>
    <dsp:sp modelId="{FC0D3510-CC9D-44CE-ACE9-4F2A71C63766}">
      <dsp:nvSpPr>
        <dsp:cNvPr id="0" name=""/>
        <dsp:cNvSpPr/>
      </dsp:nvSpPr>
      <dsp:spPr>
        <a:xfrm>
          <a:off x="91440" y="91440"/>
          <a:ext cx="1133475" cy="731520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webluesky/L2F3/7" TargetMode="External"/><Relationship Id="rId13" Type="http://schemas.openxmlformats.org/officeDocument/2006/relationships/image" Target="../media/image30.png"/><Relationship Id="rId18" Type="http://schemas.openxmlformats.org/officeDocument/2006/relationships/diagramColors" Target="../diagrams/colors2.xml"/><Relationship Id="rId3" Type="http://schemas.openxmlformats.org/officeDocument/2006/relationships/diagramData" Target="../diagrams/data1.xml"/><Relationship Id="rId21" Type="http://schemas.openxmlformats.org/officeDocument/2006/relationships/image" Target="../media/image33.png"/><Relationship Id="rId7" Type="http://schemas.microsoft.com/office/2007/relationships/diagramDrawing" Target="../diagrams/drawing1.xml"/><Relationship Id="rId12" Type="http://schemas.openxmlformats.org/officeDocument/2006/relationships/hyperlink" Target="https://cafe.daum.net/webluesky/L2F5/7" TargetMode="External"/><Relationship Id="rId17" Type="http://schemas.openxmlformats.org/officeDocument/2006/relationships/diagramQuickStyle" Target="../diagrams/quickStyle2.xml"/><Relationship Id="rId2" Type="http://schemas.openxmlformats.org/officeDocument/2006/relationships/image" Target="../media/image24.gif"/><Relationship Id="rId16" Type="http://schemas.openxmlformats.org/officeDocument/2006/relationships/diagramLayout" Target="../diagrams/layout2.xml"/><Relationship Id="rId20" Type="http://schemas.openxmlformats.org/officeDocument/2006/relationships/image" Target="../media/image32.jpeg"/><Relationship Id="rId1" Type="http://schemas.openxmlformats.org/officeDocument/2006/relationships/image" Target="../media/image23.jpeg"/><Relationship Id="rId6" Type="http://schemas.openxmlformats.org/officeDocument/2006/relationships/diagramColors" Target="../diagrams/colors1.xml"/><Relationship Id="rId11" Type="http://schemas.openxmlformats.org/officeDocument/2006/relationships/image" Target="../media/image29.png"/><Relationship Id="rId5" Type="http://schemas.openxmlformats.org/officeDocument/2006/relationships/diagramQuickStyle" Target="../diagrams/quickStyle1.xml"/><Relationship Id="rId15" Type="http://schemas.openxmlformats.org/officeDocument/2006/relationships/diagramData" Target="../diagrams/data2.xml"/><Relationship Id="rId10" Type="http://schemas.openxmlformats.org/officeDocument/2006/relationships/hyperlink" Target="https://cafe.daum.net/webluesky/L2F0/9" TargetMode="External"/><Relationship Id="rId19" Type="http://schemas.microsoft.com/office/2007/relationships/diagramDrawing" Target="../diagrams/drawing2.xml"/><Relationship Id="rId4" Type="http://schemas.openxmlformats.org/officeDocument/2006/relationships/diagramLayout" Target="../diagrams/layout1.xml"/><Relationship Id="rId9" Type="http://schemas.openxmlformats.org/officeDocument/2006/relationships/image" Target="../media/image28.png"/><Relationship Id="rId14" Type="http://schemas.openxmlformats.org/officeDocument/2006/relationships/hyperlink" Target="https://cafe.daum.net/webluesky/L2Hp/27" TargetMode="External"/><Relationship Id="rId22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3.jpg"/><Relationship Id="rId1" Type="http://schemas.openxmlformats.org/officeDocument/2006/relationships/image" Target="../media/image12.jp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1133475</xdr:colOff>
      <xdr:row>1</xdr:row>
      <xdr:rowOff>238125</xdr:rowOff>
    </xdr:from>
    <xdr:to>
      <xdr:col>16</xdr:col>
      <xdr:colOff>1809749</xdr:colOff>
      <xdr:row>3</xdr:row>
      <xdr:rowOff>204668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371475"/>
          <a:ext cx="676274" cy="514929"/>
        </a:xfrm>
        <a:prstGeom prst="rect">
          <a:avLst/>
        </a:prstGeom>
      </xdr:spPr>
    </xdr:pic>
    <xdr:clientData/>
  </xdr:twoCellAnchor>
  <xdr:twoCellAnchor>
    <xdr:from>
      <xdr:col>10</xdr:col>
      <xdr:colOff>266700</xdr:colOff>
      <xdr:row>30</xdr:row>
      <xdr:rowOff>104775</xdr:rowOff>
    </xdr:from>
    <xdr:to>
      <xdr:col>12</xdr:col>
      <xdr:colOff>581024</xdr:colOff>
      <xdr:row>41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B08440-A862-4D07-B761-2CD304980568}"/>
            </a:ext>
          </a:extLst>
        </xdr:cNvPr>
        <xdr:cNvSpPr txBox="1"/>
      </xdr:nvSpPr>
      <xdr:spPr>
        <a:xfrm>
          <a:off x="8305800" y="6562725"/>
          <a:ext cx="1685924" cy="23241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 algn="l">
            <a:buFont typeface="Arial" pitchFamily="34" charset="0"/>
            <a:buChar char="•"/>
          </a:pP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경 량 천정재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텍스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마이톤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담파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스판드럴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스터드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SGP</a:t>
          </a: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칸막이</a:t>
          </a:r>
          <a:endParaRPr lang="en-US" altLang="ko-KR" sz="1000" b="1" cap="none" spc="0" baseline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석고보드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샌드위치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화장실 큐비클 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v"/>
          </a:pP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생산 및 견적</a:t>
          </a:r>
          <a:r>
            <a:rPr lang="en-US" altLang="ko-KR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,</a:t>
          </a: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시공</a:t>
          </a:r>
        </a:p>
      </xdr:txBody>
    </xdr:sp>
    <xdr:clientData/>
  </xdr:twoCellAnchor>
  <xdr:twoCellAnchor editAs="oneCell">
    <xdr:from>
      <xdr:col>9</xdr:col>
      <xdr:colOff>47625</xdr:colOff>
      <xdr:row>48</xdr:row>
      <xdr:rowOff>119549</xdr:rowOff>
    </xdr:from>
    <xdr:to>
      <xdr:col>15</xdr:col>
      <xdr:colOff>88519</xdr:colOff>
      <xdr:row>58</xdr:row>
      <xdr:rowOff>63668</xdr:rowOff>
    </xdr:to>
    <xdr:pic>
      <xdr:nvPicPr>
        <xdr:cNvPr id="5" name="그림 4" descr="https://t1.daumcdn.net/cafeattach/zTwm/74b786b32a86598b400afd656048cfceb4a9c9ac">
          <a:extLst>
            <a:ext uri="{FF2B5EF4-FFF2-40B4-BE49-F238E27FC236}">
              <a16:creationId xmlns:a16="http://schemas.microsoft.com/office/drawing/2014/main" id="{70BB0BAA-2017-4EEF-B32D-11A957C1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0416074"/>
          <a:ext cx="2800350" cy="21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2</xdr:row>
      <xdr:rowOff>219075</xdr:rowOff>
    </xdr:from>
    <xdr:to>
      <xdr:col>15</xdr:col>
      <xdr:colOff>45957</xdr:colOff>
      <xdr:row>19</xdr:row>
      <xdr:rowOff>69341</xdr:rowOff>
    </xdr:to>
    <xdr:pic>
      <xdr:nvPicPr>
        <xdr:cNvPr id="6" name="그림 5" descr="https://t1.daumcdn.net/cafeattach/zTwm/5a33dca9b8627cc26fc2dbef04efdd11dddec583">
          <a:extLst>
            <a:ext uri="{FF2B5EF4-FFF2-40B4-BE49-F238E27FC236}">
              <a16:creationId xmlns:a16="http://schemas.microsoft.com/office/drawing/2014/main" id="{3DBEBFAF-BD99-4DDE-AE8F-BB64CF94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8175"/>
          <a:ext cx="2691113" cy="354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47625</xdr:rowOff>
    </xdr:from>
    <xdr:to>
      <xdr:col>10</xdr:col>
      <xdr:colOff>626987</xdr:colOff>
      <xdr:row>99</xdr:row>
      <xdr:rowOff>170682</xdr:rowOff>
    </xdr:to>
    <xdr:pic>
      <xdr:nvPicPr>
        <xdr:cNvPr id="7" name="그림 6" descr="https://t1.daumcdn.net/cafeattach/zTwm/7aafd8421eab50bd2d4e9d54baa0caedb16e1032">
          <a:extLst>
            <a:ext uri="{FF2B5EF4-FFF2-40B4-BE49-F238E27FC236}">
              <a16:creationId xmlns:a16="http://schemas.microsoft.com/office/drawing/2014/main" id="{1257717F-0638-4BE7-ADC7-A9E6C638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9564350"/>
          <a:ext cx="3956673" cy="186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76</xdr:row>
      <xdr:rowOff>219074</xdr:rowOff>
    </xdr:from>
    <xdr:to>
      <xdr:col>15</xdr:col>
      <xdr:colOff>140209</xdr:colOff>
      <xdr:row>90</xdr:row>
      <xdr:rowOff>144144</xdr:rowOff>
    </xdr:to>
    <xdr:pic>
      <xdr:nvPicPr>
        <xdr:cNvPr id="8" name="그림 7" descr="https://t1.daumcdn.net/cafeattach/zTwm/a1d20199738c0a533722ea7247f917c4f07ecf35">
          <a:extLst>
            <a:ext uri="{FF2B5EF4-FFF2-40B4-BE49-F238E27FC236}">
              <a16:creationId xmlns:a16="http://schemas.microsoft.com/office/drawing/2014/main" id="{B0A8E28E-EFA3-45E9-8CDB-6CEFD102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1" y="16535399"/>
          <a:ext cx="21717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15</xdr:col>
      <xdr:colOff>199644</xdr:colOff>
      <xdr:row>111</xdr:row>
      <xdr:rowOff>80264</xdr:rowOff>
    </xdr:to>
    <xdr:pic>
      <xdr:nvPicPr>
        <xdr:cNvPr id="9" name="그림 8" descr="https://t1.daumcdn.net/cafeattach/zTwm/354e141305f9c1d2dc4ac9c6a9baeaf11b00c767">
          <a:extLst>
            <a:ext uri="{FF2B5EF4-FFF2-40B4-BE49-F238E27FC236}">
              <a16:creationId xmlns:a16="http://schemas.microsoft.com/office/drawing/2014/main" id="{DC10E01C-8346-4FB1-BC9A-66E80994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1516975"/>
          <a:ext cx="2959100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59</xdr:row>
      <xdr:rowOff>1</xdr:rowOff>
    </xdr:from>
    <xdr:to>
      <xdr:col>15</xdr:col>
      <xdr:colOff>111633</xdr:colOff>
      <xdr:row>75</xdr:row>
      <xdr:rowOff>30450</xdr:rowOff>
    </xdr:to>
    <xdr:pic>
      <xdr:nvPicPr>
        <xdr:cNvPr id="10" name="그림 9" descr="https://t1.daumcdn.net/cafeattach/zTwm/b2897fca025b6dac8d2c00fb484f9c8200d2ccdc">
          <a:extLst>
            <a:ext uri="{FF2B5EF4-FFF2-40B4-BE49-F238E27FC236}">
              <a16:creationId xmlns:a16="http://schemas.microsoft.com/office/drawing/2014/main" id="{0B1654AF-56B7-46F9-9571-2DCABC4CE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4"/>
        <a:stretch/>
      </xdr:blipFill>
      <xdr:spPr bwMode="auto">
        <a:xfrm>
          <a:off x="8077200" y="12715876"/>
          <a:ext cx="2143125" cy="342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114300</xdr:colOff>
      <xdr:row>41</xdr:row>
      <xdr:rowOff>95250</xdr:rowOff>
    </xdr:from>
    <xdr:to>
      <xdr:col>9</xdr:col>
      <xdr:colOff>600075</xdr:colOff>
      <xdr:row>49</xdr:row>
      <xdr:rowOff>133350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9" t="13393" r="13839" b="5357"/>
        <a:stretch/>
      </xdr:blipFill>
      <xdr:spPr>
        <a:xfrm>
          <a:off x="6410325" y="9086850"/>
          <a:ext cx="1543050" cy="1733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6</xdr:col>
      <xdr:colOff>9524</xdr:colOff>
      <xdr:row>5</xdr:row>
      <xdr:rowOff>52300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A0880FE-B26C-44A2-910F-174348FBF11D}"/>
            </a:ext>
          </a:extLst>
        </xdr:cNvPr>
        <xdr:cNvSpPr/>
      </xdr:nvSpPr>
      <xdr:spPr>
        <a:xfrm>
          <a:off x="190499" y="209550"/>
          <a:ext cx="6067425" cy="890500"/>
        </a:xfrm>
        <a:prstGeom prst="rect">
          <a:avLst/>
        </a:prstGeom>
        <a:noFill/>
        <a:ln w="19050">
          <a:solidFill>
            <a:srgbClr val="7030A0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txBody>
        <a:bodyPr wrap="none" lIns="91440" tIns="45720" rIns="91440" bIns="45720">
          <a:noAutofit/>
        </a:bodyPr>
        <a:lstStyle/>
        <a:p>
          <a:pPr algn="l"/>
          <a:r>
            <a:rPr lang="ko-KR" altLang="en-US" sz="3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     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주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신라스틸판넬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.</a:t>
          </a:r>
          <a:r>
            <a:rPr lang="ko-KR" altLang="en-US" sz="3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신라기업사</a:t>
          </a:r>
        </a:p>
      </xdr:txBody>
    </xdr:sp>
    <xdr:clientData/>
  </xdr:twoCellAnchor>
  <xdr:twoCellAnchor>
    <xdr:from>
      <xdr:col>1</xdr:col>
      <xdr:colOff>4030</xdr:colOff>
      <xdr:row>2</xdr:row>
      <xdr:rowOff>38394</xdr:rowOff>
    </xdr:from>
    <xdr:to>
      <xdr:col>1</xdr:col>
      <xdr:colOff>476250</xdr:colOff>
      <xdr:row>4</xdr:row>
      <xdr:rowOff>0</xdr:rowOff>
    </xdr:to>
    <xdr:pic>
      <xdr:nvPicPr>
        <xdr:cNvPr id="3" name="Picture 1" descr="C:\Documents and Settings\lll\바탕 화면\신라-마크.jpg">
          <a:extLst>
            <a:ext uri="{FF2B5EF4-FFF2-40B4-BE49-F238E27FC236}">
              <a16:creationId xmlns:a16="http://schemas.microsoft.com/office/drawing/2014/main" id="{621951C4-BB7C-4CFA-A36B-3B4268F9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30" y="457494"/>
          <a:ext cx="472220" cy="38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1790700</xdr:colOff>
      <xdr:row>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F87D3E-0497-409C-8CC7-91D89B1A5C43}"/>
            </a:ext>
          </a:extLst>
        </xdr:cNvPr>
        <xdr:cNvSpPr txBox="1"/>
      </xdr:nvSpPr>
      <xdr:spPr>
        <a:xfrm>
          <a:off x="342900" y="1362075"/>
          <a:ext cx="1790700" cy="333375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ko-KR" altLang="en-US" sz="1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+mn-lt"/>
              <a:ea typeface="+mn-ea"/>
              <a:cs typeface="+mn-cs"/>
            </a:rPr>
            <a:t>↓↓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+mn-lt"/>
              <a:ea typeface="+mn-ea"/>
              <a:cs typeface="+mn-cs"/>
            </a:rPr>
            <a:t>  제품 소개</a:t>
          </a:r>
          <a:endParaRPr lang="ko-KR" altLang="en-US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twoCellAnchor>
  <xdr:oneCellAnchor>
    <xdr:from>
      <xdr:col>2</xdr:col>
      <xdr:colOff>47625</xdr:colOff>
      <xdr:row>5</xdr:row>
      <xdr:rowOff>257175</xdr:rowOff>
    </xdr:from>
    <xdr:ext cx="3495675" cy="476250"/>
    <xdr:pic>
      <xdr:nvPicPr>
        <xdr:cNvPr id="5" name="그림 4" descr="3056.gif">
          <a:extLst>
            <a:ext uri="{FF2B5EF4-FFF2-40B4-BE49-F238E27FC236}">
              <a16:creationId xmlns:a16="http://schemas.microsoft.com/office/drawing/2014/main" id="{90AC71CA-F8B1-476C-82C3-4BD4695B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0" y="1304925"/>
          <a:ext cx="3495675" cy="4762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8</xdr:row>
      <xdr:rowOff>19050</xdr:rowOff>
    </xdr:from>
    <xdr:to>
      <xdr:col>4</xdr:col>
      <xdr:colOff>276224</xdr:colOff>
      <xdr:row>19</xdr:row>
      <xdr:rowOff>38100</xdr:rowOff>
    </xdr:to>
    <xdr:graphicFrame macro="">
      <xdr:nvGraphicFramePr>
        <xdr:cNvPr id="6" name="다이어그램 5">
          <a:extLst>
            <a:ext uri="{FF2B5EF4-FFF2-40B4-BE49-F238E27FC236}">
              <a16:creationId xmlns:a16="http://schemas.microsoft.com/office/drawing/2014/main" id="{A1183E0B-8017-486C-BFCA-D565CF44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266700</xdr:colOff>
      <xdr:row>23</xdr:row>
      <xdr:rowOff>114299</xdr:rowOff>
    </xdr:to>
    <xdr:grpSp>
      <xdr:nvGrpSpPr>
        <xdr:cNvPr id="7" name="그룹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DE84D7-3836-4A1A-8BC8-0E7BC27BC1EA}"/>
            </a:ext>
          </a:extLst>
        </xdr:cNvPr>
        <xdr:cNvGrpSpPr/>
      </xdr:nvGrpSpPr>
      <xdr:grpSpPr>
        <a:xfrm>
          <a:off x="342900" y="4667250"/>
          <a:ext cx="5667375" cy="857249"/>
          <a:chOff x="342900" y="4667250"/>
          <a:chExt cx="5667375" cy="857249"/>
        </a:xfrm>
      </xdr:grpSpPr>
      <xdr:sp macro="" textlink="">
        <xdr:nvSpPr>
          <xdr:cNvPr id="8" name="자유형: 도형 7">
            <a:extLst>
              <a:ext uri="{FF2B5EF4-FFF2-40B4-BE49-F238E27FC236}">
                <a16:creationId xmlns:a16="http://schemas.microsoft.com/office/drawing/2014/main" id="{A070EC8E-74B9-4191-96CD-DE3393D67DC0}"/>
              </a:ext>
            </a:extLst>
          </xdr:cNvPr>
          <xdr:cNvSpPr/>
        </xdr:nvSpPr>
        <xdr:spPr>
          <a:xfrm>
            <a:off x="342900" y="466725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 baseline="0"/>
              <a:t>알류미늄 스판드럴 </a:t>
            </a:r>
            <a:r>
              <a:rPr lang="en-US" altLang="ko-KR" sz="1100" kern="1200" baseline="0"/>
              <a:t>(</a:t>
            </a:r>
            <a:r>
              <a:rPr lang="en-US" altLang="en-US" sz="1100" kern="1200" baseline="0"/>
              <a:t>A/L SPANDREL)</a:t>
            </a:r>
            <a:endParaRPr lang="ko-KR" altLang="en-US" sz="1100" kern="1200" baseline="0"/>
          </a:p>
          <a:p>
            <a:pPr marL="57150" lvl="1" indent="-57150" algn="l" defTabSz="35560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n-US" altLang="ko-KR" sz="800" kern="1200"/>
              <a:t> </a:t>
            </a:r>
            <a:r>
              <a:rPr lang="en-US" altLang="ko-KR" sz="900" kern="1200"/>
              <a:t>0.5~0.6t </a:t>
            </a:r>
            <a:r>
              <a:rPr lang="ko-KR" altLang="ko-KR" sz="900" kern="1200"/>
              <a:t>두께의 알루미늄 재질을 사용</a:t>
            </a:r>
            <a:endParaRPr lang="ko-KR" altLang="en-US" sz="900" kern="1200"/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폭 </a:t>
            </a:r>
            <a:r>
              <a:rPr lang="en-US" altLang="ko-KR" sz="900" kern="1200"/>
              <a:t>: 100S, 200S  ,  </a:t>
            </a:r>
            <a:r>
              <a:rPr lang="ko-KR" altLang="en-US" sz="900" kern="1200"/>
              <a:t>길이 </a:t>
            </a:r>
            <a:r>
              <a:rPr lang="en-US" altLang="ko-KR" sz="900" kern="1200"/>
              <a:t>: </a:t>
            </a:r>
            <a:r>
              <a:rPr lang="ko-KR" altLang="en-US" sz="900" kern="1200"/>
              <a:t>주문생산 </a:t>
            </a:r>
            <a:r>
              <a:rPr lang="en-US" altLang="ko-KR" sz="900" kern="1200"/>
              <a:t>,   </a:t>
            </a:r>
            <a:r>
              <a:rPr lang="ko-KR" altLang="en-US" sz="900" kern="1200"/>
              <a:t>색상 </a:t>
            </a:r>
            <a:r>
              <a:rPr lang="en-US" altLang="ko-KR" sz="900" kern="1200"/>
              <a:t>: </a:t>
            </a:r>
            <a:r>
              <a:rPr lang="ko-KR" altLang="en-US" sz="900" kern="1200"/>
              <a:t>화이트</a:t>
            </a:r>
            <a:r>
              <a:rPr lang="en-US" altLang="ko-KR" sz="900" kern="1200"/>
              <a:t>, </a:t>
            </a:r>
            <a:r>
              <a:rPr lang="ko-KR" altLang="en-US" sz="900" kern="1200"/>
              <a:t>골드</a:t>
            </a:r>
            <a:r>
              <a:rPr lang="en-US" altLang="ko-KR" sz="900" kern="1200"/>
              <a:t>, </a:t>
            </a:r>
            <a:r>
              <a:rPr lang="ko-KR" altLang="en-US" sz="900" kern="1200"/>
              <a:t>실버</a:t>
            </a:r>
            <a:r>
              <a:rPr lang="en-US" altLang="ko-KR" sz="900" kern="1200"/>
              <a:t>, </a:t>
            </a:r>
            <a:r>
              <a:rPr lang="ko-KR" altLang="en-US" sz="900" kern="1200"/>
              <a:t>스텐</a:t>
            </a:r>
            <a:r>
              <a:rPr lang="en-US" altLang="ko-KR" sz="900" kern="1200"/>
              <a:t>, </a:t>
            </a:r>
            <a:r>
              <a:rPr lang="ko-KR" altLang="en-US" sz="900" kern="1200"/>
              <a:t>아이보리</a:t>
            </a:r>
          </a:p>
        </xdr:txBody>
      </xdr:sp>
      <xdr:sp macro="" textlink="">
        <xdr:nvSpPr>
          <xdr:cNvPr id="9" name="사각형: 둥근 모서리 8">
            <a:extLst>
              <a:ext uri="{FF2B5EF4-FFF2-40B4-BE49-F238E27FC236}">
                <a16:creationId xmlns:a16="http://schemas.microsoft.com/office/drawing/2014/main" id="{94F604DE-7077-4E47-88C2-6BFD4F96A2E2}"/>
              </a:ext>
            </a:extLst>
          </xdr:cNvPr>
          <xdr:cNvSpPr/>
        </xdr:nvSpPr>
        <xdr:spPr>
          <a:xfrm>
            <a:off x="428624" y="475297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9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23</xdr:row>
      <xdr:rowOff>200024</xdr:rowOff>
    </xdr:from>
    <xdr:to>
      <xdr:col>4</xdr:col>
      <xdr:colOff>266700</xdr:colOff>
      <xdr:row>27</xdr:row>
      <xdr:rowOff>66673</xdr:rowOff>
    </xdr:to>
    <xdr:grpSp>
      <xdr:nvGrpSpPr>
        <xdr:cNvPr id="10" name="그룹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4E76BF-9B53-4DC2-8C38-91C416280690}"/>
            </a:ext>
          </a:extLst>
        </xdr:cNvPr>
        <xdr:cNvGrpSpPr/>
      </xdr:nvGrpSpPr>
      <xdr:grpSpPr>
        <a:xfrm>
          <a:off x="342900" y="5610224"/>
          <a:ext cx="5667375" cy="857249"/>
          <a:chOff x="342900" y="5610224"/>
          <a:chExt cx="5667375" cy="857249"/>
        </a:xfrm>
      </xdr:grpSpPr>
      <xdr:sp macro="" textlink="">
        <xdr:nvSpPr>
          <xdr:cNvPr id="11" name="자유형: 도형 10">
            <a:extLst>
              <a:ext uri="{FF2B5EF4-FFF2-40B4-BE49-F238E27FC236}">
                <a16:creationId xmlns:a16="http://schemas.microsoft.com/office/drawing/2014/main" id="{41CBC6D6-C4F0-4D96-95B3-2C0B5B4EE38F}"/>
              </a:ext>
            </a:extLst>
          </xdr:cNvPr>
          <xdr:cNvSpPr/>
        </xdr:nvSpPr>
        <xdr:spPr>
          <a:xfrm>
            <a:off x="342900" y="5610224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석고보드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벽체</a:t>
            </a:r>
            <a:r>
              <a:rPr lang="en-US" altLang="en-US" sz="900" kern="1200"/>
              <a:t>, </a:t>
            </a:r>
            <a:r>
              <a:rPr lang="ko-KR" altLang="en-US" sz="900" kern="1200"/>
              <a:t>천장 및 건식벽체 등 일반적 용도로 가장 널리 사용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일반</a:t>
            </a:r>
            <a:r>
              <a:rPr lang="en-US" altLang="ko-KR" sz="900" kern="1200"/>
              <a:t>, </a:t>
            </a:r>
            <a:r>
              <a:rPr lang="ko-KR" altLang="en-US" sz="900" kern="1200"/>
              <a:t>방화</a:t>
            </a:r>
            <a:r>
              <a:rPr lang="en-US" altLang="ko-KR" sz="900" kern="1200"/>
              <a:t>, </a:t>
            </a:r>
            <a:r>
              <a:rPr lang="ko-KR" altLang="en-US" sz="900" kern="1200"/>
              <a:t>방수  기타</a:t>
            </a:r>
          </a:p>
        </xdr:txBody>
      </xdr:sp>
      <xdr:sp macro="" textlink="">
        <xdr:nvSpPr>
          <xdr:cNvPr id="12" name="사각형: 둥근 모서리 11">
            <a:extLst>
              <a:ext uri="{FF2B5EF4-FFF2-40B4-BE49-F238E27FC236}">
                <a16:creationId xmlns:a16="http://schemas.microsoft.com/office/drawing/2014/main" id="{F1D5D2FB-CCCF-4752-984C-820305BD440E}"/>
              </a:ext>
            </a:extLst>
          </xdr:cNvPr>
          <xdr:cNvSpPr/>
        </xdr:nvSpPr>
        <xdr:spPr>
          <a:xfrm>
            <a:off x="428624" y="5695949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1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27</xdr:row>
      <xdr:rowOff>152400</xdr:rowOff>
    </xdr:from>
    <xdr:to>
      <xdr:col>4</xdr:col>
      <xdr:colOff>266700</xdr:colOff>
      <xdr:row>31</xdr:row>
      <xdr:rowOff>19049</xdr:rowOff>
    </xdr:to>
    <xdr:grpSp>
      <xdr:nvGrpSpPr>
        <xdr:cNvPr id="13" name="그룹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8B1C96-AD8E-4124-82EA-99B763D8CBE8}"/>
            </a:ext>
          </a:extLst>
        </xdr:cNvPr>
        <xdr:cNvGrpSpPr/>
      </xdr:nvGrpSpPr>
      <xdr:grpSpPr>
        <a:xfrm>
          <a:off x="342900" y="6553200"/>
          <a:ext cx="5667375" cy="857249"/>
          <a:chOff x="342900" y="6553200"/>
          <a:chExt cx="5667375" cy="857249"/>
        </a:xfrm>
      </xdr:grpSpPr>
      <xdr:sp macro="" textlink="">
        <xdr:nvSpPr>
          <xdr:cNvPr id="14" name="자유형: 도형 13">
            <a:extLst>
              <a:ext uri="{FF2B5EF4-FFF2-40B4-BE49-F238E27FC236}">
                <a16:creationId xmlns:a16="http://schemas.microsoft.com/office/drawing/2014/main" id="{B8BBFFCE-840F-40AD-B01F-103B5C49B573}"/>
              </a:ext>
            </a:extLst>
          </xdr:cNvPr>
          <xdr:cNvSpPr/>
        </xdr:nvSpPr>
        <xdr:spPr>
          <a:xfrm>
            <a:off x="342900" y="655320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발포 폴리스칠렌을 판상으로 상하에 강판을 접착시킨 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평판</a:t>
            </a:r>
            <a:r>
              <a:rPr lang="en-US" altLang="ko-KR" sz="900" kern="1200"/>
              <a:t>, </a:t>
            </a:r>
            <a:r>
              <a:rPr lang="ko-KR" altLang="en-US" sz="900" kern="1200"/>
              <a:t>골판</a:t>
            </a:r>
            <a:r>
              <a:rPr lang="en-US" altLang="ko-KR" sz="900" kern="1200"/>
              <a:t>, </a:t>
            </a:r>
            <a:r>
              <a:rPr lang="ko-KR" altLang="en-US" sz="900" kern="1200"/>
              <a:t>지붕판</a:t>
            </a:r>
            <a:r>
              <a:rPr lang="en-US" altLang="ko-KR" sz="900" kern="1200"/>
              <a:t>,      </a:t>
            </a:r>
            <a:r>
              <a:rPr lang="ko-KR" altLang="en-US" sz="900" kern="1200"/>
              <a:t>두께 </a:t>
            </a:r>
            <a:r>
              <a:rPr lang="en-US" altLang="ko-KR" sz="900" kern="1200"/>
              <a:t>:  50, 75, 100mm</a:t>
            </a:r>
            <a:endParaRPr lang="ko-KR" altLang="en-US" sz="900" kern="1200"/>
          </a:p>
        </xdr:txBody>
      </xdr:sp>
      <xdr:sp macro="" textlink="">
        <xdr:nvSpPr>
          <xdr:cNvPr id="15" name="사각형: 둥근 모서리 14">
            <a:extLst>
              <a:ext uri="{FF2B5EF4-FFF2-40B4-BE49-F238E27FC236}">
                <a16:creationId xmlns:a16="http://schemas.microsoft.com/office/drawing/2014/main" id="{FFE83213-7AB8-44A1-A9CF-AD308C317CB2}"/>
              </a:ext>
            </a:extLst>
          </xdr:cNvPr>
          <xdr:cNvSpPr/>
        </xdr:nvSpPr>
        <xdr:spPr>
          <a:xfrm>
            <a:off x="428624" y="663892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3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32</xdr:row>
      <xdr:rowOff>1</xdr:rowOff>
    </xdr:from>
    <xdr:to>
      <xdr:col>4</xdr:col>
      <xdr:colOff>266700</xdr:colOff>
      <xdr:row>35</xdr:row>
      <xdr:rowOff>171451</xdr:rowOff>
    </xdr:to>
    <xdr:graphicFrame macro="">
      <xdr:nvGraphicFramePr>
        <xdr:cNvPr id="16" name="다이어그램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70DDCD1-6DDD-4AFD-BED4-5FEA88E7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4</xdr:col>
      <xdr:colOff>19050</xdr:colOff>
      <xdr:row>37</xdr:row>
      <xdr:rowOff>342900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5B483E6-FDB4-4F48-943D-B223909CB00B}"/>
            </a:ext>
          </a:extLst>
        </xdr:cNvPr>
        <xdr:cNvSpPr txBox="1"/>
      </xdr:nvSpPr>
      <xdr:spPr>
        <a:xfrm>
          <a:off x="342900" y="8696325"/>
          <a:ext cx="5419725" cy="3429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</a:t>
          </a:r>
          <a:r>
            <a:rPr lang="en-US" altLang="ko-KR" sz="1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주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)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신라스틸판넬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.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신라기업사   </a:t>
          </a:r>
          <a:r>
            <a:rPr lang="ko-KR" altLang="en-US" sz="1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☏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ko-KR" alt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전 화 </a:t>
          </a:r>
          <a:r>
            <a:rPr 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: 051-501-2642   051-504-4685~7</a:t>
          </a:r>
          <a:endParaRPr lang="ko-KR" altLang="en-US" sz="12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123825</xdr:colOff>
      <xdr:row>37</xdr:row>
      <xdr:rowOff>95250</xdr:rowOff>
    </xdr:from>
    <xdr:to>
      <xdr:col>1</xdr:col>
      <xdr:colOff>401279</xdr:colOff>
      <xdr:row>37</xdr:row>
      <xdr:rowOff>295275</xdr:rowOff>
    </xdr:to>
    <xdr:pic>
      <xdr:nvPicPr>
        <xdr:cNvPr id="18" name="Picture 1" descr="C:\Documents and Settings\lll\바탕 화면\신라-마크.jpg">
          <a:extLst>
            <a:ext uri="{FF2B5EF4-FFF2-40B4-BE49-F238E27FC236}">
              <a16:creationId xmlns:a16="http://schemas.microsoft.com/office/drawing/2014/main" id="{33792463-CA6A-4692-8B41-E1F4F6C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6725" y="8791575"/>
          <a:ext cx="27745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5924550" cy="4514850"/>
    <xdr:pic>
      <xdr:nvPicPr>
        <xdr:cNvPr id="19" name="그림 18" descr="https://t1.daumcdn.net/cafeattach/zTwm/77a16dead98bc91856ee68cdc96ad0ec0eef6387">
          <a:extLst>
            <a:ext uri="{FF2B5EF4-FFF2-40B4-BE49-F238E27FC236}">
              <a16:creationId xmlns:a16="http://schemas.microsoft.com/office/drawing/2014/main" id="{AD0A8550-1072-43D7-8E14-1031993E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09550"/>
          <a:ext cx="592455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21</xdr:row>
      <xdr:rowOff>0</xdr:rowOff>
    </xdr:from>
    <xdr:ext cx="5924550" cy="4217099"/>
    <xdr:pic>
      <xdr:nvPicPr>
        <xdr:cNvPr id="20" name="tx_entry_7690" descr="http://cfile284.uf.daum.net/image/151BAD4B4D3ECCD7237998">
          <a:extLst>
            <a:ext uri="{FF2B5EF4-FFF2-40B4-BE49-F238E27FC236}">
              <a16:creationId xmlns:a16="http://schemas.microsoft.com/office/drawing/2014/main" id="{83D5C6FC-4786-4955-B92D-D66F0FACA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10325" y="4914900"/>
          <a:ext cx="5924550" cy="42170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26</xdr:row>
      <xdr:rowOff>66676</xdr:rowOff>
    </xdr:from>
    <xdr:to>
      <xdr:col>2</xdr:col>
      <xdr:colOff>133603</xdr:colOff>
      <xdr:row>27</xdr:row>
      <xdr:rowOff>152400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657851"/>
          <a:ext cx="400303" cy="304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38100</xdr:rowOff>
    </xdr:from>
    <xdr:to>
      <xdr:col>1</xdr:col>
      <xdr:colOff>457453</xdr:colOff>
      <xdr:row>6</xdr:row>
      <xdr:rowOff>133349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D81DACEC-8B34-4AB0-ACB4-7880F613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00175"/>
          <a:ext cx="400303" cy="304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38100</xdr:rowOff>
    </xdr:from>
    <xdr:to>
      <xdr:col>5</xdr:col>
      <xdr:colOff>457453</xdr:colOff>
      <xdr:row>1</xdr:row>
      <xdr:rowOff>9524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22C1CCC6-315D-40C2-ABB6-FF3EB223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8100"/>
          <a:ext cx="400303" cy="304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33337</xdr:colOff>
      <xdr:row>49</xdr:row>
      <xdr:rowOff>0</xdr:rowOff>
    </xdr:from>
    <xdr:to>
      <xdr:col>48</xdr:col>
      <xdr:colOff>632737</xdr:colOff>
      <xdr:row>64</xdr:row>
      <xdr:rowOff>19050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E7DD5FE-2DBE-4EAA-8ED2-A3AB9F1AEFE0}"/>
            </a:ext>
          </a:extLst>
        </xdr:cNvPr>
        <xdr:cNvGrpSpPr/>
      </xdr:nvGrpSpPr>
      <xdr:grpSpPr>
        <a:xfrm>
          <a:off x="7243762" y="10401300"/>
          <a:ext cx="1285200" cy="3162300"/>
          <a:chOff x="11934825" y="238125"/>
          <a:chExt cx="1285200" cy="3162300"/>
        </a:xfrm>
      </xdr:grpSpPr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00A7B94C-35FC-4FC8-A254-58D7221AED1A}"/>
              </a:ext>
            </a:extLst>
          </xdr:cNvPr>
          <xdr:cNvSpPr/>
        </xdr:nvSpPr>
        <xdr:spPr>
          <a:xfrm>
            <a:off x="119348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6DC9E599-5AAA-4EBC-99CC-8040B8AF8E80}"/>
              </a:ext>
            </a:extLst>
          </xdr:cNvPr>
          <xdr:cNvSpPr/>
        </xdr:nvSpPr>
        <xdr:spPr>
          <a:xfrm>
            <a:off x="119811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2771CAA5-6D53-4063-9DA9-7F0FAF19C2C6}"/>
              </a:ext>
            </a:extLst>
          </xdr:cNvPr>
          <xdr:cNvSpPr/>
        </xdr:nvSpPr>
        <xdr:spPr>
          <a:xfrm>
            <a:off x="119348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7CE17913-34EB-4C55-BC97-5139EE7AA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057361" y="390525"/>
            <a:ext cx="1047750" cy="1762124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26</xdr:row>
      <xdr:rowOff>0</xdr:rowOff>
    </xdr:from>
    <xdr:to>
      <xdr:col>48</xdr:col>
      <xdr:colOff>632737</xdr:colOff>
      <xdr:row>41</xdr:row>
      <xdr:rowOff>19050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id="{C816642D-D57F-4F4E-BA8D-D6CA6B214703}"/>
            </a:ext>
          </a:extLst>
        </xdr:cNvPr>
        <xdr:cNvGrpSpPr/>
      </xdr:nvGrpSpPr>
      <xdr:grpSpPr>
        <a:xfrm>
          <a:off x="7243762" y="5543550"/>
          <a:ext cx="1285200" cy="3162300"/>
          <a:chOff x="9744075" y="238125"/>
          <a:chExt cx="1285200" cy="3162300"/>
        </a:xfrm>
      </xdr:grpSpPr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07D2C967-E3FA-44E8-A650-AC55A0B4CA58}"/>
              </a:ext>
            </a:extLst>
          </xdr:cNvPr>
          <xdr:cNvSpPr/>
        </xdr:nvSpPr>
        <xdr:spPr>
          <a:xfrm>
            <a:off x="97440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654636B-D78A-40AB-AEA6-996B837186F0}"/>
              </a:ext>
            </a:extLst>
          </xdr:cNvPr>
          <xdr:cNvSpPr/>
        </xdr:nvSpPr>
        <xdr:spPr>
          <a:xfrm>
            <a:off x="979041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" name="직사각형 9">
            <a:extLst>
              <a:ext uri="{FF2B5EF4-FFF2-40B4-BE49-F238E27FC236}">
                <a16:creationId xmlns:a16="http://schemas.microsoft.com/office/drawing/2014/main" id="{89799C04-0C9B-4902-A64C-CFA1A112AEC2}"/>
              </a:ext>
            </a:extLst>
          </xdr:cNvPr>
          <xdr:cNvSpPr/>
        </xdr:nvSpPr>
        <xdr:spPr>
          <a:xfrm>
            <a:off x="97440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11" name="그림 10">
            <a:extLst>
              <a:ext uri="{FF2B5EF4-FFF2-40B4-BE49-F238E27FC236}">
                <a16:creationId xmlns:a16="http://schemas.microsoft.com/office/drawing/2014/main" id="{F18BB9A0-9DC7-4D2E-839D-0CD1E6D6BD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66686" y="781050"/>
            <a:ext cx="1047600" cy="1273905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9</xdr:row>
      <xdr:rowOff>9525</xdr:rowOff>
    </xdr:from>
    <xdr:to>
      <xdr:col>48</xdr:col>
      <xdr:colOff>632737</xdr:colOff>
      <xdr:row>21</xdr:row>
      <xdr:rowOff>200025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EF2AA4EA-2B8B-49FA-8441-56834EACF980}"/>
            </a:ext>
          </a:extLst>
        </xdr:cNvPr>
        <xdr:cNvGrpSpPr/>
      </xdr:nvGrpSpPr>
      <xdr:grpSpPr>
        <a:xfrm>
          <a:off x="7243762" y="1924050"/>
          <a:ext cx="1285200" cy="2705100"/>
          <a:chOff x="7553325" y="238125"/>
          <a:chExt cx="1285200" cy="31623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C2E9BFF3-A5C8-418E-BD29-496067138C72}"/>
              </a:ext>
            </a:extLst>
          </xdr:cNvPr>
          <xdr:cNvSpPr/>
        </xdr:nvSpPr>
        <xdr:spPr>
          <a:xfrm>
            <a:off x="75533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EA9488CC-2FF6-4918-B0FE-B830E4405BD2}"/>
              </a:ext>
            </a:extLst>
          </xdr:cNvPr>
          <xdr:cNvSpPr/>
        </xdr:nvSpPr>
        <xdr:spPr>
          <a:xfrm>
            <a:off x="75996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9DD07962-9716-4860-B314-99D6972FDCE6}"/>
              </a:ext>
            </a:extLst>
          </xdr:cNvPr>
          <xdr:cNvSpPr/>
        </xdr:nvSpPr>
        <xdr:spPr>
          <a:xfrm>
            <a:off x="75533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</xdr:grpSp>
    <xdr:clientData/>
  </xdr:twoCellAnchor>
  <xdr:twoCellAnchor>
    <xdr:from>
      <xdr:col>47</xdr:col>
      <xdr:colOff>33337</xdr:colOff>
      <xdr:row>73</xdr:row>
      <xdr:rowOff>0</xdr:rowOff>
    </xdr:from>
    <xdr:to>
      <xdr:col>48</xdr:col>
      <xdr:colOff>632737</xdr:colOff>
      <xdr:row>88</xdr:row>
      <xdr:rowOff>19050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56432C9F-D409-45A5-A083-7EAA39125294}"/>
            </a:ext>
          </a:extLst>
        </xdr:cNvPr>
        <xdr:cNvGrpSpPr/>
      </xdr:nvGrpSpPr>
      <xdr:grpSpPr>
        <a:xfrm>
          <a:off x="7243762" y="15468600"/>
          <a:ext cx="1285200" cy="3162300"/>
          <a:chOff x="14125575" y="238125"/>
          <a:chExt cx="1285200" cy="3162300"/>
        </a:xfrm>
      </xdr:grpSpPr>
      <xdr:sp macro="" textlink="">
        <xdr:nvSpPr>
          <xdr:cNvPr id="17" name="직사각형 16">
            <a:extLst>
              <a:ext uri="{FF2B5EF4-FFF2-40B4-BE49-F238E27FC236}">
                <a16:creationId xmlns:a16="http://schemas.microsoft.com/office/drawing/2014/main" id="{3C4FEBE6-7190-4198-9A2B-51A2CFBC9C77}"/>
              </a:ext>
            </a:extLst>
          </xdr:cNvPr>
          <xdr:cNvSpPr/>
        </xdr:nvSpPr>
        <xdr:spPr>
          <a:xfrm>
            <a:off x="141255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8" name="직사각형 17">
            <a:extLst>
              <a:ext uri="{FF2B5EF4-FFF2-40B4-BE49-F238E27FC236}">
                <a16:creationId xmlns:a16="http://schemas.microsoft.com/office/drawing/2014/main" id="{F8BCB57A-545C-4F30-83E5-9AB5BB966900}"/>
              </a:ext>
            </a:extLst>
          </xdr:cNvPr>
          <xdr:cNvSpPr/>
        </xdr:nvSpPr>
        <xdr:spPr>
          <a:xfrm>
            <a:off x="141255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grpSp>
        <xdr:nvGrpSpPr>
          <xdr:cNvPr id="19" name="그룹 18">
            <a:extLst>
              <a:ext uri="{FF2B5EF4-FFF2-40B4-BE49-F238E27FC236}">
                <a16:creationId xmlns:a16="http://schemas.microsoft.com/office/drawing/2014/main" id="{1D3CC677-D359-4996-AC7C-7164401A3702}"/>
              </a:ext>
            </a:extLst>
          </xdr:cNvPr>
          <xdr:cNvGrpSpPr/>
        </xdr:nvGrpSpPr>
        <xdr:grpSpPr>
          <a:xfrm>
            <a:off x="14168100" y="323850"/>
            <a:ext cx="1200150" cy="2971800"/>
            <a:chOff x="7313911" y="56378475"/>
            <a:chExt cx="1200150" cy="2971800"/>
          </a:xfrm>
        </xdr:grpSpPr>
        <xdr:sp macro="" textlink="">
          <xdr:nvSpPr>
            <xdr:cNvPr id="20" name="직사각형 19">
              <a:extLst>
                <a:ext uri="{FF2B5EF4-FFF2-40B4-BE49-F238E27FC236}">
                  <a16:creationId xmlns:a16="http://schemas.microsoft.com/office/drawing/2014/main" id="{1506E1DE-B781-4D75-8719-8173638A4868}"/>
                </a:ext>
              </a:extLst>
            </xdr:cNvPr>
            <xdr:cNvSpPr/>
          </xdr:nvSpPr>
          <xdr:spPr>
            <a:xfrm>
              <a:off x="7313911" y="56378475"/>
              <a:ext cx="1200150" cy="297180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pic>
          <xdr:nvPicPr>
            <xdr:cNvPr id="21" name="그림 20">
              <a:extLst>
                <a:ext uri="{FF2B5EF4-FFF2-40B4-BE49-F238E27FC236}">
                  <a16:creationId xmlns:a16="http://schemas.microsoft.com/office/drawing/2014/main" id="{EA524083-20E1-4132-8BBC-091101544C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385349" y="56435624"/>
              <a:ext cx="1057275" cy="2857503"/>
            </a:xfrm>
            <a:prstGeom prst="rect">
              <a:avLst/>
            </a:prstGeom>
            <a:ln w="3175">
              <a:solidFill>
                <a:sysClr val="windowText" lastClr="000000"/>
              </a:solidFill>
            </a:ln>
          </xdr:spPr>
        </xdr:pic>
      </xdr:grpSp>
    </xdr:grpSp>
    <xdr:clientData/>
  </xdr:twoCellAnchor>
  <xdr:twoCellAnchor>
    <xdr:from>
      <xdr:col>49</xdr:col>
      <xdr:colOff>0</xdr:colOff>
      <xdr:row>63</xdr:row>
      <xdr:rowOff>114300</xdr:rowOff>
    </xdr:from>
    <xdr:to>
      <xdr:col>50</xdr:col>
      <xdr:colOff>599400</xdr:colOff>
      <xdr:row>64</xdr:row>
      <xdr:rowOff>19050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8558A712-4DE8-4ACB-930A-5B045AC8DEC3}"/>
            </a:ext>
          </a:extLst>
        </xdr:cNvPr>
        <xdr:cNvSpPr/>
      </xdr:nvSpPr>
      <xdr:spPr>
        <a:xfrm>
          <a:off x="8582025" y="13449300"/>
          <a:ext cx="1285200" cy="11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46336</xdr:colOff>
      <xdr:row>49</xdr:row>
      <xdr:rowOff>85725</xdr:rowOff>
    </xdr:from>
    <xdr:to>
      <xdr:col>50</xdr:col>
      <xdr:colOff>560686</xdr:colOff>
      <xdr:row>63</xdr:row>
      <xdr:rowOff>123825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184348BA-35DD-4CF1-974B-A26E3096C0B6}"/>
            </a:ext>
          </a:extLst>
        </xdr:cNvPr>
        <xdr:cNvSpPr/>
      </xdr:nvSpPr>
      <xdr:spPr>
        <a:xfrm>
          <a:off x="8628361" y="10487025"/>
          <a:ext cx="1200150" cy="297180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599400</xdr:colOff>
      <xdr:row>49</xdr:row>
      <xdr:rowOff>85725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BEBE4CC4-0CBB-4A83-A5D0-BD9D0D5253C4}"/>
            </a:ext>
          </a:extLst>
        </xdr:cNvPr>
        <xdr:cNvSpPr/>
      </xdr:nvSpPr>
      <xdr:spPr>
        <a:xfrm>
          <a:off x="8582025" y="10401300"/>
          <a:ext cx="1285200" cy="85725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122536</xdr:colOff>
      <xdr:row>49</xdr:row>
      <xdr:rowOff>152400</xdr:rowOff>
    </xdr:from>
    <xdr:to>
      <xdr:col>50</xdr:col>
      <xdr:colOff>484486</xdr:colOff>
      <xdr:row>52</xdr:row>
      <xdr:rowOff>57150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DF98E3B0-08B7-4657-A25A-13BBEA23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4561" y="10553700"/>
          <a:ext cx="1047750" cy="5334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50</xdr:col>
      <xdr:colOff>0</xdr:colOff>
      <xdr:row>72</xdr:row>
      <xdr:rowOff>1</xdr:rowOff>
    </xdr:from>
    <xdr:to>
      <xdr:col>54</xdr:col>
      <xdr:colOff>335567</xdr:colOff>
      <xdr:row>91</xdr:row>
      <xdr:rowOff>152401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674BA48-A96E-4DB3-A692-F8454C84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15259051"/>
          <a:ext cx="3078767" cy="4133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51</xdr:col>
      <xdr:colOff>0</xdr:colOff>
      <xdr:row>49</xdr:row>
      <xdr:rowOff>0</xdr:rowOff>
    </xdr:from>
    <xdr:to>
      <xdr:col>55</xdr:col>
      <xdr:colOff>592883</xdr:colOff>
      <xdr:row>67</xdr:row>
      <xdr:rowOff>38100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5EDA5C62-4A2B-4C53-82C8-6A1F2B8A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10401300"/>
          <a:ext cx="3336083" cy="381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812516</xdr:colOff>
      <xdr:row>25</xdr:row>
      <xdr:rowOff>10800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7B5CA27-47CB-489A-811B-2EC66D541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08"/>
        <a:stretch/>
      </xdr:blipFill>
      <xdr:spPr>
        <a:xfrm>
          <a:off x="0" y="209550"/>
          <a:ext cx="4603466" cy="50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340466</xdr:colOff>
      <xdr:row>25</xdr:row>
      <xdr:rowOff>10800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A7AA8E4-42FC-423D-8D13-758B86C5D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76"/>
        <a:stretch/>
      </xdr:blipFill>
      <xdr:spPr>
        <a:xfrm>
          <a:off x="9429750" y="209550"/>
          <a:ext cx="4455266" cy="50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784257</xdr:colOff>
      <xdr:row>25</xdr:row>
      <xdr:rowOff>10800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D667F83-1D84-44F5-B4A8-8E5D83238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19"/>
        <a:stretch/>
      </xdr:blipFill>
      <xdr:spPr>
        <a:xfrm>
          <a:off x="4724400" y="209550"/>
          <a:ext cx="4632357" cy="50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57150</xdr:rowOff>
    </xdr:from>
    <xdr:to>
      <xdr:col>20</xdr:col>
      <xdr:colOff>180975</xdr:colOff>
      <xdr:row>138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97287C7-2DED-4760-B9E1-8F69744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7705725"/>
          <a:ext cx="7553325" cy="21593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57150</xdr:rowOff>
    </xdr:from>
    <xdr:to>
      <xdr:col>9</xdr:col>
      <xdr:colOff>390525</xdr:colOff>
      <xdr:row>138</xdr:row>
      <xdr:rowOff>85725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F07D9D-EF94-4ED8-9B01-FB5BED65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7705725"/>
          <a:ext cx="7562850" cy="21612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57151</xdr:colOff>
      <xdr:row>1</xdr:row>
      <xdr:rowOff>66675</xdr:rowOff>
    </xdr:from>
    <xdr:to>
      <xdr:col>16</xdr:col>
      <xdr:colOff>123826</xdr:colOff>
      <xdr:row>5</xdr:row>
      <xdr:rowOff>169912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B7DE30B-2260-48CD-8646-2D1AC845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8625"/>
          <a:ext cx="1390650" cy="101763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200025</xdr:rowOff>
    </xdr:from>
    <xdr:to>
      <xdr:col>19</xdr:col>
      <xdr:colOff>9833</xdr:colOff>
      <xdr:row>15</xdr:row>
      <xdr:rowOff>9762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7A07DC5-FE49-43B8-BD14-A05CD467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2825" y="1743075"/>
          <a:ext cx="2210108" cy="1695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333376</xdr:rowOff>
    </xdr:from>
    <xdr:to>
      <xdr:col>2</xdr:col>
      <xdr:colOff>581025</xdr:colOff>
      <xdr:row>4</xdr:row>
      <xdr:rowOff>192684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DD0592-E5A2-45BB-AB5B-DCD8EE85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33376"/>
          <a:ext cx="1447800" cy="1059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38100</xdr:rowOff>
    </xdr:from>
    <xdr:to>
      <xdr:col>10</xdr:col>
      <xdr:colOff>1658182</xdr:colOff>
      <xdr:row>2</xdr:row>
      <xdr:rowOff>219175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"/>
          <a:ext cx="5963482" cy="71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22</xdr:col>
      <xdr:colOff>105773</xdr:colOff>
      <xdr:row>41</xdr:row>
      <xdr:rowOff>200756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4286250"/>
          <a:ext cx="7154273" cy="5239481"/>
        </a:xfrm>
        <a:prstGeom prst="rect">
          <a:avLst/>
        </a:prstGeom>
      </xdr:spPr>
    </xdr:pic>
    <xdr:clientData/>
  </xdr:twoCellAnchor>
  <xdr:twoCellAnchor editAs="oneCell">
    <xdr:from>
      <xdr:col>16</xdr:col>
      <xdr:colOff>771526</xdr:colOff>
      <xdr:row>16</xdr:row>
      <xdr:rowOff>190501</xdr:rowOff>
    </xdr:from>
    <xdr:to>
      <xdr:col>18</xdr:col>
      <xdr:colOff>142876</xdr:colOff>
      <xdr:row>20</xdr:row>
      <xdr:rowOff>39093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2776" y="4038601"/>
          <a:ext cx="990600" cy="724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47928;&#49436;/&#51116;&#44256;&#54788;&#54889;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50024;&#45768;&#47928;&#49436;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OneDrive/&#47928;&#49436;/&#51116;&#44256;&#54788;&#54889;v1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Documents/&#50024;&#45768;&#47928;&#49436;V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47928;&#49436;/&#44221;&#47049;&#52384;&#44264;&#51088;&#51116;%20&#47932;&#47049;&#49328;&#52636;%20V%202603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9733;&#9733;&#50024;&#45768;/01&#51116;&#44256;&#54788;&#54889;v1.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P%20&#47932;&#47049;&#49328;&#5263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50689;&#51652;&#45815;&#52980;/100&#44032;&#51648;&#49892;&#47924;&#47928;&#49436;/&#47564;&#45380;&#45804;&#471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물량산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 큐비클 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"/>
      <sheetName val="스터드 물량 (2)"/>
      <sheetName val="모눈종이"/>
      <sheetName val="직원명단"/>
      <sheetName val="창고+사무실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써니문서V01"/>
      <sheetName val="경량물량산출"/>
      <sheetName val=" 큐비클 물량V0.1"/>
      <sheetName val=" 큐비클 물량"/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창고+사무실 (2)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002"/>
      <sheetName val="스터드 물량 (2)"/>
      <sheetName val="모눈종이"/>
      <sheetName val="직원명단"/>
      <sheetName val="함수"/>
    </sheetNames>
    <sheetDataSet>
      <sheetData sheetId="0" refreshError="1"/>
      <sheetData sheetId="1" refreshError="1">
        <row r="5">
          <cell r="C5">
            <v>0.05</v>
          </cell>
        </row>
        <row r="7">
          <cell r="D7" t="str">
            <v/>
          </cell>
          <cell r="E7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용 설명서"/>
      <sheetName val="물량산출"/>
      <sheetName val="크립바"/>
      <sheetName val="엠바"/>
      <sheetName val="티바"/>
      <sheetName val="스판드럴"/>
      <sheetName val="천정석고"/>
      <sheetName val=" 큐비클"/>
      <sheetName val="행거도어"/>
      <sheetName val="스터드"/>
      <sheetName val="SGP V1.0"/>
      <sheetName val="내진 시스템"/>
      <sheetName val="예금 계산기"/>
      <sheetName val="대출 계산기"/>
      <sheetName val="참고"/>
    </sheetNames>
    <sheetDataSet>
      <sheetData sheetId="0" refreshError="1"/>
      <sheetData sheetId="1">
        <row r="6">
          <cell r="C6">
            <v>0.05</v>
          </cell>
        </row>
        <row r="9">
          <cell r="C9" t="str">
            <v/>
          </cell>
          <cell r="E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예금 계산기 (3)"/>
      <sheetName val="sgp 판넬 "/>
      <sheetName val="◈홈◈"/>
      <sheetName val="정기 적금 복리"/>
      <sheetName val="예금 적금 이자"/>
      <sheetName val="대출 계산기"/>
      <sheetName val="경조사"/>
      <sheetName val="정관직원 명단"/>
      <sheetName val="정관상차"/>
      <sheetName val="시공팀"/>
      <sheetName val="화물"/>
      <sheetName val="링크 공유"/>
      <sheetName val="전화번호"/>
      <sheetName val="sgp시방서"/>
      <sheetName val="재고 현황"/>
      <sheetName val="자재단가표"/>
      <sheetName val="재고 발주서"/>
      <sheetName val="견적단가표"/>
      <sheetName val="♣HOME"/>
      <sheetName val="Sheet1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SGP V1.0"/>
      <sheetName val=" 큐비클 물량V0.1"/>
      <sheetName val="큐비클V0.1"/>
      <sheetName val="큐비클 부자재"/>
      <sheetName val="부자재 종합"/>
      <sheetName val="내진 시스템"/>
      <sheetName val="모눈종이 (2)"/>
      <sheetName val="모눈종이"/>
      <sheetName val="암랙 만들기"/>
      <sheetName val="암랙 만들기 (2)"/>
      <sheetName val="함수"/>
      <sheetName val="창고배치도"/>
      <sheetName val="함수002"/>
      <sheetName val="참고 노트"/>
      <sheetName val="a3명세표"/>
      <sheetName val="지역 순위"/>
      <sheetName val="전국건설사순위"/>
      <sheetName val="재고파악"/>
      <sheetName val="코일폭"/>
      <sheetName val="코일 폭"/>
      <sheetName val="셀 넓이"/>
      <sheetName val="철물자재 배치"/>
      <sheetName val="참고자료"/>
      <sheetName val="안전교육 양식 2"/>
      <sheetName val="연락처02"/>
      <sheetName val="큐비클자재 세금 계산서"/>
      <sheetName val="출고지시서"/>
      <sheetName val="거래명세표영수"/>
      <sheetName val="안전교육 양식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C5">
            <v>0.05</v>
          </cell>
        </row>
        <row r="8">
          <cell r="C8" t="str">
            <v/>
          </cell>
          <cell r="E8" t="str">
            <v/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물량 (2)"/>
      <sheetName val="Sheet1"/>
    </sheetNames>
    <sheetDataSet>
      <sheetData sheetId="0">
        <row r="20">
          <cell r="C20">
            <v>886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년달력"/>
      <sheetName val="사용방법"/>
    </sheetNames>
    <sheetDataSet>
      <sheetData sheetId="0">
        <row r="4">
          <cell r="B4">
            <v>38777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표1" displayName="표1" ref="B4:K225" totalsRowCount="1" headerRowDxfId="39" dataDxfId="37" totalsRowDxfId="36" headerRowBorderDxfId="38" totalsRowBorderDxfId="35">
  <autoFilter ref="B4:K224"/>
  <tableColumns count="10">
    <tableColumn id="1" name="날 짜" dataDxfId="34" totalsRowDxfId="33"/>
    <tableColumn id="2" name="구 분" dataDxfId="32" totalsRowDxfId="31"/>
    <tableColumn id="3" name="이 름" dataDxfId="30" totalsRowDxfId="29"/>
    <tableColumn id="4" name="관 계" dataDxfId="28" totalsRowDxfId="27"/>
    <tableColumn id="5" name="경조사 내용" totalsRowLabel="합  계" dataDxfId="26" totalsRowDxfId="25"/>
    <tableColumn id="6" name="금 액" totalsRowFunction="sum" dataDxfId="24" totalsRowDxfId="23"/>
    <tableColumn id="7" name="장소/소속" dataDxfId="22" totalsRowDxfId="21"/>
    <tableColumn id="9" name="금반지" totalsRowFunction="count" dataDxfId="20" totalsRowDxfId="19"/>
    <tableColumn id="10" name="금k/돈3.75g" totalsRowFunction="count" dataDxfId="18" totalsRowDxfId="17"/>
    <tableColumn id="8" name="비 고" dataDxfId="16" totalsRow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B2:K100" totalsRowShown="0" headerRowDxfId="14" dataDxfId="12" headerRowBorderDxfId="13" tableBorderDxfId="11" totalsRowBorderDxfId="10">
  <autoFilter ref="B2:K100"/>
  <tableColumns count="10">
    <tableColumn id="1" name="분류" dataDxfId="9"/>
    <tableColumn id="2" name="거래처명 " dataDxfId="8"/>
    <tableColumn id="3" name="성명" dataDxfId="7"/>
    <tableColumn id="4" name="휴대폰 번호" dataDxfId="6"/>
    <tableColumn id="5" name="전화 번호" dataDxfId="5"/>
    <tableColumn id="6" name="E-mail" dataDxfId="4"/>
    <tableColumn id="8" name="직함/관계" dataDxfId="3"/>
    <tableColumn id="9" name="주 소" dataDxfId="2"/>
    <tableColumn id="10" name="비 고-웹사이트/SNS" dataDxfId="1"/>
    <tableColumn id="11" name="주요 취급 품목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fe.daum.net/webluesky/SgNG/1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F5/7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shillasteel.kr/content/company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cafe.daum.net/webluesky/SgNG/12" TargetMode="External"/><Relationship Id="rId1" Type="http://schemas.openxmlformats.org/officeDocument/2006/relationships/hyperlink" Target="https://cafe.daum.net/webluesky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map.naver.com/p/entry/place/1263982826?c=16.61,0,0,2,dh&amp;placePath=/home?from=map&amp;from=map&amp;fromPanelNum=1&amp;additionalHeight=76%C3%97tamp=202602192136&amp;timestamp=202603151110&amp;locale=ko&amp;svcName=map_pcv5" TargetMode="External"/><Relationship Id="rId4" Type="http://schemas.openxmlformats.org/officeDocument/2006/relationships/hyperlink" Target="https://cafe.daum.net/webluesky/L2F2/4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shillasteel.kr/index.php" TargetMode="External"/><Relationship Id="rId1" Type="http://schemas.openxmlformats.org/officeDocument/2006/relationships/hyperlink" Target="https://cafe.daum.net/webluesky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hillasteel.kr/content/company" TargetMode="External"/><Relationship Id="rId13" Type="http://schemas.openxmlformats.org/officeDocument/2006/relationships/hyperlink" Target="https://cafe.daum.net/webluesky/SgNG/12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cafe.daum.net/webluesky" TargetMode="External"/><Relationship Id="rId7" Type="http://schemas.openxmlformats.org/officeDocument/2006/relationships/hyperlink" Target="https://cafe.daum.net/webluesky" TargetMode="External"/><Relationship Id="rId12" Type="http://schemas.openxmlformats.org/officeDocument/2006/relationships/hyperlink" Target="http://shillasteel.kr/content/company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shillasteel.kr/index.php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fe.daum.net/webluesky" TargetMode="External"/><Relationship Id="rId6" Type="http://schemas.openxmlformats.org/officeDocument/2006/relationships/hyperlink" Target="http://shillasteel.kr/content/company" TargetMode="External"/><Relationship Id="rId11" Type="http://schemas.openxmlformats.org/officeDocument/2006/relationships/hyperlink" Target="https://cafe.daum.net/webluesky" TargetMode="External"/><Relationship Id="rId5" Type="http://schemas.openxmlformats.org/officeDocument/2006/relationships/hyperlink" Target="https://cafe.daum.net/webluesky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shillasteel.kr/content/company" TargetMode="External"/><Relationship Id="rId4" Type="http://schemas.openxmlformats.org/officeDocument/2006/relationships/hyperlink" Target="http://shillasteel.kr/content/company" TargetMode="External"/><Relationship Id="rId9" Type="http://schemas.openxmlformats.org/officeDocument/2006/relationships/hyperlink" Target="https://cafe.daum.net/webluesky" TargetMode="External"/><Relationship Id="rId14" Type="http://schemas.openxmlformats.org/officeDocument/2006/relationships/hyperlink" Target="https://cafe.daum.net/webluesky/SgNG/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ap.naver.com/p/entry/place/1263982826?c=16.61,0,0,2,dh&amp;placePath=/home?from=map&amp;fromPanelNum=1&amp;additionalHeight=76%C3%97tamp=202602192136&amp;locale=ko&amp;svcName=map_pcv5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workbookViewId="0">
      <selection activeCell="E7" sqref="E7:J7"/>
    </sheetView>
  </sheetViews>
  <sheetFormatPr defaultRowHeight="16.5"/>
  <cols>
    <col min="1" max="1" width="3" customWidth="1"/>
    <col min="2" max="2" width="123.125" style="394" customWidth="1"/>
    <col min="4" max="4" width="9.875" bestFit="1" customWidth="1"/>
  </cols>
  <sheetData>
    <row r="1" spans="2:10">
      <c r="B1" s="728"/>
      <c r="D1" s="874" t="s">
        <v>0</v>
      </c>
      <c r="E1" s="1262" t="s">
        <v>1</v>
      </c>
      <c r="F1" s="1262"/>
      <c r="G1" s="1262"/>
      <c r="H1" s="1262"/>
      <c r="I1" s="1262"/>
      <c r="J1" s="1262"/>
    </row>
    <row r="2" spans="2:10">
      <c r="B2" s="729" t="s">
        <v>2</v>
      </c>
      <c r="D2" s="858">
        <v>46106</v>
      </c>
      <c r="E2" s="1261" t="s">
        <v>3</v>
      </c>
      <c r="F2" s="1261"/>
      <c r="G2" s="1261"/>
      <c r="H2" s="1261"/>
      <c r="I2" s="1261"/>
      <c r="J2" s="1261"/>
    </row>
    <row r="3" spans="2:10">
      <c r="B3" s="730" t="s">
        <v>4</v>
      </c>
      <c r="D3" s="858">
        <v>46106</v>
      </c>
      <c r="E3" s="1261" t="s">
        <v>5</v>
      </c>
      <c r="F3" s="1261"/>
      <c r="G3" s="1261"/>
      <c r="H3" s="1261"/>
      <c r="I3" s="1261"/>
      <c r="J3" s="1261"/>
    </row>
    <row r="4" spans="2:10">
      <c r="B4" s="729" t="s">
        <v>6</v>
      </c>
      <c r="D4" s="858">
        <v>46126</v>
      </c>
      <c r="E4" s="1261" t="s">
        <v>597</v>
      </c>
      <c r="F4" s="1261"/>
      <c r="G4" s="1261"/>
      <c r="H4" s="1261"/>
      <c r="I4" s="1261"/>
      <c r="J4" s="1261"/>
    </row>
    <row r="5" spans="2:10">
      <c r="B5" s="729" t="s">
        <v>7</v>
      </c>
      <c r="D5" s="858">
        <v>46127</v>
      </c>
      <c r="E5" s="1261" t="s">
        <v>659</v>
      </c>
      <c r="F5" s="1261"/>
      <c r="G5" s="1261"/>
      <c r="H5" s="1261"/>
      <c r="I5" s="1261"/>
      <c r="J5" s="1261"/>
    </row>
    <row r="6" spans="2:10">
      <c r="B6" s="729" t="s">
        <v>8</v>
      </c>
      <c r="D6" s="858">
        <v>46128</v>
      </c>
      <c r="E6" s="1261" t="s">
        <v>676</v>
      </c>
      <c r="F6" s="1261"/>
      <c r="G6" s="1261"/>
      <c r="H6" s="1261"/>
      <c r="I6" s="1261"/>
      <c r="J6" s="1261"/>
    </row>
    <row r="7" spans="2:10">
      <c r="B7" s="729" t="s">
        <v>9</v>
      </c>
      <c r="E7" s="1261"/>
      <c r="F7" s="1261"/>
      <c r="G7" s="1261"/>
      <c r="H7" s="1261"/>
      <c r="I7" s="1261"/>
      <c r="J7" s="1261"/>
    </row>
    <row r="8" spans="2:10">
      <c r="B8" s="729" t="s">
        <v>10</v>
      </c>
      <c r="E8" s="1261"/>
      <c r="F8" s="1261"/>
      <c r="G8" s="1261"/>
      <c r="H8" s="1261"/>
      <c r="I8" s="1261"/>
      <c r="J8" s="1261"/>
    </row>
    <row r="9" spans="2:10" ht="33">
      <c r="B9" s="729" t="s">
        <v>11</v>
      </c>
      <c r="E9" s="1261"/>
      <c r="F9" s="1261"/>
      <c r="G9" s="1261"/>
      <c r="H9" s="1261"/>
      <c r="I9" s="1261"/>
      <c r="J9" s="1261"/>
    </row>
    <row r="10" spans="2:10">
      <c r="B10" s="729" t="s">
        <v>12</v>
      </c>
      <c r="E10" s="1261"/>
      <c r="F10" s="1261"/>
      <c r="G10" s="1261"/>
      <c r="H10" s="1261"/>
      <c r="I10" s="1261"/>
      <c r="J10" s="1261"/>
    </row>
    <row r="11" spans="2:10">
      <c r="B11" s="729" t="s">
        <v>13</v>
      </c>
      <c r="E11" s="1261"/>
      <c r="F11" s="1261"/>
      <c r="G11" s="1261"/>
      <c r="H11" s="1261"/>
      <c r="I11" s="1261"/>
      <c r="J11" s="1261"/>
    </row>
    <row r="12" spans="2:10">
      <c r="B12" s="729" t="s">
        <v>14</v>
      </c>
      <c r="E12" s="1261"/>
      <c r="F12" s="1261"/>
      <c r="G12" s="1261"/>
      <c r="H12" s="1261"/>
      <c r="I12" s="1261"/>
      <c r="J12" s="1261"/>
    </row>
    <row r="13" spans="2:10">
      <c r="B13" s="729" t="s">
        <v>15</v>
      </c>
      <c r="E13" s="1261"/>
      <c r="F13" s="1261"/>
      <c r="G13" s="1261"/>
      <c r="H13" s="1261"/>
      <c r="I13" s="1261"/>
      <c r="J13" s="1261"/>
    </row>
    <row r="14" spans="2:10">
      <c r="B14" s="729" t="s">
        <v>16</v>
      </c>
      <c r="E14" s="1261"/>
      <c r="F14" s="1261"/>
      <c r="G14" s="1261"/>
      <c r="H14" s="1261"/>
      <c r="I14" s="1261"/>
      <c r="J14" s="1261"/>
    </row>
    <row r="15" spans="2:10" ht="33">
      <c r="B15" s="729" t="s">
        <v>17</v>
      </c>
      <c r="E15" s="1261"/>
      <c r="F15" s="1261"/>
      <c r="G15" s="1261"/>
      <c r="H15" s="1261"/>
      <c r="I15" s="1261"/>
      <c r="J15" s="1261"/>
    </row>
    <row r="16" spans="2:10">
      <c r="B16" s="729" t="s">
        <v>18</v>
      </c>
      <c r="E16" s="1261"/>
      <c r="F16" s="1261"/>
      <c r="G16" s="1261"/>
      <c r="H16" s="1261"/>
      <c r="I16" s="1261"/>
      <c r="J16" s="1261"/>
    </row>
    <row r="17" spans="2:10" ht="33">
      <c r="B17" s="729" t="s">
        <v>19</v>
      </c>
      <c r="E17" s="1261"/>
      <c r="F17" s="1261"/>
      <c r="G17" s="1261"/>
      <c r="H17" s="1261"/>
      <c r="I17" s="1261"/>
      <c r="J17" s="1261"/>
    </row>
    <row r="18" spans="2:10">
      <c r="B18" s="729" t="s">
        <v>20</v>
      </c>
      <c r="E18" s="1261"/>
      <c r="F18" s="1261"/>
      <c r="G18" s="1261"/>
      <c r="H18" s="1261"/>
      <c r="I18" s="1261"/>
      <c r="J18" s="1261"/>
    </row>
    <row r="19" spans="2:10">
      <c r="B19" s="729"/>
      <c r="E19" s="1261"/>
      <c r="F19" s="1261"/>
      <c r="G19" s="1261"/>
      <c r="H19" s="1261"/>
      <c r="I19" s="1261"/>
      <c r="J19" s="1261"/>
    </row>
    <row r="20" spans="2:10">
      <c r="B20" s="729" t="s">
        <v>21</v>
      </c>
      <c r="E20" s="1261"/>
      <c r="F20" s="1261"/>
      <c r="G20" s="1261"/>
      <c r="H20" s="1261"/>
      <c r="I20" s="1261"/>
      <c r="J20" s="1261"/>
    </row>
    <row r="21" spans="2:10">
      <c r="B21" s="729" t="s">
        <v>22</v>
      </c>
      <c r="E21" s="1261"/>
      <c r="F21" s="1261"/>
      <c r="G21" s="1261"/>
      <c r="H21" s="1261"/>
      <c r="I21" s="1261"/>
      <c r="J21" s="1261"/>
    </row>
    <row r="22" spans="2:10">
      <c r="B22" s="731" t="s">
        <v>23</v>
      </c>
      <c r="E22" s="1261"/>
      <c r="F22" s="1261"/>
      <c r="G22" s="1261"/>
      <c r="H22" s="1261"/>
      <c r="I22" s="1261"/>
      <c r="J22" s="1261"/>
    </row>
    <row r="23" spans="2:10">
      <c r="B23" s="731"/>
      <c r="E23" s="1261"/>
      <c r="F23" s="1261"/>
      <c r="G23" s="1261"/>
      <c r="H23" s="1261"/>
      <c r="I23" s="1261"/>
      <c r="J23" s="1261"/>
    </row>
    <row r="24" spans="2:10">
      <c r="B24" s="729" t="s">
        <v>24</v>
      </c>
      <c r="E24" s="1261"/>
      <c r="F24" s="1261"/>
      <c r="G24" s="1261"/>
      <c r="H24" s="1261"/>
      <c r="I24" s="1261"/>
      <c r="J24" s="1261"/>
    </row>
    <row r="25" spans="2:10">
      <c r="B25" s="729" t="s">
        <v>25</v>
      </c>
      <c r="E25" s="1261"/>
      <c r="F25" s="1261"/>
      <c r="G25" s="1261"/>
      <c r="H25" s="1261"/>
      <c r="I25" s="1261"/>
      <c r="J25" s="1261"/>
    </row>
    <row r="26" spans="2:10">
      <c r="B26" s="732"/>
      <c r="E26" s="1261"/>
      <c r="F26" s="1261"/>
      <c r="G26" s="1261"/>
      <c r="H26" s="1261"/>
      <c r="I26" s="1261"/>
      <c r="J26" s="1261"/>
    </row>
    <row r="27" spans="2:10">
      <c r="B27" s="733" t="s">
        <v>26</v>
      </c>
      <c r="E27" s="1261"/>
      <c r="F27" s="1261"/>
      <c r="G27" s="1261"/>
      <c r="H27" s="1261"/>
      <c r="I27" s="1261"/>
      <c r="J27" s="1261"/>
    </row>
    <row r="28" spans="2:10">
      <c r="B28" s="731"/>
      <c r="E28" s="1261"/>
      <c r="F28" s="1261"/>
      <c r="G28" s="1261"/>
      <c r="H28" s="1261"/>
      <c r="I28" s="1261"/>
      <c r="J28" s="1261"/>
    </row>
    <row r="29" spans="2:10" ht="17.25">
      <c r="B29" s="734" t="s">
        <v>27</v>
      </c>
      <c r="C29" s="727"/>
      <c r="D29" s="727"/>
      <c r="E29" s="1261"/>
      <c r="F29" s="1261"/>
      <c r="G29" s="1261"/>
      <c r="H29" s="1261"/>
      <c r="I29" s="1261"/>
      <c r="J29" s="1261"/>
    </row>
    <row r="30" spans="2:10">
      <c r="B30" s="731" t="s">
        <v>28</v>
      </c>
      <c r="E30" s="1261"/>
      <c r="F30" s="1261"/>
      <c r="G30" s="1261"/>
      <c r="H30" s="1261"/>
      <c r="I30" s="1261"/>
      <c r="J30" s="1261"/>
    </row>
    <row r="31" spans="2:10">
      <c r="B31" s="731"/>
      <c r="E31" s="1261"/>
      <c r="F31" s="1261"/>
      <c r="G31" s="1261"/>
      <c r="H31" s="1261"/>
      <c r="I31" s="1261"/>
      <c r="J31" s="1261"/>
    </row>
    <row r="32" spans="2:10">
      <c r="B32" s="735" t="s">
        <v>29</v>
      </c>
      <c r="E32" s="1261"/>
      <c r="F32" s="1261"/>
      <c r="G32" s="1261"/>
      <c r="H32" s="1261"/>
      <c r="I32" s="1261"/>
      <c r="J32" s="1261"/>
    </row>
    <row r="33" spans="2:10">
      <c r="B33" s="731"/>
      <c r="E33" s="1261"/>
      <c r="F33" s="1261"/>
      <c r="G33" s="1261"/>
      <c r="H33" s="1261"/>
      <c r="I33" s="1261"/>
      <c r="J33" s="1261"/>
    </row>
    <row r="34" spans="2:10">
      <c r="B34" s="736" t="s">
        <v>30</v>
      </c>
      <c r="E34" s="1261"/>
      <c r="F34" s="1261"/>
      <c r="G34" s="1261"/>
      <c r="H34" s="1261"/>
      <c r="I34" s="1261"/>
      <c r="J34" s="1261"/>
    </row>
    <row r="35" spans="2:10">
      <c r="B35" s="737" t="s">
        <v>31</v>
      </c>
      <c r="E35" s="1261"/>
      <c r="F35" s="1261"/>
      <c r="G35" s="1261"/>
      <c r="H35" s="1261"/>
      <c r="I35" s="1261"/>
      <c r="J35" s="1261"/>
    </row>
    <row r="36" spans="2:10">
      <c r="B36" s="737" t="s">
        <v>32</v>
      </c>
      <c r="E36" s="1261"/>
      <c r="F36" s="1261"/>
      <c r="G36" s="1261"/>
      <c r="H36" s="1261"/>
      <c r="I36" s="1261"/>
      <c r="J36" s="1261"/>
    </row>
    <row r="37" spans="2:10">
      <c r="B37" s="737" t="s">
        <v>33</v>
      </c>
      <c r="E37" s="1261"/>
      <c r="F37" s="1261"/>
      <c r="G37" s="1261"/>
      <c r="H37" s="1261"/>
      <c r="I37" s="1261"/>
      <c r="J37" s="1261"/>
    </row>
    <row r="38" spans="2:10">
      <c r="B38" s="738" t="s">
        <v>34</v>
      </c>
      <c r="E38" s="1261"/>
      <c r="F38" s="1261"/>
      <c r="G38" s="1261"/>
      <c r="H38" s="1261"/>
      <c r="I38" s="1261"/>
      <c r="J38" s="1261"/>
    </row>
    <row r="39" spans="2:10">
      <c r="B39" s="738" t="s">
        <v>35</v>
      </c>
      <c r="E39" s="1261"/>
      <c r="F39" s="1261"/>
      <c r="G39" s="1261"/>
      <c r="H39" s="1261"/>
      <c r="I39" s="1261"/>
      <c r="J39" s="1261"/>
    </row>
    <row r="40" spans="2:10">
      <c r="B40" s="738" t="s">
        <v>36</v>
      </c>
      <c r="E40" s="1261"/>
      <c r="F40" s="1261"/>
      <c r="G40" s="1261"/>
      <c r="H40" s="1261"/>
      <c r="I40" s="1261"/>
      <c r="J40" s="1261"/>
    </row>
    <row r="41" spans="2:10">
      <c r="B41" s="738"/>
      <c r="E41" s="1261"/>
      <c r="F41" s="1261"/>
      <c r="G41" s="1261"/>
      <c r="H41" s="1261"/>
      <c r="I41" s="1261"/>
      <c r="J41" s="1261"/>
    </row>
    <row r="42" spans="2:10" ht="24">
      <c r="B42" s="739" t="s">
        <v>37</v>
      </c>
      <c r="E42" s="1261"/>
      <c r="F42" s="1261"/>
      <c r="G42" s="1261"/>
      <c r="H42" s="1261"/>
      <c r="I42" s="1261"/>
      <c r="J42" s="1261"/>
    </row>
    <row r="43" spans="2:10" ht="24">
      <c r="B43" s="739" t="s">
        <v>34</v>
      </c>
      <c r="E43" s="1261"/>
      <c r="F43" s="1261"/>
      <c r="G43" s="1261"/>
      <c r="H43" s="1261"/>
      <c r="I43" s="1261"/>
      <c r="J43" s="1261"/>
    </row>
    <row r="44" spans="2:10" ht="24">
      <c r="B44" s="739" t="s">
        <v>38</v>
      </c>
      <c r="E44" s="1261"/>
      <c r="F44" s="1261"/>
      <c r="G44" s="1261"/>
      <c r="H44" s="1261"/>
      <c r="I44" s="1261"/>
      <c r="J44" s="1261"/>
    </row>
    <row r="45" spans="2:10">
      <c r="B45" s="740"/>
      <c r="E45" s="1261"/>
      <c r="F45" s="1261"/>
      <c r="G45" s="1261"/>
      <c r="H45" s="1261"/>
      <c r="I45" s="1261"/>
      <c r="J45" s="1261"/>
    </row>
  </sheetData>
  <mergeCells count="45">
    <mergeCell ref="E12:J12"/>
    <mergeCell ref="E1:J1"/>
    <mergeCell ref="E2:J2"/>
    <mergeCell ref="E3:J3"/>
    <mergeCell ref="E4:J4"/>
    <mergeCell ref="E5:J5"/>
    <mergeCell ref="E6:J6"/>
    <mergeCell ref="E7:J7"/>
    <mergeCell ref="E8:J8"/>
    <mergeCell ref="E9:J9"/>
    <mergeCell ref="E10:J10"/>
    <mergeCell ref="E11:J11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43:J43"/>
    <mergeCell ref="E44:J44"/>
    <mergeCell ref="E45:J45"/>
    <mergeCell ref="E37:J37"/>
    <mergeCell ref="E38:J38"/>
    <mergeCell ref="E39:J39"/>
    <mergeCell ref="E40:J40"/>
    <mergeCell ref="E41:J41"/>
    <mergeCell ref="E42:J42"/>
  </mergeCells>
  <phoneticPr fontId="5" type="noConversion"/>
  <hyperlinks>
    <hyperlink ref="B29:F29" r:id="rId1" display="최신 파일 다운로드 →신라 Daum Café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4"/>
  <sheetViews>
    <sheetView showGridLines="0" workbookViewId="0">
      <selection activeCell="I23" sqref="I23"/>
    </sheetView>
  </sheetViews>
  <sheetFormatPr defaultRowHeight="16.5"/>
  <cols>
    <col min="1" max="1" width="13.375" customWidth="1"/>
    <col min="2" max="3" width="6.125" customWidth="1"/>
    <col min="4" max="4" width="2.875" customWidth="1"/>
    <col min="5" max="5" width="16.5" customWidth="1"/>
    <col min="6" max="6" width="10.5" style="534" customWidth="1"/>
    <col min="7" max="7" width="3.625" style="534" customWidth="1"/>
    <col min="8" max="8" width="22.875" customWidth="1"/>
    <col min="9" max="9" width="13.75" customWidth="1"/>
    <col min="10" max="10" width="7.5" customWidth="1"/>
    <col min="11" max="11" width="5.5" customWidth="1"/>
    <col min="12" max="12" width="3.625" customWidth="1"/>
    <col min="13" max="13" width="13.375" customWidth="1"/>
    <col min="14" max="15" width="6.125" customWidth="1"/>
    <col min="16" max="16" width="2.875" customWidth="1"/>
    <col min="17" max="17" width="7.875" customWidth="1"/>
    <col min="18" max="18" width="2.625" customWidth="1"/>
    <col min="19" max="19" width="7.875" customWidth="1"/>
    <col min="20" max="20" width="10.5" style="534" customWidth="1"/>
    <col min="21" max="21" width="3.625" style="534" customWidth="1"/>
    <col min="22" max="22" width="22.875" customWidth="1"/>
    <col min="23" max="23" width="13.75" customWidth="1"/>
    <col min="24" max="24" width="7.5" customWidth="1"/>
    <col min="25" max="25" width="5.5" customWidth="1"/>
    <col min="26" max="26" width="3.625" customWidth="1"/>
    <col min="27" max="27" width="22.875" customWidth="1"/>
    <col min="28" max="28" width="13.75" customWidth="1"/>
    <col min="29" max="29" width="7.5" customWidth="1"/>
    <col min="30" max="30" width="5.5" customWidth="1"/>
    <col min="31" max="31" width="3.625" customWidth="1"/>
    <col min="32" max="32" width="8.625" customWidth="1"/>
  </cols>
  <sheetData>
    <row r="1" spans="1:31" ht="26.25">
      <c r="A1" s="1455" t="s">
        <v>367</v>
      </c>
      <c r="B1" s="1455"/>
      <c r="C1" s="1455"/>
      <c r="D1" s="1455"/>
      <c r="E1" s="1455"/>
      <c r="F1" s="1550" t="s">
        <v>322</v>
      </c>
      <c r="G1" s="1550"/>
      <c r="H1" s="1550"/>
      <c r="I1" s="1550"/>
      <c r="J1" s="1550"/>
      <c r="K1" s="1550"/>
      <c r="L1" s="1550"/>
      <c r="M1" s="1456" t="s">
        <v>368</v>
      </c>
      <c r="N1" s="1456"/>
      <c r="O1" s="1456"/>
      <c r="P1" s="1456"/>
      <c r="Q1" s="1539" t="s">
        <v>312</v>
      </c>
      <c r="R1" s="1539"/>
      <c r="S1" s="1539"/>
      <c r="T1" s="537" t="s">
        <v>99</v>
      </c>
      <c r="U1" s="610"/>
      <c r="V1" s="611" t="s">
        <v>369</v>
      </c>
      <c r="W1" s="610"/>
      <c r="X1" s="610"/>
      <c r="Y1" s="610"/>
      <c r="Z1" s="612"/>
      <c r="AA1" s="1540" t="s">
        <v>370</v>
      </c>
      <c r="AB1" s="1541"/>
      <c r="AC1" s="1541"/>
      <c r="AD1" s="1541"/>
      <c r="AE1" s="612"/>
    </row>
    <row r="2" spans="1:31" ht="17.25" customHeight="1" thickBot="1">
      <c r="A2" s="614" t="s">
        <v>371</v>
      </c>
      <c r="B2" s="614"/>
      <c r="C2" s="614"/>
      <c r="D2" s="614"/>
      <c r="E2" s="615" t="s">
        <v>372</v>
      </c>
      <c r="F2" s="616"/>
      <c r="G2" s="616"/>
      <c r="H2" s="615"/>
      <c r="I2" s="615"/>
      <c r="J2" s="615"/>
      <c r="K2" s="615"/>
      <c r="L2" s="615"/>
      <c r="M2" s="614" t="s">
        <v>373</v>
      </c>
      <c r="N2" s="614"/>
      <c r="O2" s="614"/>
      <c r="P2" s="614"/>
      <c r="Q2" s="617" t="s">
        <v>50</v>
      </c>
      <c r="R2" s="618"/>
      <c r="S2" s="618" t="s">
        <v>51</v>
      </c>
      <c r="T2" s="616"/>
      <c r="U2" s="616"/>
      <c r="V2" s="615"/>
      <c r="W2" s="615"/>
      <c r="X2" s="615"/>
      <c r="Y2" s="615"/>
      <c r="Z2" s="612"/>
      <c r="AA2" s="619" t="s">
        <v>374</v>
      </c>
      <c r="AB2" s="902">
        <f>B3+N3</f>
        <v>0</v>
      </c>
      <c r="AC2" s="615" t="s">
        <v>61</v>
      </c>
      <c r="AD2" s="615"/>
      <c r="AE2" s="612"/>
    </row>
    <row r="3" spans="1:31" ht="17.25" customHeight="1" thickTop="1" thickBot="1">
      <c r="A3" s="620" t="s">
        <v>375</v>
      </c>
      <c r="B3" s="621">
        <f>ROUNDUP((E3+E4+E5)*(E6/1000),1)</f>
        <v>0</v>
      </c>
      <c r="C3" s="622" t="s">
        <v>376</v>
      </c>
      <c r="D3" s="1547" t="s">
        <v>377</v>
      </c>
      <c r="E3" s="623"/>
      <c r="F3" s="624" t="s">
        <v>378</v>
      </c>
      <c r="G3" s="615"/>
      <c r="H3" s="625" t="s">
        <v>77</v>
      </c>
      <c r="I3" s="626" t="s">
        <v>255</v>
      </c>
      <c r="J3" s="627" t="s">
        <v>249</v>
      </c>
      <c r="K3" s="628" t="s">
        <v>379</v>
      </c>
      <c r="L3" s="629"/>
      <c r="M3" s="620" t="s">
        <v>375</v>
      </c>
      <c r="N3" s="621">
        <f>ROUNDUP((SUM(Q3:Q5,S3:S5))*(Q6/1000),1)</f>
        <v>0</v>
      </c>
      <c r="O3" s="622" t="s">
        <v>376</v>
      </c>
      <c r="P3" s="1547" t="s">
        <v>377</v>
      </c>
      <c r="Q3" s="623"/>
      <c r="R3" s="630" t="s">
        <v>378</v>
      </c>
      <c r="S3" s="631"/>
      <c r="T3" s="624" t="s">
        <v>378</v>
      </c>
      <c r="U3" s="615"/>
      <c r="V3" s="625" t="s">
        <v>77</v>
      </c>
      <c r="W3" s="626" t="s">
        <v>255</v>
      </c>
      <c r="X3" s="627" t="s">
        <v>249</v>
      </c>
      <c r="Y3" s="628" t="s">
        <v>379</v>
      </c>
      <c r="Z3" s="901"/>
      <c r="AA3" s="632" t="s">
        <v>77</v>
      </c>
      <c r="AB3" s="633" t="s">
        <v>255</v>
      </c>
      <c r="AC3" s="634" t="s">
        <v>249</v>
      </c>
      <c r="AD3" s="1251" t="s">
        <v>379</v>
      </c>
      <c r="AE3" s="901"/>
    </row>
    <row r="4" spans="1:31" ht="17.25" customHeight="1" thickTop="1">
      <c r="A4" s="635" t="s">
        <v>380</v>
      </c>
      <c r="B4" s="636">
        <f>(E30/1000)*(E31/1000)</f>
        <v>1.62</v>
      </c>
      <c r="C4" s="637" t="s">
        <v>381</v>
      </c>
      <c r="D4" s="1548"/>
      <c r="E4" s="638"/>
      <c r="F4" s="639" t="s">
        <v>378</v>
      </c>
      <c r="G4" s="615"/>
      <c r="H4" s="640" t="str">
        <f>E8&amp;"mm 스터드"</f>
        <v>mm 스터드</v>
      </c>
      <c r="I4" s="559">
        <f>E6</f>
        <v>0</v>
      </c>
      <c r="J4" s="641">
        <f>ROUNDUP(SUM(E3:E5)/(E29/1000)+IF(E3&gt;0,1,IF(E4&gt;0,1,IF(E5&gt;0,1,0)))+(E12*2)+E13,0)</f>
        <v>0</v>
      </c>
      <c r="K4" s="642" t="str">
        <f>IF(J4&gt;0,"개","")</f>
        <v/>
      </c>
      <c r="L4" s="615"/>
      <c r="M4" s="635" t="s">
        <v>380</v>
      </c>
      <c r="N4" s="636">
        <f>(Q30/1000)*(Q31/1000)</f>
        <v>1.62</v>
      </c>
      <c r="O4" s="637" t="s">
        <v>381</v>
      </c>
      <c r="P4" s="1548"/>
      <c r="Q4" s="638"/>
      <c r="R4" s="643" t="s">
        <v>378</v>
      </c>
      <c r="S4" s="644"/>
      <c r="T4" s="639" t="s">
        <v>378</v>
      </c>
      <c r="U4" s="615"/>
      <c r="V4" s="640" t="str">
        <f>Q8&amp;"mm 스터드"</f>
        <v>mm 스터드</v>
      </c>
      <c r="W4" s="559">
        <f>Q6</f>
        <v>0</v>
      </c>
      <c r="X4" s="641">
        <f>ROUNDUP(SUM(Q3:Q5,S3:S5)/(Q29/1000)+IF(Q3&gt;0,2,IF(Q4&gt;0,2,IF(Q5&gt;0,2,0)))+(Q12*2)+Q13,0)</f>
        <v>0</v>
      </c>
      <c r="Y4" s="642" t="str">
        <f>IF(X4&gt;0,"개","")</f>
        <v/>
      </c>
      <c r="Z4" s="612"/>
      <c r="AA4" s="645" t="str">
        <f>V4</f>
        <v>mm 스터드</v>
      </c>
      <c r="AB4" s="646">
        <f>W4</f>
        <v>0</v>
      </c>
      <c r="AC4" s="647">
        <f t="shared" ref="AC4:AC10" si="0">AC15+AC23</f>
        <v>0</v>
      </c>
      <c r="AD4" s="642" t="str">
        <f>IF(AC4&gt;0,"개","")</f>
        <v/>
      </c>
      <c r="AE4" s="612"/>
    </row>
    <row r="5" spans="1:31" ht="17.25" customHeight="1" thickBot="1">
      <c r="A5" s="648" t="s">
        <v>382</v>
      </c>
      <c r="B5" s="649">
        <f>0.45*E11</f>
        <v>12.6</v>
      </c>
      <c r="C5" s="650" t="s">
        <v>381</v>
      </c>
      <c r="D5" s="1549"/>
      <c r="E5" s="651"/>
      <c r="F5" s="652" t="s">
        <v>378</v>
      </c>
      <c r="G5" s="615"/>
      <c r="H5" s="640" t="str">
        <f>E8&amp;"mm 런너"</f>
        <v>mm 런너</v>
      </c>
      <c r="I5" s="653">
        <v>3000</v>
      </c>
      <c r="J5" s="654">
        <f>ROUNDUP((SUM(E3:E5)*2)/(I5/1000)*1.05,0)</f>
        <v>0</v>
      </c>
      <c r="K5" s="642" t="str">
        <f>IF(J5&gt;0,"개","")</f>
        <v/>
      </c>
      <c r="L5" s="615"/>
      <c r="M5" s="648" t="s">
        <v>382</v>
      </c>
      <c r="N5" s="649">
        <f>0.45*Q11</f>
        <v>12.6</v>
      </c>
      <c r="O5" s="650" t="s">
        <v>381</v>
      </c>
      <c r="P5" s="1549"/>
      <c r="Q5" s="651"/>
      <c r="R5" s="655" t="s">
        <v>378</v>
      </c>
      <c r="S5" s="656"/>
      <c r="T5" s="652" t="s">
        <v>378</v>
      </c>
      <c r="U5" s="615"/>
      <c r="V5" s="640" t="str">
        <f>Q8&amp;"mm 런너"</f>
        <v>mm 런너</v>
      </c>
      <c r="W5" s="653">
        <v>3000</v>
      </c>
      <c r="X5" s="654">
        <f>ROUNDUP((SUM(Q3:Q5,S3:S5)*2)/(W5/1000)*1.05,0)</f>
        <v>0</v>
      </c>
      <c r="Y5" s="642" t="str">
        <f t="shared" ref="Y5:Y11" si="1">IF(X5&gt;0,"개","")</f>
        <v/>
      </c>
      <c r="Z5" s="612"/>
      <c r="AA5" s="657" t="str">
        <f t="shared" ref="AA5:AC11" si="2">V5</f>
        <v>mm 런너</v>
      </c>
      <c r="AB5" s="559">
        <f t="shared" si="2"/>
        <v>3000</v>
      </c>
      <c r="AC5" s="641">
        <f t="shared" si="0"/>
        <v>0</v>
      </c>
      <c r="AD5" s="642" t="str">
        <f t="shared" ref="AD5:AD13" si="3">IF(AC5&gt;0,"개","")</f>
        <v/>
      </c>
      <c r="AE5" s="612"/>
    </row>
    <row r="6" spans="1:31" ht="17.25" customHeight="1" thickTop="1" thickBot="1">
      <c r="A6" s="1542" t="s">
        <v>383</v>
      </c>
      <c r="B6" s="1543"/>
      <c r="C6" s="1543"/>
      <c r="D6" s="658"/>
      <c r="E6" s="659"/>
      <c r="F6" s="660" t="s">
        <v>384</v>
      </c>
      <c r="G6" s="615"/>
      <c r="H6" s="661" t="str">
        <f>E7&amp;"T"</f>
        <v>일반석고보드 9.5T</v>
      </c>
      <c r="I6" s="563" t="str">
        <f>E30&amp;"×"&amp;E31</f>
        <v>900×1800</v>
      </c>
      <c r="J6" s="662">
        <f>ROUNDUP(B3/B4*E9*E10*1.08,0)</f>
        <v>0</v>
      </c>
      <c r="K6" s="642" t="str">
        <f>IF(J6&gt;0,"장","")</f>
        <v/>
      </c>
      <c r="L6" s="615"/>
      <c r="M6" s="1542" t="s">
        <v>383</v>
      </c>
      <c r="N6" s="1543"/>
      <c r="O6" s="1543"/>
      <c r="P6" s="658"/>
      <c r="Q6" s="1544"/>
      <c r="R6" s="1545"/>
      <c r="S6" s="1546"/>
      <c r="T6" s="660" t="s">
        <v>384</v>
      </c>
      <c r="U6" s="615"/>
      <c r="V6" s="661" t="str">
        <f>Q7&amp;"T"</f>
        <v>일반석고보드 9.5T</v>
      </c>
      <c r="W6" s="563" t="str">
        <f>Q30&amp;"×"&amp;Q31</f>
        <v>900×1800</v>
      </c>
      <c r="X6" s="662">
        <f>ROUNDUP(N3/N4*Q9*Q10*1.08,0)</f>
        <v>0</v>
      </c>
      <c r="Y6" s="642" t="str">
        <f>IF(X6&gt;0,"장","")</f>
        <v/>
      </c>
      <c r="Z6" s="612"/>
      <c r="AA6" s="657" t="str">
        <f t="shared" si="2"/>
        <v>일반석고보드 9.5T</v>
      </c>
      <c r="AB6" s="559" t="str">
        <f t="shared" si="2"/>
        <v>900×1800</v>
      </c>
      <c r="AC6" s="641">
        <f t="shared" si="0"/>
        <v>0</v>
      </c>
      <c r="AD6" s="642" t="str">
        <f>IF(AC6&gt;0,"장","")</f>
        <v/>
      </c>
      <c r="AE6" s="612"/>
    </row>
    <row r="7" spans="1:31" ht="17.25" customHeight="1" thickTop="1">
      <c r="A7" s="1533" t="s">
        <v>385</v>
      </c>
      <c r="B7" s="1534"/>
      <c r="C7" s="1534"/>
      <c r="D7" s="1535"/>
      <c r="E7" s="665" t="s">
        <v>386</v>
      </c>
      <c r="F7" s="666"/>
      <c r="G7" s="615"/>
      <c r="H7" s="661" t="s">
        <v>208</v>
      </c>
      <c r="I7" s="563" t="str">
        <f>IF(E9=1,"6×25mm","6×32mm")&amp;" 양날"</f>
        <v>6×32mm 양날</v>
      </c>
      <c r="J7" s="667">
        <f>ROUNDUP(J6*IF(E9=1, 18, IF(E9=2, 12))*1.1/50,0)*50</f>
        <v>0</v>
      </c>
      <c r="K7" s="642" t="str">
        <f t="shared" ref="K7:K15" si="4">IF(J7&gt;0,"개","")</f>
        <v/>
      </c>
      <c r="L7" s="615"/>
      <c r="M7" s="1533" t="s">
        <v>385</v>
      </c>
      <c r="N7" s="1534"/>
      <c r="O7" s="1534"/>
      <c r="P7" s="1535"/>
      <c r="Q7" s="1536" t="s">
        <v>386</v>
      </c>
      <c r="R7" s="1537"/>
      <c r="S7" s="1538"/>
      <c r="T7" s="666"/>
      <c r="U7" s="615"/>
      <c r="V7" s="661" t="s">
        <v>208</v>
      </c>
      <c r="W7" s="563" t="str">
        <f>IF(Q9=1,"6×25mm","6×32mm")&amp;" 양날"</f>
        <v>6×32mm 양날</v>
      </c>
      <c r="X7" s="667">
        <f>ROUNDUP(X6*IF(Q9=1,18, IF(Q9=2, 12))*1.1/50,0)*50</f>
        <v>0</v>
      </c>
      <c r="Y7" s="642" t="str">
        <f t="shared" si="1"/>
        <v/>
      </c>
      <c r="Z7" s="612"/>
      <c r="AA7" s="657" t="str">
        <f t="shared" si="2"/>
        <v>석고피스</v>
      </c>
      <c r="AB7" s="559" t="str">
        <f t="shared" si="2"/>
        <v>6×32mm 양날</v>
      </c>
      <c r="AC7" s="641">
        <f t="shared" si="0"/>
        <v>0</v>
      </c>
      <c r="AD7" s="642" t="str">
        <f t="shared" si="3"/>
        <v/>
      </c>
      <c r="AE7" s="612"/>
    </row>
    <row r="8" spans="1:31" ht="17.25" customHeight="1">
      <c r="A8" s="1527" t="s">
        <v>387</v>
      </c>
      <c r="B8" s="1528"/>
      <c r="C8" s="1528"/>
      <c r="D8" s="1529"/>
      <c r="E8" s="1252"/>
      <c r="F8" s="639" t="s">
        <v>384</v>
      </c>
      <c r="G8" s="615"/>
      <c r="H8" s="661" t="str">
        <f>A12</f>
        <v>문 개수</v>
      </c>
      <c r="I8" s="563" t="str">
        <f>E28</f>
        <v>900×2100</v>
      </c>
      <c r="J8" s="668">
        <f>E12</f>
        <v>0</v>
      </c>
      <c r="K8" s="642" t="str">
        <f t="shared" si="4"/>
        <v/>
      </c>
      <c r="L8" s="615"/>
      <c r="M8" s="1527" t="s">
        <v>387</v>
      </c>
      <c r="N8" s="1528"/>
      <c r="O8" s="1528"/>
      <c r="P8" s="1529"/>
      <c r="Q8" s="1530"/>
      <c r="R8" s="1531"/>
      <c r="S8" s="1532"/>
      <c r="T8" s="639" t="s">
        <v>384</v>
      </c>
      <c r="U8" s="615"/>
      <c r="V8" s="661" t="str">
        <f>M12</f>
        <v>문 개수</v>
      </c>
      <c r="W8" s="563" t="str">
        <f>Q28</f>
        <v>900×2100</v>
      </c>
      <c r="X8" s="668">
        <f>Q12</f>
        <v>0</v>
      </c>
      <c r="Y8" s="642" t="str">
        <f t="shared" si="1"/>
        <v/>
      </c>
      <c r="Z8" s="612"/>
      <c r="AA8" s="657" t="str">
        <f t="shared" si="2"/>
        <v>문 개수</v>
      </c>
      <c r="AB8" s="559" t="str">
        <f t="shared" si="2"/>
        <v>900×2100</v>
      </c>
      <c r="AC8" s="641">
        <f t="shared" si="0"/>
        <v>0</v>
      </c>
      <c r="AD8" s="642" t="str">
        <f t="shared" si="3"/>
        <v/>
      </c>
      <c r="AE8" s="612"/>
    </row>
    <row r="9" spans="1:31" ht="17.25" customHeight="1">
      <c r="A9" s="1527" t="s">
        <v>388</v>
      </c>
      <c r="B9" s="1528"/>
      <c r="C9" s="1528"/>
      <c r="D9" s="1529"/>
      <c r="E9" s="1238">
        <v>2</v>
      </c>
      <c r="F9" s="639" t="s">
        <v>389</v>
      </c>
      <c r="G9" s="615"/>
      <c r="H9" s="661" t="str">
        <f>A14</f>
        <v xml:space="preserve">창문 </v>
      </c>
      <c r="I9" s="563">
        <f>E15</f>
        <v>0</v>
      </c>
      <c r="J9" s="668">
        <f>E14</f>
        <v>0</v>
      </c>
      <c r="K9" s="642" t="str">
        <f t="shared" si="4"/>
        <v/>
      </c>
      <c r="L9" s="615"/>
      <c r="M9" s="1527" t="s">
        <v>388</v>
      </c>
      <c r="N9" s="1528"/>
      <c r="O9" s="1528"/>
      <c r="P9" s="1529"/>
      <c r="Q9" s="1530">
        <v>2</v>
      </c>
      <c r="R9" s="1531"/>
      <c r="S9" s="1532"/>
      <c r="T9" s="639" t="s">
        <v>389</v>
      </c>
      <c r="U9" s="615"/>
      <c r="V9" s="661" t="str">
        <f>M14</f>
        <v xml:space="preserve">창문 </v>
      </c>
      <c r="W9" s="563" t="str">
        <f>Q15</f>
        <v>1000*1000</v>
      </c>
      <c r="X9" s="668">
        <f>Q14</f>
        <v>0</v>
      </c>
      <c r="Y9" s="642" t="str">
        <f t="shared" si="1"/>
        <v/>
      </c>
      <c r="Z9" s="612"/>
      <c r="AA9" s="657" t="str">
        <f t="shared" si="2"/>
        <v xml:space="preserve">창문 </v>
      </c>
      <c r="AB9" s="559" t="str">
        <f t="shared" si="2"/>
        <v>1000*1000</v>
      </c>
      <c r="AC9" s="641">
        <f t="shared" si="0"/>
        <v>0</v>
      </c>
      <c r="AD9" s="642" t="str">
        <f t="shared" si="3"/>
        <v/>
      </c>
      <c r="AE9" s="612"/>
    </row>
    <row r="10" spans="1:31" ht="17.25" customHeight="1">
      <c r="A10" s="1527" t="s">
        <v>390</v>
      </c>
      <c r="B10" s="1528"/>
      <c r="C10" s="1528"/>
      <c r="D10" s="1529"/>
      <c r="E10" s="669">
        <v>2</v>
      </c>
      <c r="F10" s="639" t="s">
        <v>391</v>
      </c>
      <c r="G10" s="615"/>
      <c r="H10" s="661" t="str">
        <f>A11&amp;" "&amp;E11&amp;"매"</f>
        <v>크린매트 50t 24k 28매</v>
      </c>
      <c r="I10" s="670"/>
      <c r="J10" s="667">
        <f>ROUNDUP(B3/B5,0)</f>
        <v>0</v>
      </c>
      <c r="K10" s="642" t="str">
        <f t="shared" si="4"/>
        <v/>
      </c>
      <c r="L10" s="615"/>
      <c r="M10" s="1527" t="s">
        <v>390</v>
      </c>
      <c r="N10" s="1528"/>
      <c r="O10" s="1528"/>
      <c r="P10" s="1529"/>
      <c r="Q10" s="1530">
        <v>2</v>
      </c>
      <c r="R10" s="1531"/>
      <c r="S10" s="1532"/>
      <c r="T10" s="639" t="s">
        <v>391</v>
      </c>
      <c r="U10" s="615"/>
      <c r="V10" s="661" t="str">
        <f>M11&amp;" "&amp;Q11&amp;"매"</f>
        <v>크린매트 50t 24k 28매</v>
      </c>
      <c r="W10" s="670"/>
      <c r="X10" s="667">
        <f>ROUNDUP(N3/N5,0)</f>
        <v>0</v>
      </c>
      <c r="Y10" s="642" t="str">
        <f t="shared" si="1"/>
        <v/>
      </c>
      <c r="Z10" s="612"/>
      <c r="AA10" s="657" t="str">
        <f t="shared" si="2"/>
        <v>크린매트 50t 24k 28매</v>
      </c>
      <c r="AB10" s="559">
        <f t="shared" si="2"/>
        <v>0</v>
      </c>
      <c r="AC10" s="641">
        <f t="shared" si="0"/>
        <v>0</v>
      </c>
      <c r="AD10" s="642" t="str">
        <f t="shared" si="3"/>
        <v/>
      </c>
      <c r="AE10" s="612"/>
    </row>
    <row r="11" spans="1:31" ht="17.25" customHeight="1">
      <c r="A11" s="1496" t="s">
        <v>392</v>
      </c>
      <c r="B11" s="1497"/>
      <c r="C11" s="1497"/>
      <c r="D11" s="1498"/>
      <c r="E11" s="671">
        <v>28</v>
      </c>
      <c r="F11" s="639" t="s">
        <v>393</v>
      </c>
      <c r="G11" s="615"/>
      <c r="H11" s="1253" t="str">
        <f>IF(F20&gt;0,"스터드 보강재","")</f>
        <v/>
      </c>
      <c r="I11" s="1248" t="str">
        <f>IF(F20&gt;0,"간격×타공 수","")</f>
        <v/>
      </c>
      <c r="J11" s="1254"/>
      <c r="K11" s="1255" t="str">
        <f t="shared" si="4"/>
        <v/>
      </c>
      <c r="L11" s="615"/>
      <c r="M11" s="1496" t="s">
        <v>392</v>
      </c>
      <c r="N11" s="1497"/>
      <c r="O11" s="1497"/>
      <c r="P11" s="1498"/>
      <c r="Q11" s="1524">
        <v>28</v>
      </c>
      <c r="R11" s="1525"/>
      <c r="S11" s="1526"/>
      <c r="T11" s="639" t="s">
        <v>393</v>
      </c>
      <c r="U11" s="615"/>
      <c r="V11" s="1253" t="str">
        <f>IF(T20&gt;0,"스터드 보강재","")</f>
        <v/>
      </c>
      <c r="W11" s="1248" t="str">
        <f>IF(T20&gt;0,"간격×타공 수","")</f>
        <v/>
      </c>
      <c r="X11" s="1254"/>
      <c r="Y11" s="1255" t="str">
        <f t="shared" si="1"/>
        <v/>
      </c>
      <c r="Z11" s="612"/>
      <c r="AA11" s="1249" t="str">
        <f t="shared" si="2"/>
        <v/>
      </c>
      <c r="AB11" s="1250" t="str">
        <f t="shared" si="2"/>
        <v/>
      </c>
      <c r="AC11" s="1258">
        <f t="shared" si="2"/>
        <v>0</v>
      </c>
      <c r="AD11" s="1255" t="str">
        <f t="shared" si="3"/>
        <v/>
      </c>
      <c r="AE11" s="612"/>
    </row>
    <row r="12" spans="1:31" ht="17.25" customHeight="1">
      <c r="A12" s="1518" t="s">
        <v>394</v>
      </c>
      <c r="B12" s="1519"/>
      <c r="C12" s="1519"/>
      <c r="D12" s="1520"/>
      <c r="E12" s="672"/>
      <c r="F12" s="673" t="s">
        <v>265</v>
      </c>
      <c r="G12" s="615"/>
      <c r="H12" s="661" t="str">
        <f>IF(E18&gt;1,A18,"")</f>
        <v/>
      </c>
      <c r="I12" s="563" t="str">
        <f>IF(E18&gt;0,E18&amp;"mm × "&amp;F18,"")</f>
        <v/>
      </c>
      <c r="J12" s="668">
        <f>ROUNDUP(SUM(E3:E5)/4*F18*1.05,0)</f>
        <v>0</v>
      </c>
      <c r="K12" s="642" t="str">
        <f t="shared" si="4"/>
        <v/>
      </c>
      <c r="L12" s="615"/>
      <c r="M12" s="1518" t="s">
        <v>394</v>
      </c>
      <c r="N12" s="1519"/>
      <c r="O12" s="1519"/>
      <c r="P12" s="1520"/>
      <c r="Q12" s="1521"/>
      <c r="R12" s="1522"/>
      <c r="S12" s="1523"/>
      <c r="T12" s="673" t="s">
        <v>265</v>
      </c>
      <c r="U12" s="615"/>
      <c r="V12" s="661" t="str">
        <f>IF(Q18&gt;1,M18,"")</f>
        <v/>
      </c>
      <c r="W12" s="563" t="str">
        <f>IF(Q18&gt;1,Q18&amp;"mm × "&amp;T18,"")</f>
        <v/>
      </c>
      <c r="X12" s="668">
        <f>ROUNDUP(SUM(Q3:Q5,S3:S5)/4*T18*1.05,0)</f>
        <v>0</v>
      </c>
      <c r="Y12" s="642" t="str">
        <f t="shared" ref="Y12:Y13" si="5">IF(X12&gt;0,"개","")</f>
        <v/>
      </c>
      <c r="Z12" s="612"/>
      <c r="AA12" s="657" t="str">
        <f>V12</f>
        <v/>
      </c>
      <c r="AB12" s="559" t="str">
        <f>W12</f>
        <v/>
      </c>
      <c r="AC12" s="641">
        <f>J12+X12</f>
        <v>0</v>
      </c>
      <c r="AD12" s="642" t="str">
        <f t="shared" si="3"/>
        <v/>
      </c>
      <c r="AE12" s="612"/>
    </row>
    <row r="13" spans="1:31" ht="17.25" customHeight="1">
      <c r="A13" s="1518" t="s">
        <v>396</v>
      </c>
      <c r="B13" s="1519"/>
      <c r="C13" s="1519"/>
      <c r="D13" s="1520"/>
      <c r="E13" s="672">
        <v>0</v>
      </c>
      <c r="F13" s="639" t="s">
        <v>265</v>
      </c>
      <c r="G13" s="615"/>
      <c r="H13" s="661" t="str">
        <f>IF(E19&gt;1,A19,"")</f>
        <v/>
      </c>
      <c r="I13" s="563" t="str">
        <f>IF(E19&gt;0,E19&amp;"mm × "&amp;F19,"")</f>
        <v/>
      </c>
      <c r="J13" s="668">
        <f>ROUNDUP(SUM(E3:E5)/4*F19*1.05,0)</f>
        <v>0</v>
      </c>
      <c r="K13" s="642" t="str">
        <f t="shared" si="4"/>
        <v/>
      </c>
      <c r="L13" s="615"/>
      <c r="M13" s="1518" t="s">
        <v>397</v>
      </c>
      <c r="N13" s="1519"/>
      <c r="O13" s="1519"/>
      <c r="P13" s="1520"/>
      <c r="Q13" s="1521">
        <v>0</v>
      </c>
      <c r="R13" s="1522"/>
      <c r="S13" s="1523"/>
      <c r="T13" s="639" t="s">
        <v>265</v>
      </c>
      <c r="U13" s="615"/>
      <c r="V13" s="661" t="str">
        <f>IF(Q19&gt;1,M19,"")</f>
        <v/>
      </c>
      <c r="W13" s="563" t="str">
        <f>IF(Q19&gt;1,Q19&amp;"mm × "&amp;T19,"")</f>
        <v/>
      </c>
      <c r="X13" s="668">
        <f>ROUNDUP(SUM(Q4:Q6,S4:S6)/4*T19*1.05,0)</f>
        <v>0</v>
      </c>
      <c r="Y13" s="642" t="str">
        <f t="shared" si="5"/>
        <v/>
      </c>
      <c r="Z13" s="612"/>
      <c r="AA13" s="657" t="str">
        <f>V13</f>
        <v/>
      </c>
      <c r="AB13" s="559" t="str">
        <f>W13</f>
        <v/>
      </c>
      <c r="AC13" s="641">
        <f>J13+X13</f>
        <v>0</v>
      </c>
      <c r="AD13" s="642" t="str">
        <f t="shared" si="3"/>
        <v/>
      </c>
      <c r="AE13" s="612"/>
    </row>
    <row r="14" spans="1:31" ht="17.25" customHeight="1">
      <c r="A14" s="1489" t="s">
        <v>398</v>
      </c>
      <c r="B14" s="1490"/>
      <c r="C14" s="1490"/>
      <c r="D14" s="1492"/>
      <c r="E14" s="675"/>
      <c r="F14" s="666" t="s">
        <v>265</v>
      </c>
      <c r="G14" s="615"/>
      <c r="H14" s="661"/>
      <c r="I14" s="563"/>
      <c r="J14" s="668"/>
      <c r="K14" s="642" t="str">
        <f t="shared" si="4"/>
        <v/>
      </c>
      <c r="L14" s="615"/>
      <c r="M14" s="1489" t="s">
        <v>398</v>
      </c>
      <c r="N14" s="1490"/>
      <c r="O14" s="1490"/>
      <c r="P14" s="1492"/>
      <c r="Q14" s="1513"/>
      <c r="R14" s="1514"/>
      <c r="S14" s="1515"/>
      <c r="T14" s="666" t="s">
        <v>265</v>
      </c>
      <c r="U14" s="615"/>
      <c r="V14" s="661"/>
      <c r="W14" s="563"/>
      <c r="X14" s="668"/>
      <c r="Y14" s="663"/>
      <c r="Z14" s="612"/>
      <c r="AA14" s="674" t="s">
        <v>395</v>
      </c>
      <c r="AB14" s="559" t="str">
        <f>W12</f>
        <v/>
      </c>
      <c r="AC14" s="641">
        <f>X12</f>
        <v>0</v>
      </c>
      <c r="AD14" s="664"/>
      <c r="AE14" s="612"/>
    </row>
    <row r="15" spans="1:31" ht="17.25" customHeight="1">
      <c r="A15" s="1489" t="s">
        <v>399</v>
      </c>
      <c r="B15" s="1490"/>
      <c r="C15" s="1490"/>
      <c r="D15" s="1492"/>
      <c r="E15" s="676"/>
      <c r="F15" s="639" t="s">
        <v>384</v>
      </c>
      <c r="G15" s="615"/>
      <c r="H15" s="661"/>
      <c r="I15" s="670"/>
      <c r="J15" s="668"/>
      <c r="K15" s="642" t="str">
        <f t="shared" si="4"/>
        <v/>
      </c>
      <c r="L15" s="615"/>
      <c r="M15" s="1489" t="s">
        <v>399</v>
      </c>
      <c r="N15" s="1490"/>
      <c r="O15" s="1490"/>
      <c r="P15" s="1492"/>
      <c r="Q15" s="1513" t="s">
        <v>400</v>
      </c>
      <c r="R15" s="1514"/>
      <c r="S15" s="1515"/>
      <c r="T15" s="666" t="s">
        <v>384</v>
      </c>
      <c r="U15" s="615"/>
      <c r="V15" s="661"/>
      <c r="W15" s="670"/>
      <c r="X15" s="668"/>
      <c r="Y15" s="663"/>
      <c r="Z15" s="612"/>
      <c r="AA15" s="657" t="str">
        <f t="shared" ref="AA15:AD21" si="6">H4</f>
        <v>mm 스터드</v>
      </c>
      <c r="AB15" s="559">
        <f t="shared" si="6"/>
        <v>0</v>
      </c>
      <c r="AC15" s="641">
        <f t="shared" si="6"/>
        <v>0</v>
      </c>
      <c r="AD15" s="664" t="str">
        <f t="shared" si="6"/>
        <v/>
      </c>
      <c r="AE15" s="612"/>
    </row>
    <row r="16" spans="1:31" ht="17.25" customHeight="1">
      <c r="A16" s="1516" t="s">
        <v>401</v>
      </c>
      <c r="B16" s="1500"/>
      <c r="C16" s="1500"/>
      <c r="D16" s="1500"/>
      <c r="E16" s="1500"/>
      <c r="F16" s="1517"/>
      <c r="G16" s="615"/>
      <c r="H16" s="1435" t="s">
        <v>162</v>
      </c>
      <c r="I16" s="1436"/>
      <c r="J16" s="1436"/>
      <c r="K16" s="1437"/>
      <c r="L16" s="615"/>
      <c r="M16" s="1516" t="s">
        <v>402</v>
      </c>
      <c r="N16" s="1500"/>
      <c r="O16" s="1500"/>
      <c r="P16" s="1500"/>
      <c r="Q16" s="1500"/>
      <c r="R16" s="1500"/>
      <c r="S16" s="1500"/>
      <c r="T16" s="1517"/>
      <c r="U16" s="615"/>
      <c r="V16" s="677" t="s">
        <v>312</v>
      </c>
      <c r="W16" s="1505" t="s">
        <v>403</v>
      </c>
      <c r="X16" s="1505"/>
      <c r="Y16" s="1506"/>
      <c r="Z16" s="612"/>
      <c r="AA16" s="657" t="str">
        <f t="shared" si="6"/>
        <v>mm 런너</v>
      </c>
      <c r="AB16" s="559">
        <f t="shared" si="6"/>
        <v>3000</v>
      </c>
      <c r="AC16" s="641">
        <f t="shared" si="6"/>
        <v>0</v>
      </c>
      <c r="AD16" s="664" t="str">
        <f t="shared" si="6"/>
        <v/>
      </c>
      <c r="AE16" s="612"/>
    </row>
    <row r="17" spans="1:31" ht="17.25" customHeight="1">
      <c r="A17" s="1507" t="s">
        <v>680</v>
      </c>
      <c r="B17" s="1508"/>
      <c r="C17" s="1508"/>
      <c r="D17" s="1509"/>
      <c r="E17" s="1242" t="s">
        <v>679</v>
      </c>
      <c r="F17" s="1243" t="s">
        <v>678</v>
      </c>
      <c r="G17" s="615"/>
      <c r="H17" s="1499" t="s">
        <v>165</v>
      </c>
      <c r="I17" s="1500"/>
      <c r="J17" s="1500"/>
      <c r="K17" s="1501"/>
      <c r="L17" s="615"/>
      <c r="M17" s="1507" t="s">
        <v>685</v>
      </c>
      <c r="N17" s="1508"/>
      <c r="O17" s="1508"/>
      <c r="P17" s="1509"/>
      <c r="Q17" s="1510" t="s">
        <v>686</v>
      </c>
      <c r="R17" s="1511"/>
      <c r="S17" s="1512"/>
      <c r="T17" s="1246" t="s">
        <v>687</v>
      </c>
      <c r="U17" s="615"/>
      <c r="V17" s="661"/>
      <c r="W17" s="670"/>
      <c r="X17" s="668"/>
      <c r="Y17" s="663"/>
      <c r="Z17" s="612"/>
      <c r="AA17" s="657" t="str">
        <f t="shared" si="6"/>
        <v>일반석고보드 9.5T</v>
      </c>
      <c r="AB17" s="559" t="str">
        <f t="shared" si="6"/>
        <v>900×1800</v>
      </c>
      <c r="AC17" s="641">
        <f t="shared" si="6"/>
        <v>0</v>
      </c>
      <c r="AD17" s="664" t="str">
        <f t="shared" si="6"/>
        <v/>
      </c>
      <c r="AE17" s="612"/>
    </row>
    <row r="18" spans="1:31" ht="17.25" customHeight="1">
      <c r="A18" s="1489" t="s">
        <v>683</v>
      </c>
      <c r="B18" s="1490"/>
      <c r="C18" s="1490"/>
      <c r="D18" s="1492"/>
      <c r="E18" s="1244"/>
      <c r="F18" s="1245"/>
      <c r="G18" s="615"/>
      <c r="H18" s="1499" t="s">
        <v>100</v>
      </c>
      <c r="I18" s="1500"/>
      <c r="J18" s="1500"/>
      <c r="K18" s="1501"/>
      <c r="L18" s="615"/>
      <c r="M18" s="1489" t="s">
        <v>681</v>
      </c>
      <c r="N18" s="1490"/>
      <c r="O18" s="1490"/>
      <c r="P18" s="1492"/>
      <c r="Q18" s="1502"/>
      <c r="R18" s="1503"/>
      <c r="S18" s="1504"/>
      <c r="T18" s="1247"/>
      <c r="U18" s="615"/>
      <c r="V18" s="661"/>
      <c r="W18" s="670"/>
      <c r="X18" s="668"/>
      <c r="Y18" s="663"/>
      <c r="Z18" s="612"/>
      <c r="AA18" s="657" t="str">
        <f t="shared" si="6"/>
        <v>석고피스</v>
      </c>
      <c r="AB18" s="559" t="str">
        <f t="shared" si="6"/>
        <v>6×32mm 양날</v>
      </c>
      <c r="AC18" s="641">
        <f t="shared" si="6"/>
        <v>0</v>
      </c>
      <c r="AD18" s="664" t="str">
        <f t="shared" si="6"/>
        <v/>
      </c>
      <c r="AE18" s="612"/>
    </row>
    <row r="19" spans="1:31" ht="17.25" customHeight="1">
      <c r="A19" s="1489" t="s">
        <v>684</v>
      </c>
      <c r="B19" s="1490"/>
      <c r="C19" s="1490"/>
      <c r="D19" s="1492"/>
      <c r="E19" s="1244"/>
      <c r="F19" s="1245"/>
      <c r="G19" s="615"/>
      <c r="H19" s="661"/>
      <c r="I19" s="670"/>
      <c r="J19" s="668"/>
      <c r="K19" s="663"/>
      <c r="L19" s="615"/>
      <c r="M19" s="1239" t="s">
        <v>682</v>
      </c>
      <c r="N19" s="1240"/>
      <c r="O19" s="1240"/>
      <c r="P19" s="1241"/>
      <c r="Q19" s="1502"/>
      <c r="R19" s="1503"/>
      <c r="S19" s="1504"/>
      <c r="T19" s="1247"/>
      <c r="U19" s="615"/>
      <c r="V19" s="661"/>
      <c r="W19" s="670"/>
      <c r="X19" s="668"/>
      <c r="Y19" s="663"/>
      <c r="Z19" s="612"/>
      <c r="AA19" s="657" t="str">
        <f t="shared" si="6"/>
        <v>문 개수</v>
      </c>
      <c r="AB19" s="559" t="str">
        <f t="shared" si="6"/>
        <v>900×2100</v>
      </c>
      <c r="AC19" s="641">
        <f t="shared" si="6"/>
        <v>0</v>
      </c>
      <c r="AD19" s="664" t="str">
        <f t="shared" si="6"/>
        <v/>
      </c>
      <c r="AE19" s="612"/>
    </row>
    <row r="20" spans="1:31" ht="17.25" customHeight="1">
      <c r="A20" s="1496"/>
      <c r="B20" s="1497"/>
      <c r="C20" s="1497"/>
      <c r="D20" s="1498"/>
      <c r="E20" s="678"/>
      <c r="F20" s="1257">
        <f>SUM(F18:F19)</f>
        <v>0</v>
      </c>
      <c r="G20" s="615"/>
      <c r="H20" s="661"/>
      <c r="I20" s="670"/>
      <c r="J20" s="668"/>
      <c r="K20" s="663"/>
      <c r="L20" s="615"/>
      <c r="M20" s="1496"/>
      <c r="N20" s="1497"/>
      <c r="O20" s="1497"/>
      <c r="P20" s="1498"/>
      <c r="Q20" s="1493"/>
      <c r="R20" s="1494"/>
      <c r="S20" s="1495"/>
      <c r="T20" s="1256">
        <f>SUM(T18:T19)</f>
        <v>0</v>
      </c>
      <c r="U20" s="615"/>
      <c r="V20" s="661"/>
      <c r="W20" s="670"/>
      <c r="X20" s="668"/>
      <c r="Y20" s="663"/>
      <c r="Z20" s="612"/>
      <c r="AA20" s="657" t="str">
        <f t="shared" si="6"/>
        <v xml:space="preserve">창문 </v>
      </c>
      <c r="AB20" s="559">
        <f t="shared" si="6"/>
        <v>0</v>
      </c>
      <c r="AC20" s="641">
        <f t="shared" si="6"/>
        <v>0</v>
      </c>
      <c r="AD20" s="664"/>
      <c r="AE20" s="612"/>
    </row>
    <row r="21" spans="1:31" ht="17.25" customHeight="1">
      <c r="A21" s="1489" t="s">
        <v>688</v>
      </c>
      <c r="B21" s="1490"/>
      <c r="C21" s="1490"/>
      <c r="D21" s="1490"/>
      <c r="E21" s="1490"/>
      <c r="F21" s="1491"/>
      <c r="G21" s="615"/>
      <c r="H21" s="661"/>
      <c r="I21" s="670"/>
      <c r="J21" s="668"/>
      <c r="K21" s="663"/>
      <c r="L21" s="615"/>
      <c r="M21" s="1489"/>
      <c r="N21" s="1490"/>
      <c r="O21" s="1490"/>
      <c r="P21" s="1492"/>
      <c r="Q21" s="1493"/>
      <c r="R21" s="1494"/>
      <c r="S21" s="1495"/>
      <c r="T21" s="666"/>
      <c r="U21" s="615"/>
      <c r="V21" s="661"/>
      <c r="W21" s="670"/>
      <c r="X21" s="668"/>
      <c r="Y21" s="663"/>
      <c r="Z21" s="612"/>
      <c r="AA21" s="657" t="str">
        <f t="shared" si="6"/>
        <v>크린매트 50t 24k 28매</v>
      </c>
      <c r="AB21" s="559">
        <f t="shared" si="6"/>
        <v>0</v>
      </c>
      <c r="AC21" s="641">
        <f t="shared" si="6"/>
        <v>0</v>
      </c>
      <c r="AD21" s="664"/>
      <c r="AE21" s="612"/>
    </row>
    <row r="22" spans="1:31" ht="17.25" customHeight="1">
      <c r="A22" s="1489" t="s">
        <v>689</v>
      </c>
      <c r="B22" s="1490"/>
      <c r="C22" s="1490"/>
      <c r="D22" s="1490"/>
      <c r="E22" s="1490"/>
      <c r="F22" s="1491"/>
      <c r="G22" s="615"/>
      <c r="H22" s="661"/>
      <c r="I22" s="670"/>
      <c r="J22" s="668"/>
      <c r="K22" s="663"/>
      <c r="L22" s="615"/>
      <c r="M22" s="1489"/>
      <c r="N22" s="1490"/>
      <c r="O22" s="1490"/>
      <c r="P22" s="1492"/>
      <c r="Q22" s="1493"/>
      <c r="R22" s="1494"/>
      <c r="S22" s="1495"/>
      <c r="T22" s="666"/>
      <c r="U22" s="615"/>
      <c r="V22" s="661"/>
      <c r="W22" s="670"/>
      <c r="X22" s="668"/>
      <c r="Y22" s="663"/>
      <c r="Z22" s="612"/>
      <c r="AA22" s="674" t="s">
        <v>404</v>
      </c>
      <c r="AB22" s="559">
        <f>W20</f>
        <v>0</v>
      </c>
      <c r="AC22" s="641">
        <f>X20</f>
        <v>0</v>
      </c>
      <c r="AD22" s="664"/>
      <c r="AE22" s="612"/>
    </row>
    <row r="23" spans="1:31" ht="17.25" customHeight="1">
      <c r="A23" s="1489"/>
      <c r="B23" s="1490"/>
      <c r="C23" s="1490"/>
      <c r="D23" s="1490"/>
      <c r="E23" s="1490"/>
      <c r="F23" s="1491"/>
      <c r="G23" s="615"/>
      <c r="H23" s="661"/>
      <c r="I23" s="670"/>
      <c r="J23" s="668"/>
      <c r="K23" s="663"/>
      <c r="L23" s="615"/>
      <c r="M23" s="1489"/>
      <c r="N23" s="1490"/>
      <c r="O23" s="1490"/>
      <c r="P23" s="1492"/>
      <c r="Q23" s="1493"/>
      <c r="R23" s="1494"/>
      <c r="S23" s="1495"/>
      <c r="T23" s="666"/>
      <c r="U23" s="615"/>
      <c r="V23" s="661"/>
      <c r="W23" s="670"/>
      <c r="X23" s="668"/>
      <c r="Y23" s="663"/>
      <c r="Z23" s="612"/>
      <c r="AA23" s="657" t="str">
        <f t="shared" ref="AA23:AD29" si="7">V4</f>
        <v>mm 스터드</v>
      </c>
      <c r="AB23" s="559">
        <f t="shared" si="7"/>
        <v>0</v>
      </c>
      <c r="AC23" s="641">
        <f t="shared" si="7"/>
        <v>0</v>
      </c>
      <c r="AD23" s="664" t="str">
        <f t="shared" si="7"/>
        <v/>
      </c>
      <c r="AE23" s="612"/>
    </row>
    <row r="24" spans="1:31" ht="17.25" customHeight="1">
      <c r="A24" s="1489"/>
      <c r="B24" s="1490"/>
      <c r="C24" s="1490"/>
      <c r="D24" s="1490"/>
      <c r="E24" s="1490"/>
      <c r="F24" s="1491"/>
      <c r="G24" s="615"/>
      <c r="H24" s="661"/>
      <c r="I24" s="670"/>
      <c r="J24" s="668"/>
      <c r="K24" s="663"/>
      <c r="L24" s="615"/>
      <c r="M24" s="1486" t="s">
        <v>405</v>
      </c>
      <c r="N24" s="1460"/>
      <c r="O24" s="1460"/>
      <c r="P24" s="1460"/>
      <c r="Q24" s="1460"/>
      <c r="R24" s="1460"/>
      <c r="S24" s="1460"/>
      <c r="T24" s="1487"/>
      <c r="U24" s="615"/>
      <c r="V24" s="661"/>
      <c r="W24" s="670"/>
      <c r="X24" s="668"/>
      <c r="Y24" s="663"/>
      <c r="Z24" s="612"/>
      <c r="AA24" s="657" t="str">
        <f t="shared" si="7"/>
        <v>mm 런너</v>
      </c>
      <c r="AB24" s="559">
        <f t="shared" si="7"/>
        <v>3000</v>
      </c>
      <c r="AC24" s="641">
        <f t="shared" si="7"/>
        <v>0</v>
      </c>
      <c r="AD24" s="664" t="str">
        <f t="shared" si="7"/>
        <v/>
      </c>
      <c r="AE24" s="612"/>
    </row>
    <row r="25" spans="1:31" ht="17.25" customHeight="1">
      <c r="A25" s="1489"/>
      <c r="B25" s="1490"/>
      <c r="C25" s="1490"/>
      <c r="D25" s="1490"/>
      <c r="E25" s="1490"/>
      <c r="F25" s="1491"/>
      <c r="G25" s="615"/>
      <c r="H25" s="661"/>
      <c r="I25" s="670"/>
      <c r="J25" s="668"/>
      <c r="K25" s="663"/>
      <c r="L25" s="615"/>
      <c r="M25" s="1488" t="s">
        <v>406</v>
      </c>
      <c r="N25" s="1460"/>
      <c r="O25" s="1460"/>
      <c r="P25" s="1460"/>
      <c r="Q25" s="1460"/>
      <c r="R25" s="1460"/>
      <c r="S25" s="1460"/>
      <c r="T25" s="1487"/>
      <c r="U25" s="615"/>
      <c r="V25" s="661"/>
      <c r="W25" s="670"/>
      <c r="X25" s="668"/>
      <c r="Y25" s="663"/>
      <c r="Z25" s="612"/>
      <c r="AA25" s="657" t="str">
        <f t="shared" si="7"/>
        <v>일반석고보드 9.5T</v>
      </c>
      <c r="AB25" s="559" t="str">
        <f t="shared" si="7"/>
        <v>900×1800</v>
      </c>
      <c r="AC25" s="641">
        <f t="shared" si="7"/>
        <v>0</v>
      </c>
      <c r="AD25" s="664" t="str">
        <f t="shared" si="7"/>
        <v/>
      </c>
      <c r="AE25" s="612"/>
    </row>
    <row r="26" spans="1:31" ht="17.25" customHeight="1">
      <c r="A26" s="1489"/>
      <c r="B26" s="1490"/>
      <c r="C26" s="1490"/>
      <c r="D26" s="1490"/>
      <c r="E26" s="1490"/>
      <c r="F26" s="1491"/>
      <c r="G26" s="615"/>
      <c r="H26" s="661"/>
      <c r="I26" s="670"/>
      <c r="J26" s="668"/>
      <c r="K26" s="663"/>
      <c r="L26" s="615"/>
      <c r="M26" s="1489"/>
      <c r="N26" s="1490"/>
      <c r="O26" s="1490"/>
      <c r="P26" s="1490"/>
      <c r="Q26" s="1490"/>
      <c r="R26" s="1490"/>
      <c r="S26" s="1490"/>
      <c r="T26" s="1491"/>
      <c r="U26" s="615"/>
      <c r="V26" s="661"/>
      <c r="W26" s="670"/>
      <c r="X26" s="668"/>
      <c r="Y26" s="663"/>
      <c r="Z26" s="612"/>
      <c r="AA26" s="657" t="str">
        <f t="shared" si="7"/>
        <v>석고피스</v>
      </c>
      <c r="AB26" s="559" t="str">
        <f t="shared" si="7"/>
        <v>6×32mm 양날</v>
      </c>
      <c r="AC26" s="641">
        <f t="shared" si="7"/>
        <v>0</v>
      </c>
      <c r="AD26" s="664" t="str">
        <f t="shared" si="7"/>
        <v/>
      </c>
      <c r="AE26" s="612"/>
    </row>
    <row r="27" spans="1:31" ht="17.25" customHeight="1" thickBot="1">
      <c r="A27" s="679" t="s">
        <v>407</v>
      </c>
      <c r="B27" s="680"/>
      <c r="C27" s="680"/>
      <c r="D27" s="681"/>
      <c r="E27" s="682"/>
      <c r="F27" s="683"/>
      <c r="G27" s="615"/>
      <c r="H27" s="684"/>
      <c r="I27" s="685"/>
      <c r="J27" s="686"/>
      <c r="K27" s="687"/>
      <c r="L27" s="615"/>
      <c r="M27" s="1475" t="s">
        <v>407</v>
      </c>
      <c r="N27" s="1476"/>
      <c r="O27" s="1476"/>
      <c r="P27" s="1476"/>
      <c r="Q27" s="1476"/>
      <c r="R27" s="1476"/>
      <c r="S27" s="1476"/>
      <c r="T27" s="1477"/>
      <c r="U27" s="615"/>
      <c r="V27" s="684"/>
      <c r="W27" s="685"/>
      <c r="X27" s="686"/>
      <c r="Y27" s="687"/>
      <c r="Z27" s="612"/>
      <c r="AA27" s="657" t="str">
        <f t="shared" si="7"/>
        <v>문 개수</v>
      </c>
      <c r="AB27" s="559" t="str">
        <f t="shared" si="7"/>
        <v>900×2100</v>
      </c>
      <c r="AC27" s="641">
        <f t="shared" si="7"/>
        <v>0</v>
      </c>
      <c r="AD27" s="664" t="str">
        <f t="shared" si="7"/>
        <v/>
      </c>
      <c r="AE27" s="612"/>
    </row>
    <row r="28" spans="1:31" ht="17.25" customHeight="1" thickTop="1">
      <c r="A28" s="1478" t="s">
        <v>408</v>
      </c>
      <c r="B28" s="1479"/>
      <c r="C28" s="1479"/>
      <c r="D28" s="1479"/>
      <c r="E28" s="688" t="s">
        <v>409</v>
      </c>
      <c r="F28" s="689" t="s">
        <v>384</v>
      </c>
      <c r="G28" s="615"/>
      <c r="H28" s="690" t="s">
        <v>410</v>
      </c>
      <c r="I28" s="691"/>
      <c r="J28" s="691">
        <f>ROUNDUP(J4*2/1.1,-1)</f>
        <v>0</v>
      </c>
      <c r="K28" s="692" t="s">
        <v>265</v>
      </c>
      <c r="L28" s="615"/>
      <c r="M28" s="1478" t="s">
        <v>408</v>
      </c>
      <c r="N28" s="1479"/>
      <c r="O28" s="1479"/>
      <c r="P28" s="1479"/>
      <c r="Q28" s="1480" t="s">
        <v>409</v>
      </c>
      <c r="R28" s="1481"/>
      <c r="S28" s="1482"/>
      <c r="T28" s="689" t="s">
        <v>384</v>
      </c>
      <c r="U28" s="615"/>
      <c r="V28" s="690" t="s">
        <v>410</v>
      </c>
      <c r="W28" s="691"/>
      <c r="X28" s="691">
        <f>ROUNDUP(X4*2/1.1,-1)</f>
        <v>0</v>
      </c>
      <c r="Y28" s="692" t="s">
        <v>265</v>
      </c>
      <c r="Z28" s="612"/>
      <c r="AA28" s="657" t="str">
        <f t="shared" si="7"/>
        <v xml:space="preserve">창문 </v>
      </c>
      <c r="AB28" s="559" t="str">
        <f t="shared" si="7"/>
        <v>1000*1000</v>
      </c>
      <c r="AC28" s="641">
        <f t="shared" si="7"/>
        <v>0</v>
      </c>
      <c r="AD28" s="664"/>
      <c r="AE28" s="612"/>
    </row>
    <row r="29" spans="1:31" ht="17.25" customHeight="1">
      <c r="A29" s="1470" t="s">
        <v>411</v>
      </c>
      <c r="B29" s="1471"/>
      <c r="C29" s="1471"/>
      <c r="D29" s="1471"/>
      <c r="E29" s="696">
        <v>450</v>
      </c>
      <c r="F29" s="697" t="s">
        <v>384</v>
      </c>
      <c r="G29" s="615"/>
      <c r="H29" s="698" t="s">
        <v>412</v>
      </c>
      <c r="I29" s="699"/>
      <c r="J29" s="699">
        <f>J5*4</f>
        <v>0</v>
      </c>
      <c r="K29" s="700" t="s">
        <v>265</v>
      </c>
      <c r="L29" s="615"/>
      <c r="M29" s="1470" t="s">
        <v>411</v>
      </c>
      <c r="N29" s="1471"/>
      <c r="O29" s="1471"/>
      <c r="P29" s="1471"/>
      <c r="Q29" s="1483">
        <v>450</v>
      </c>
      <c r="R29" s="1484"/>
      <c r="S29" s="1485"/>
      <c r="T29" s="697" t="s">
        <v>384</v>
      </c>
      <c r="U29" s="615"/>
      <c r="V29" s="698" t="s">
        <v>412</v>
      </c>
      <c r="W29" s="699"/>
      <c r="X29" s="699">
        <f>X5*4</f>
        <v>0</v>
      </c>
      <c r="Y29" s="700" t="s">
        <v>265</v>
      </c>
      <c r="Z29" s="612"/>
      <c r="AA29" s="657" t="str">
        <f t="shared" si="7"/>
        <v>크린매트 50t 24k 28매</v>
      </c>
      <c r="AB29" s="559">
        <f t="shared" si="7"/>
        <v>0</v>
      </c>
      <c r="AC29" s="641">
        <f t="shared" si="7"/>
        <v>0</v>
      </c>
      <c r="AD29" s="664"/>
      <c r="AE29" s="612"/>
    </row>
    <row r="30" spans="1:31" ht="17.25" customHeight="1">
      <c r="A30" s="1470" t="s">
        <v>413</v>
      </c>
      <c r="B30" s="1471"/>
      <c r="C30" s="1471"/>
      <c r="D30" s="1471"/>
      <c r="E30" s="703">
        <v>900</v>
      </c>
      <c r="F30" s="697" t="s">
        <v>384</v>
      </c>
      <c r="G30" s="615"/>
      <c r="H30" s="704"/>
      <c r="I30" s="705"/>
      <c r="J30" s="705"/>
      <c r="K30" s="706"/>
      <c r="L30" s="615"/>
      <c r="M30" s="1470" t="s">
        <v>413</v>
      </c>
      <c r="N30" s="1471"/>
      <c r="O30" s="1471"/>
      <c r="P30" s="1471"/>
      <c r="Q30" s="1472">
        <v>900</v>
      </c>
      <c r="R30" s="1473"/>
      <c r="S30" s="1474"/>
      <c r="T30" s="697" t="s">
        <v>384</v>
      </c>
      <c r="U30" s="615"/>
      <c r="V30" s="1459" t="s">
        <v>414</v>
      </c>
      <c r="W30" s="1460"/>
      <c r="X30" s="1460"/>
      <c r="Y30" s="1461"/>
      <c r="Z30" s="612"/>
      <c r="AA30" s="693" t="s">
        <v>410</v>
      </c>
      <c r="AB30" s="694"/>
      <c r="AC30" s="694">
        <f>J28+X28</f>
        <v>0</v>
      </c>
      <c r="AD30" s="695" t="s">
        <v>265</v>
      </c>
      <c r="AE30" s="612"/>
    </row>
    <row r="31" spans="1:31" ht="17.25" customHeight="1" thickBot="1">
      <c r="A31" s="1464" t="s">
        <v>415</v>
      </c>
      <c r="B31" s="1465"/>
      <c r="C31" s="1465"/>
      <c r="D31" s="1465"/>
      <c r="E31" s="707">
        <v>1800</v>
      </c>
      <c r="F31" s="708" t="s">
        <v>384</v>
      </c>
      <c r="G31" s="615"/>
      <c r="H31" s="709"/>
      <c r="I31" s="710"/>
      <c r="J31" s="710"/>
      <c r="K31" s="711"/>
      <c r="L31" s="615"/>
      <c r="M31" s="1464" t="s">
        <v>415</v>
      </c>
      <c r="N31" s="1465"/>
      <c r="O31" s="1465"/>
      <c r="P31" s="1465"/>
      <c r="Q31" s="1466">
        <v>1800</v>
      </c>
      <c r="R31" s="1467"/>
      <c r="S31" s="1468"/>
      <c r="T31" s="708" t="s">
        <v>384</v>
      </c>
      <c r="U31" s="615"/>
      <c r="V31" s="709"/>
      <c r="W31" s="710"/>
      <c r="X31" s="710"/>
      <c r="Y31" s="711"/>
      <c r="Z31" s="612"/>
      <c r="AA31" s="701" t="s">
        <v>412</v>
      </c>
      <c r="AB31" s="699"/>
      <c r="AC31" s="699">
        <f>J29+X29</f>
        <v>0</v>
      </c>
      <c r="AD31" s="702" t="s">
        <v>265</v>
      </c>
      <c r="AE31" s="612"/>
    </row>
    <row r="32" spans="1:31" ht="17.25" customHeight="1" thickTop="1">
      <c r="A32" s="1469"/>
      <c r="B32" s="1469"/>
      <c r="C32" s="1469"/>
      <c r="D32" s="1469"/>
      <c r="E32" s="715"/>
      <c r="F32" s="716"/>
      <c r="M32" s="1469"/>
      <c r="N32" s="1469"/>
      <c r="O32" s="1469"/>
      <c r="P32" s="1469"/>
      <c r="Q32" s="715"/>
      <c r="R32" s="715"/>
      <c r="S32" s="715"/>
      <c r="T32" s="716"/>
      <c r="AA32" s="1462" t="s">
        <v>414</v>
      </c>
      <c r="AB32" s="1460"/>
      <c r="AC32" s="1460"/>
      <c r="AD32" s="1463"/>
    </row>
    <row r="33" spans="27:30" ht="17.25" thickBot="1">
      <c r="AA33" s="712"/>
      <c r="AB33" s="713"/>
      <c r="AC33" s="713"/>
      <c r="AD33" s="714"/>
    </row>
    <row r="34" spans="27:30" ht="17.25" thickTop="1"/>
  </sheetData>
  <sheetProtection algorithmName="SHA-512" hashValue="QhkujevlQavr8Jx+Veu2OJiaX7hHRmWt+oZSAusTp8AP0KJMXWjC4umuGUnRGIYsMPw5x5d4RcDCUUP/qvEKDA==" saltValue="QVsvODXok0+0pSfiL2884A==" spinCount="100000" sheet="1" objects="1" scenarios="1"/>
  <mergeCells count="86">
    <mergeCell ref="Q1:S1"/>
    <mergeCell ref="AA1:AD1"/>
    <mergeCell ref="A6:C6"/>
    <mergeCell ref="M6:O6"/>
    <mergeCell ref="Q6:S6"/>
    <mergeCell ref="D3:D5"/>
    <mergeCell ref="P3:P5"/>
    <mergeCell ref="A1:E1"/>
    <mergeCell ref="F1:L1"/>
    <mergeCell ref="M1:P1"/>
    <mergeCell ref="A7:D7"/>
    <mergeCell ref="M7:P7"/>
    <mergeCell ref="Q7:S7"/>
    <mergeCell ref="A8:D8"/>
    <mergeCell ref="M8:P8"/>
    <mergeCell ref="Q8:S8"/>
    <mergeCell ref="A9:D9"/>
    <mergeCell ref="M9:P9"/>
    <mergeCell ref="Q9:S9"/>
    <mergeCell ref="A10:D10"/>
    <mergeCell ref="M10:P10"/>
    <mergeCell ref="Q10:S10"/>
    <mergeCell ref="A11:D11"/>
    <mergeCell ref="M11:P11"/>
    <mergeCell ref="Q11:S11"/>
    <mergeCell ref="A12:D12"/>
    <mergeCell ref="M12:P12"/>
    <mergeCell ref="Q12:S12"/>
    <mergeCell ref="A13:D13"/>
    <mergeCell ref="M13:P13"/>
    <mergeCell ref="Q13:S13"/>
    <mergeCell ref="A14:D14"/>
    <mergeCell ref="M14:P14"/>
    <mergeCell ref="Q14:S14"/>
    <mergeCell ref="A15:D15"/>
    <mergeCell ref="M15:P15"/>
    <mergeCell ref="Q15:S15"/>
    <mergeCell ref="A16:F16"/>
    <mergeCell ref="H16:K16"/>
    <mergeCell ref="M16:T16"/>
    <mergeCell ref="W16:Y16"/>
    <mergeCell ref="A17:D17"/>
    <mergeCell ref="H17:K17"/>
    <mergeCell ref="M17:P17"/>
    <mergeCell ref="Q17:S17"/>
    <mergeCell ref="A18:D18"/>
    <mergeCell ref="H18:K18"/>
    <mergeCell ref="M18:P18"/>
    <mergeCell ref="Q18:S18"/>
    <mergeCell ref="A19:D19"/>
    <mergeCell ref="Q19:S19"/>
    <mergeCell ref="A20:D20"/>
    <mergeCell ref="M20:P20"/>
    <mergeCell ref="Q20:S20"/>
    <mergeCell ref="M21:P21"/>
    <mergeCell ref="Q21:S21"/>
    <mergeCell ref="A21:F21"/>
    <mergeCell ref="M22:P22"/>
    <mergeCell ref="Q22:S22"/>
    <mergeCell ref="M23:P23"/>
    <mergeCell ref="Q23:S23"/>
    <mergeCell ref="A22:F22"/>
    <mergeCell ref="A23:F23"/>
    <mergeCell ref="M24:T24"/>
    <mergeCell ref="M25:T25"/>
    <mergeCell ref="M26:T26"/>
    <mergeCell ref="A24:F24"/>
    <mergeCell ref="A25:F25"/>
    <mergeCell ref="A26:F26"/>
    <mergeCell ref="M27:T27"/>
    <mergeCell ref="A28:D28"/>
    <mergeCell ref="M28:P28"/>
    <mergeCell ref="Q28:S28"/>
    <mergeCell ref="A29:D29"/>
    <mergeCell ref="M29:P29"/>
    <mergeCell ref="Q29:S29"/>
    <mergeCell ref="V30:Y30"/>
    <mergeCell ref="AA32:AD32"/>
    <mergeCell ref="A31:D31"/>
    <mergeCell ref="M31:P31"/>
    <mergeCell ref="Q31:S31"/>
    <mergeCell ref="A32:D32"/>
    <mergeCell ref="M32:P32"/>
    <mergeCell ref="A30:D30"/>
    <mergeCell ref="M30:P30"/>
    <mergeCell ref="Q30:S30"/>
  </mergeCells>
  <phoneticPr fontId="5" type="noConversion"/>
  <hyperlinks>
    <hyperlink ref="Q1" r:id="rId1"/>
    <hyperlink ref="T1" r:id="rId2"/>
    <hyperlink ref="V16" r:id="rId3"/>
    <hyperlink ref="W16" r:id="rId4" display="Home Page"/>
  </hyperlinks>
  <pageMargins left="0.7" right="0.7" top="0.75" bottom="0.75" header="0.3" footer="0.3"/>
  <pageSetup paperSize="9" orientation="portrait" r:id="rId5"/>
  <ignoredErrors>
    <ignoredError sqref="J12:J13 J5 X4:X5 X12:X13" formulaRange="1"/>
    <ignoredError sqref="K6 Y6 AD6" formula="1"/>
  </ignoredError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K93"/>
  <sheetViews>
    <sheetView showGridLines="0" zoomScaleNormal="100" workbookViewId="0">
      <selection activeCell="S19" sqref="S19:AA19"/>
    </sheetView>
  </sheetViews>
  <sheetFormatPr defaultRowHeight="16.5"/>
  <cols>
    <col min="1" max="1" width="1.375" customWidth="1"/>
    <col min="2" max="2" width="20" customWidth="1"/>
    <col min="3" max="3" width="14.375" customWidth="1"/>
    <col min="4" max="4" width="5.125" style="534" customWidth="1"/>
    <col min="5" max="5" width="1.25" style="534" customWidth="1"/>
    <col min="6" max="6" width="12.875" style="534" hidden="1" customWidth="1"/>
    <col min="7" max="9" width="12.875" hidden="1" customWidth="1"/>
    <col min="10" max="10" width="5.125" style="534" hidden="1" customWidth="1"/>
    <col min="11" max="11" width="4" style="534" hidden="1" customWidth="1"/>
    <col min="12" max="12" width="20" customWidth="1"/>
    <col min="13" max="13" width="14.375" customWidth="1"/>
    <col min="14" max="14" width="7.5" customWidth="1"/>
    <col min="15" max="15" width="5.5" customWidth="1"/>
    <col min="16" max="16" width="0.625" customWidth="1"/>
    <col min="17" max="17" width="2.875" hidden="1" customWidth="1"/>
    <col min="18" max="18" width="3.625" hidden="1" customWidth="1"/>
    <col min="19" max="19" width="5.375" hidden="1" customWidth="1"/>
    <col min="20" max="20" width="2.75" hidden="1" customWidth="1"/>
    <col min="21" max="21" width="9.75" hidden="1" customWidth="1"/>
    <col min="22" max="22" width="3.625" hidden="1" customWidth="1"/>
    <col min="23" max="23" width="6.125" hidden="1" customWidth="1"/>
    <col min="24" max="24" width="5.625" hidden="1" customWidth="1"/>
    <col min="25" max="25" width="2.875" hidden="1" customWidth="1"/>
    <col min="26" max="26" width="3.625" hidden="1" customWidth="1"/>
    <col min="27" max="27" width="5.375" hidden="1" customWidth="1"/>
    <col min="28" max="28" width="2.75" hidden="1" customWidth="1"/>
    <col min="29" max="29" width="6.375" hidden="1" customWidth="1"/>
    <col min="30" max="30" width="3.625" hidden="1" customWidth="1"/>
    <col min="31" max="31" width="3" hidden="1" customWidth="1"/>
    <col min="32" max="32" width="3.625" hidden="1" customWidth="1"/>
    <col min="33" max="33" width="3.125" hidden="1" customWidth="1"/>
    <col min="34" max="34" width="6.875" hidden="1" customWidth="1"/>
    <col min="35" max="35" width="7.625" hidden="1" customWidth="1"/>
    <col min="36" max="36" width="0.75" hidden="1" customWidth="1"/>
    <col min="37" max="37" width="7.5" hidden="1" customWidth="1"/>
    <col min="38" max="38" width="2.75" hidden="1" customWidth="1"/>
    <col min="39" max="40" width="14.875" hidden="1" customWidth="1"/>
    <col min="41" max="41" width="3.625" hidden="1" customWidth="1"/>
    <col min="42" max="42" width="7" hidden="1" customWidth="1"/>
    <col min="43" max="43" width="4.875" hidden="1" customWidth="1"/>
    <col min="44" max="44" width="7.25" hidden="1" customWidth="1"/>
    <col min="45" max="45" width="18.25" hidden="1" customWidth="1"/>
    <col min="46" max="46" width="1" hidden="1" customWidth="1"/>
    <col min="47" max="47" width="4.5" customWidth="1"/>
  </cols>
  <sheetData>
    <row r="1" spans="1:63" ht="18.75" customHeight="1" thickBot="1">
      <c r="B1" s="741" t="s">
        <v>416</v>
      </c>
      <c r="C1" s="612"/>
      <c r="D1" s="259"/>
      <c r="E1" s="259"/>
      <c r="F1" s="259"/>
      <c r="G1" s="741" t="s">
        <v>417</v>
      </c>
      <c r="H1" s="612"/>
      <c r="I1" s="612" t="s">
        <v>418</v>
      </c>
      <c r="J1" s="259"/>
      <c r="K1" s="612"/>
      <c r="L1" s="1429" t="str">
        <f>"S.G.P 칸막이 A타입  "&amp;C23&amp;" m2"</f>
        <v>S.G.P 칸막이 A타입  0 m2</v>
      </c>
      <c r="M1" s="1429"/>
      <c r="N1" s="1429"/>
      <c r="O1" s="1429"/>
      <c r="P1" s="612"/>
      <c r="Q1" s="742"/>
      <c r="R1" s="742"/>
      <c r="S1" s="742"/>
      <c r="T1" s="742"/>
      <c r="U1" s="742"/>
      <c r="V1" s="742"/>
      <c r="W1" s="742"/>
      <c r="X1" s="742"/>
      <c r="Y1" s="74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1554" t="s">
        <v>419</v>
      </c>
      <c r="AL1" s="1554"/>
      <c r="AM1" s="1554"/>
      <c r="AN1" s="1554"/>
      <c r="AO1" s="1554"/>
      <c r="AP1" s="1554"/>
      <c r="AQ1" s="1554"/>
      <c r="AR1" s="1554"/>
      <c r="AS1" s="1554"/>
    </row>
    <row r="2" spans="1:63" ht="16.5" customHeight="1" thickTop="1">
      <c r="A2" s="904"/>
      <c r="B2" s="743" t="s">
        <v>420</v>
      </c>
      <c r="C2" s="744"/>
      <c r="D2" s="745" t="s">
        <v>378</v>
      </c>
      <c r="E2" s="612"/>
      <c r="F2" s="612">
        <f>IF(C8&gt;0,ROUNDUP(C2/(C19/1000),3),)</f>
        <v>0</v>
      </c>
      <c r="G2" s="612">
        <f>IF($C$8&gt;0, INT(C2/($C$19/1000)), )</f>
        <v>0</v>
      </c>
      <c r="H2" s="746">
        <f>F2-G2</f>
        <v>0</v>
      </c>
      <c r="I2" s="612">
        <f>ROUNDUP(H2*C19,-1)</f>
        <v>0</v>
      </c>
      <c r="J2" s="489"/>
      <c r="K2" s="612"/>
      <c r="L2" s="747" t="s">
        <v>77</v>
      </c>
      <c r="M2" s="748" t="s">
        <v>255</v>
      </c>
      <c r="N2" s="748" t="s">
        <v>249</v>
      </c>
      <c r="O2" s="749" t="s">
        <v>379</v>
      </c>
      <c r="P2" s="612"/>
      <c r="Q2" s="1555" t="s">
        <v>421</v>
      </c>
      <c r="R2" s="1558" t="s">
        <v>422</v>
      </c>
      <c r="S2" s="1559"/>
      <c r="T2" s="1560"/>
      <c r="U2" s="1561"/>
      <c r="V2" s="1561"/>
      <c r="W2" s="1562"/>
      <c r="X2" s="750" t="s">
        <v>423</v>
      </c>
      <c r="Y2" s="1563" t="s">
        <v>424</v>
      </c>
      <c r="Z2" s="1564" t="s">
        <v>422</v>
      </c>
      <c r="AA2" s="1565"/>
      <c r="AB2" s="1566" t="s">
        <v>425</v>
      </c>
      <c r="AC2" s="1567"/>
      <c r="AD2" s="1567"/>
      <c r="AE2" s="1567"/>
      <c r="AF2" s="1564" t="s">
        <v>426</v>
      </c>
      <c r="AG2" s="1565"/>
      <c r="AH2" s="1564" t="s">
        <v>427</v>
      </c>
      <c r="AI2" s="1565"/>
      <c r="AJ2" s="1582"/>
      <c r="AK2" s="1572" t="s">
        <v>428</v>
      </c>
      <c r="AL2" s="1572"/>
      <c r="AM2" s="1570"/>
      <c r="AN2" s="1571"/>
      <c r="AO2" s="1572" t="s">
        <v>422</v>
      </c>
      <c r="AP2" s="1572"/>
      <c r="AQ2" s="1583" t="s">
        <v>425</v>
      </c>
      <c r="AR2" s="1583"/>
      <c r="AS2" s="1583"/>
      <c r="AU2" s="1584" t="s">
        <v>429</v>
      </c>
      <c r="AV2" s="1261"/>
      <c r="AW2" s="1261"/>
      <c r="AX2" s="1261"/>
      <c r="AY2" s="1261"/>
      <c r="AZ2" s="1261"/>
      <c r="BA2" s="1261"/>
      <c r="BB2" s="1261"/>
      <c r="BC2" s="1261"/>
    </row>
    <row r="3" spans="1:63" ht="16.5" customHeight="1">
      <c r="B3" s="751" t="s">
        <v>430</v>
      </c>
      <c r="C3" s="752"/>
      <c r="D3" s="753" t="s">
        <v>378</v>
      </c>
      <c r="E3" s="612"/>
      <c r="F3" s="612">
        <f>IF(C8&gt;0,ROUNDUP(C3/(C19/1000),3),)</f>
        <v>0</v>
      </c>
      <c r="G3" s="612">
        <f t="shared" ref="G3:G5" si="0">IF($C$8&gt;0, INT(C3/($C$19/1000)), )</f>
        <v>0</v>
      </c>
      <c r="H3" s="746">
        <f>F3-G3</f>
        <v>0</v>
      </c>
      <c r="I3" s="612">
        <f>ROUNDUP(H3*C19,-1)</f>
        <v>0</v>
      </c>
      <c r="J3" s="489"/>
      <c r="K3" s="615"/>
      <c r="L3" s="754" t="str">
        <f>IF(C9&gt;0,C9&amp;"mm 스터드","스터드 두께 확인")</f>
        <v>스터드 두께 확인</v>
      </c>
      <c r="M3" s="755">
        <f>C7</f>
        <v>0</v>
      </c>
      <c r="N3" s="756">
        <f>IF(C8&gt;0,SUM(G2:G5)+COUNTIF(G2:G5,"&gt;0")*2+C12,)</f>
        <v>0</v>
      </c>
      <c r="O3" s="757" t="s">
        <v>265</v>
      </c>
      <c r="P3" s="612"/>
      <c r="Q3" s="1556"/>
      <c r="R3" s="1558" t="s">
        <v>431</v>
      </c>
      <c r="S3" s="1559"/>
      <c r="T3" s="1574"/>
      <c r="U3" s="1574"/>
      <c r="V3" s="1574"/>
      <c r="W3" s="1574"/>
      <c r="X3" s="1574"/>
      <c r="Y3" s="1563"/>
      <c r="Z3" s="1575" t="s">
        <v>432</v>
      </c>
      <c r="AA3" s="1576"/>
      <c r="AB3" s="1577" t="s">
        <v>433</v>
      </c>
      <c r="AC3" s="1578"/>
      <c r="AD3" s="1578"/>
      <c r="AE3" s="1579"/>
      <c r="AF3" s="1580" t="s">
        <v>434</v>
      </c>
      <c r="AG3" s="1581"/>
      <c r="AH3" s="1577" t="s">
        <v>435</v>
      </c>
      <c r="AI3" s="1579"/>
      <c r="AJ3" s="1582"/>
      <c r="AK3" s="1572" t="s">
        <v>436</v>
      </c>
      <c r="AL3" s="1572"/>
      <c r="AM3" s="1570"/>
      <c r="AN3" s="1571"/>
      <c r="AO3" s="1551" t="s">
        <v>437</v>
      </c>
      <c r="AP3" s="1552"/>
      <c r="AQ3" s="1553"/>
      <c r="AR3" s="1553"/>
      <c r="AS3" s="1553"/>
      <c r="AU3" s="1261" t="s">
        <v>438</v>
      </c>
      <c r="AV3" s="1261"/>
      <c r="AW3" s="1261"/>
      <c r="AX3" s="1261"/>
      <c r="AY3" s="1261"/>
      <c r="AZ3" s="1261"/>
      <c r="BA3" s="1261"/>
      <c r="BB3" s="1261"/>
      <c r="BC3" s="1261"/>
    </row>
    <row r="4" spans="1:63" ht="16.5" customHeight="1">
      <c r="B4" s="751" t="s">
        <v>439</v>
      </c>
      <c r="C4" s="752"/>
      <c r="D4" s="753" t="s">
        <v>378</v>
      </c>
      <c r="E4" s="612"/>
      <c r="F4" s="612">
        <f>IF(C8&gt;0,ROUNDUP(C4/(C19/1000),3),)</f>
        <v>0</v>
      </c>
      <c r="G4" s="612">
        <f t="shared" si="0"/>
        <v>0</v>
      </c>
      <c r="H4" s="746">
        <f>F4-G4</f>
        <v>0</v>
      </c>
      <c r="I4" s="612">
        <f>ROUNDUP(H4*C19,-1)</f>
        <v>0</v>
      </c>
      <c r="J4" s="489"/>
      <c r="K4" s="615"/>
      <c r="L4" s="758" t="s">
        <v>440</v>
      </c>
      <c r="M4" s="755">
        <f>C22</f>
        <v>0</v>
      </c>
      <c r="N4" s="756">
        <f>IF(C8&gt;0,G6-(C10*2)-(C11*4),)</f>
        <v>0</v>
      </c>
      <c r="O4" s="757" t="s">
        <v>201</v>
      </c>
      <c r="P4" s="612"/>
      <c r="Q4" s="1556"/>
      <c r="R4" s="1558" t="s">
        <v>426</v>
      </c>
      <c r="S4" s="1559"/>
      <c r="T4" s="1568"/>
      <c r="U4" s="1568"/>
      <c r="V4" s="896" t="s">
        <v>441</v>
      </c>
      <c r="W4" s="1568"/>
      <c r="X4" s="1568"/>
      <c r="Y4" s="1563"/>
      <c r="Z4" s="1564" t="s">
        <v>431</v>
      </c>
      <c r="AA4" s="1565"/>
      <c r="AB4" s="1566" t="s">
        <v>442</v>
      </c>
      <c r="AC4" s="1567"/>
      <c r="AD4" s="1567"/>
      <c r="AE4" s="1567"/>
      <c r="AF4" s="1567"/>
      <c r="AG4" s="1567"/>
      <c r="AH4" s="1567"/>
      <c r="AI4" s="1569"/>
      <c r="AJ4" s="1582"/>
      <c r="AK4" s="1551" t="s">
        <v>443</v>
      </c>
      <c r="AL4" s="1552"/>
      <c r="AM4" s="1570"/>
      <c r="AN4" s="1571"/>
      <c r="AO4" s="1572" t="s">
        <v>444</v>
      </c>
      <c r="AP4" s="1572"/>
      <c r="AQ4" s="1573"/>
      <c r="AR4" s="1573"/>
      <c r="AS4" s="1573"/>
      <c r="AU4" s="1585" t="s">
        <v>445</v>
      </c>
      <c r="AV4" s="1585"/>
      <c r="AW4" s="1585"/>
      <c r="AX4" s="1585"/>
      <c r="AY4" s="1585"/>
      <c r="AZ4" s="1585"/>
      <c r="BA4" s="1585"/>
      <c r="BB4" s="1585"/>
      <c r="BC4" s="1585"/>
      <c r="BD4" s="1585"/>
    </row>
    <row r="5" spans="1:63" ht="16.5" customHeight="1" thickBot="1">
      <c r="B5" s="759" t="s">
        <v>446</v>
      </c>
      <c r="C5" s="760"/>
      <c r="D5" s="761" t="s">
        <v>378</v>
      </c>
      <c r="E5" s="612"/>
      <c r="F5" s="612">
        <f>IF(C8&gt;0,ROUNDUP(C5/(C19/1000),3),)</f>
        <v>0</v>
      </c>
      <c r="G5" s="612">
        <f t="shared" si="0"/>
        <v>0</v>
      </c>
      <c r="H5" s="746">
        <f>F5-G5</f>
        <v>0</v>
      </c>
      <c r="I5" s="612">
        <f>ROUNDUP(H5*C19,-1)</f>
        <v>0</v>
      </c>
      <c r="J5" s="615"/>
      <c r="K5" s="615"/>
      <c r="L5" s="1586" t="s">
        <v>447</v>
      </c>
      <c r="M5" s="755">
        <f>IF(I2&gt;0,I2,)</f>
        <v>0</v>
      </c>
      <c r="N5" s="756">
        <f>IF(I2&gt;0,C8,)</f>
        <v>0</v>
      </c>
      <c r="O5" s="757" t="s">
        <v>201</v>
      </c>
      <c r="P5" s="612"/>
      <c r="Q5" s="1556"/>
      <c r="R5" s="1558" t="s">
        <v>448</v>
      </c>
      <c r="S5" s="1559"/>
      <c r="T5" s="1587"/>
      <c r="U5" s="1588"/>
      <c r="V5" s="1588"/>
      <c r="W5" s="1588"/>
      <c r="X5" s="1589"/>
      <c r="Y5" s="1563"/>
      <c r="Z5" s="1564" t="s">
        <v>449</v>
      </c>
      <c r="AA5" s="1565"/>
      <c r="AB5" s="1590" t="str">
        <f ca="1">TEXT(NOW(), "yymmdd_hhmm")</f>
        <v>260504 1016</v>
      </c>
      <c r="AC5" s="1567"/>
      <c r="AD5" s="1567"/>
      <c r="AE5" s="1569"/>
      <c r="AF5" s="1591" t="s">
        <v>450</v>
      </c>
      <c r="AG5" s="1591"/>
      <c r="AH5" s="1592"/>
      <c r="AI5" s="1592"/>
      <c r="AJ5" s="1582"/>
      <c r="AK5" s="1572" t="s">
        <v>450</v>
      </c>
      <c r="AL5" s="1572"/>
      <c r="AM5" s="1570"/>
      <c r="AN5" s="1571"/>
      <c r="AO5" s="1572" t="s">
        <v>448</v>
      </c>
      <c r="AP5" s="1572"/>
      <c r="AQ5" s="1593">
        <v>46031</v>
      </c>
      <c r="AR5" s="1594"/>
      <c r="AS5" s="898" t="str">
        <f ca="1">TEXT(NOW(), "yymmdd_hhmm")</f>
        <v>260504 1016</v>
      </c>
      <c r="AU5" s="1261" t="s">
        <v>451</v>
      </c>
      <c r="AV5" s="1261"/>
      <c r="AW5" s="1261"/>
      <c r="AX5" s="1261"/>
      <c r="AY5" s="1261"/>
      <c r="AZ5" s="1261"/>
      <c r="BA5" s="1261"/>
      <c r="BB5" s="1261"/>
      <c r="BC5" s="1261"/>
    </row>
    <row r="6" spans="1:63" ht="16.5" customHeight="1" thickTop="1" thickBot="1">
      <c r="B6" s="762" t="s">
        <v>452</v>
      </c>
      <c r="C6" s="763">
        <f>SUM(C2:C5)</f>
        <v>0</v>
      </c>
      <c r="D6" s="764" t="s">
        <v>378</v>
      </c>
      <c r="E6" s="612"/>
      <c r="F6" s="615"/>
      <c r="G6" s="765">
        <f>SUM(G2:G5)*C8</f>
        <v>0</v>
      </c>
      <c r="H6" s="766"/>
      <c r="I6" s="766"/>
      <c r="J6" s="615"/>
      <c r="K6" s="615"/>
      <c r="L6" s="1586"/>
      <c r="M6" s="755">
        <f>IF(I3&gt;0,I3,)</f>
        <v>0</v>
      </c>
      <c r="N6" s="756">
        <f>IF(I3&gt;0,C8,)</f>
        <v>0</v>
      </c>
      <c r="O6" s="757" t="s">
        <v>201</v>
      </c>
      <c r="P6" s="612"/>
      <c r="Q6" s="1557"/>
      <c r="R6" s="1558" t="s">
        <v>453</v>
      </c>
      <c r="S6" s="1559"/>
      <c r="T6" s="1595"/>
      <c r="U6" s="1596"/>
      <c r="V6" s="1596"/>
      <c r="W6" s="1596"/>
      <c r="X6" s="1596"/>
      <c r="Y6" s="1596"/>
      <c r="Z6" s="1596"/>
      <c r="AA6" s="1596"/>
      <c r="AB6" s="1597" t="s">
        <v>454</v>
      </c>
      <c r="AC6" s="1597"/>
      <c r="AD6" s="1597"/>
      <c r="AE6" s="1553"/>
      <c r="AF6" s="1553"/>
      <c r="AG6" s="1553"/>
      <c r="AH6" s="1553"/>
      <c r="AI6" s="1553"/>
      <c r="AJ6" s="1582"/>
      <c r="AK6" s="1572" t="s">
        <v>455</v>
      </c>
      <c r="AL6" s="1572"/>
      <c r="AM6" s="1570"/>
      <c r="AN6" s="1571"/>
      <c r="AO6" s="1551" t="s">
        <v>456</v>
      </c>
      <c r="AP6" s="1597"/>
      <c r="AQ6" s="1573"/>
      <c r="AR6" s="1573"/>
      <c r="AS6" s="1573"/>
      <c r="AU6" s="1261" t="s">
        <v>457</v>
      </c>
      <c r="AV6" s="1261"/>
      <c r="AW6" s="1261"/>
      <c r="AX6" s="1261"/>
      <c r="AY6" s="1261"/>
      <c r="AZ6" s="1261"/>
      <c r="BA6" s="1261"/>
      <c r="BB6" s="1261"/>
      <c r="BC6" s="1261"/>
    </row>
    <row r="7" spans="1:63" ht="16.5" customHeight="1" thickTop="1">
      <c r="B7" s="767" t="s">
        <v>458</v>
      </c>
      <c r="C7" s="768"/>
      <c r="D7" s="769" t="s">
        <v>384</v>
      </c>
      <c r="E7" s="615"/>
      <c r="F7" s="615"/>
      <c r="G7" s="765"/>
      <c r="H7" s="766"/>
      <c r="I7" s="766"/>
      <c r="J7" s="615"/>
      <c r="K7" s="615"/>
      <c r="L7" s="1586"/>
      <c r="M7" s="755">
        <f>IF(I4&gt;0,I4,)</f>
        <v>0</v>
      </c>
      <c r="N7" s="756">
        <f>IF(I4&gt;0,C8,)</f>
        <v>0</v>
      </c>
      <c r="O7" s="757" t="s">
        <v>201</v>
      </c>
      <c r="P7" s="612"/>
      <c r="Q7" s="1598" t="s">
        <v>459</v>
      </c>
      <c r="R7" s="1598"/>
      <c r="S7" s="1599" t="s">
        <v>77</v>
      </c>
      <c r="T7" s="1600"/>
      <c r="U7" s="1600"/>
      <c r="V7" s="1600"/>
      <c r="W7" s="1601"/>
      <c r="X7" s="1599" t="s">
        <v>460</v>
      </c>
      <c r="Y7" s="1600"/>
      <c r="Z7" s="1600"/>
      <c r="AA7" s="1601"/>
      <c r="AB7" s="1598" t="s">
        <v>461</v>
      </c>
      <c r="AC7" s="1598"/>
      <c r="AD7" s="1599" t="s">
        <v>379</v>
      </c>
      <c r="AE7" s="1601"/>
      <c r="AF7" s="1599" t="s">
        <v>462</v>
      </c>
      <c r="AG7" s="1600"/>
      <c r="AH7" s="1600"/>
      <c r="AI7" s="1601"/>
      <c r="AJ7" s="1582"/>
      <c r="AK7" s="1602" t="s">
        <v>463</v>
      </c>
      <c r="AL7" s="1603"/>
      <c r="AM7" s="1604"/>
      <c r="AN7" s="1602" t="s">
        <v>460</v>
      </c>
      <c r="AO7" s="1604"/>
      <c r="AP7" s="1605" t="s">
        <v>249</v>
      </c>
      <c r="AQ7" s="1605"/>
      <c r="AR7" s="899" t="s">
        <v>379</v>
      </c>
      <c r="AS7" s="899" t="s">
        <v>462</v>
      </c>
      <c r="AU7" s="1261" t="s">
        <v>464</v>
      </c>
      <c r="AV7" s="1261"/>
      <c r="AW7" s="1261"/>
      <c r="AX7" s="1261"/>
      <c r="AY7" s="1261"/>
      <c r="AZ7" s="1261"/>
      <c r="BA7" s="1261"/>
      <c r="BB7" s="1261"/>
      <c r="BC7" s="1261"/>
    </row>
    <row r="8" spans="1:63" ht="16.5" customHeight="1">
      <c r="B8" s="770" t="s">
        <v>390</v>
      </c>
      <c r="C8" s="768">
        <v>2</v>
      </c>
      <c r="D8" s="769" t="s">
        <v>391</v>
      </c>
      <c r="E8" s="615"/>
      <c r="F8" s="615"/>
      <c r="G8" s="612"/>
      <c r="H8" s="612"/>
      <c r="I8" s="771"/>
      <c r="J8" s="489"/>
      <c r="K8" s="615"/>
      <c r="L8" s="1586"/>
      <c r="M8" s="755">
        <f>IF(I5&gt;0,I5,)</f>
        <v>0</v>
      </c>
      <c r="N8" s="756">
        <f>IF(I5&gt;0,C8,)</f>
        <v>0</v>
      </c>
      <c r="O8" s="757" t="s">
        <v>201</v>
      </c>
      <c r="P8" s="612"/>
      <c r="Q8" s="1564" t="str">
        <f>IF(AI8=1,"",IF(Y8="", "", MAX($B$10:Q10)+1))</f>
        <v/>
      </c>
      <c r="R8" s="1565"/>
      <c r="S8" s="1606" t="str">
        <f>L3</f>
        <v>스터드 두께 확인</v>
      </c>
      <c r="T8" s="1607"/>
      <c r="U8" s="1607"/>
      <c r="V8" s="1607"/>
      <c r="W8" s="1608"/>
      <c r="X8" s="1606">
        <f>M3</f>
        <v>0</v>
      </c>
      <c r="Y8" s="1567"/>
      <c r="Z8" s="1567"/>
      <c r="AA8" s="1569"/>
      <c r="AB8" s="1609">
        <f t="shared" ref="AB8:AB21" si="1">N3</f>
        <v>0</v>
      </c>
      <c r="AC8" s="1610"/>
      <c r="AD8" s="1611" t="str">
        <f>O3</f>
        <v>개</v>
      </c>
      <c r="AE8" s="1611"/>
      <c r="AF8" s="1612"/>
      <c r="AG8" s="1613"/>
      <c r="AH8" s="1613"/>
      <c r="AI8" s="1614"/>
      <c r="AJ8" s="1582"/>
      <c r="AK8" s="1606" t="str">
        <f>L3</f>
        <v>스터드 두께 확인</v>
      </c>
      <c r="AL8" s="1567"/>
      <c r="AM8" s="1569"/>
      <c r="AN8" s="1606">
        <f t="shared" ref="AN8:AN22" si="2">M3</f>
        <v>0</v>
      </c>
      <c r="AO8" s="1569"/>
      <c r="AP8" s="1615">
        <f t="shared" ref="AP8:AP22" si="3">N3</f>
        <v>0</v>
      </c>
      <c r="AQ8" s="1568"/>
      <c r="AR8" s="772" t="str">
        <f t="shared" ref="AR8:AR22" si="4">O3</f>
        <v>개</v>
      </c>
      <c r="AS8" s="750"/>
      <c r="AU8" s="1261" t="s">
        <v>465</v>
      </c>
      <c r="AV8" s="1261"/>
      <c r="AW8" s="1261"/>
      <c r="AX8" s="1261"/>
      <c r="AY8" s="1261"/>
      <c r="AZ8" s="1261"/>
      <c r="BA8" s="1261"/>
      <c r="BB8" s="1261"/>
      <c r="BC8" s="1261"/>
    </row>
    <row r="9" spans="1:63" ht="16.5" customHeight="1">
      <c r="B9" s="770" t="s">
        <v>466</v>
      </c>
      <c r="C9" s="768"/>
      <c r="D9" s="769" t="s">
        <v>384</v>
      </c>
      <c r="E9" s="615"/>
      <c r="F9" s="615"/>
      <c r="G9" s="612"/>
      <c r="H9" s="612"/>
      <c r="I9" s="773"/>
      <c r="J9" s="489"/>
      <c r="K9" s="615"/>
      <c r="L9" s="758" t="s">
        <v>467</v>
      </c>
      <c r="M9" s="755">
        <f>IF((C10+C11)&gt;0,M4-2000,)</f>
        <v>0</v>
      </c>
      <c r="N9" s="756">
        <f>(C10*2)+(C11*4)</f>
        <v>0</v>
      </c>
      <c r="O9" s="757" t="s">
        <v>201</v>
      </c>
      <c r="P9" s="612"/>
      <c r="Q9" s="1564" t="str">
        <f>IF(AI9=1,"",IF(Y9="", "", MAX($B$10:Q11)+1))</f>
        <v/>
      </c>
      <c r="R9" s="1565"/>
      <c r="S9" s="1606" t="str">
        <f t="shared" ref="S9:S22" si="5">L4</f>
        <v>S.G.P 판넬</v>
      </c>
      <c r="T9" s="1607"/>
      <c r="U9" s="1607"/>
      <c r="V9" s="1607"/>
      <c r="W9" s="1608"/>
      <c r="X9" s="1606">
        <f t="shared" ref="X9:X22" si="6">M4</f>
        <v>0</v>
      </c>
      <c r="Y9" s="1567"/>
      <c r="Z9" s="1567"/>
      <c r="AA9" s="1569"/>
      <c r="AB9" s="1609">
        <f t="shared" si="1"/>
        <v>0</v>
      </c>
      <c r="AC9" s="1610"/>
      <c r="AD9" s="1611" t="str">
        <f t="shared" ref="AD9:AD22" si="7">O4</f>
        <v>장</v>
      </c>
      <c r="AE9" s="1611"/>
      <c r="AF9" s="1612"/>
      <c r="AG9" s="1613"/>
      <c r="AH9" s="1613"/>
      <c r="AI9" s="1614"/>
      <c r="AJ9" s="1582"/>
      <c r="AK9" s="1606" t="str">
        <f>L4</f>
        <v>S.G.P 판넬</v>
      </c>
      <c r="AL9" s="1567"/>
      <c r="AM9" s="1569"/>
      <c r="AN9" s="1606">
        <f t="shared" si="2"/>
        <v>0</v>
      </c>
      <c r="AO9" s="1569"/>
      <c r="AP9" s="1615">
        <f t="shared" si="3"/>
        <v>0</v>
      </c>
      <c r="AQ9" s="1568"/>
      <c r="AR9" s="772" t="str">
        <f t="shared" si="4"/>
        <v>장</v>
      </c>
      <c r="AS9" s="750"/>
      <c r="AU9" s="1261"/>
      <c r="AV9" s="1261"/>
      <c r="AW9" s="1261"/>
      <c r="AX9" s="1261"/>
      <c r="AY9" s="1261"/>
      <c r="AZ9" s="1261"/>
      <c r="BA9" s="1261"/>
      <c r="BB9" s="1261"/>
      <c r="BC9" s="1261"/>
      <c r="BF9" s="1616"/>
      <c r="BG9" s="1616"/>
      <c r="BH9" s="1616"/>
      <c r="BI9" s="1616"/>
      <c r="BJ9" s="1616"/>
      <c r="BK9" s="1616"/>
    </row>
    <row r="10" spans="1:63" ht="16.5" customHeight="1">
      <c r="B10" s="770" t="s">
        <v>468</v>
      </c>
      <c r="C10" s="774"/>
      <c r="D10" s="769" t="s">
        <v>265</v>
      </c>
      <c r="E10" s="615"/>
      <c r="F10" s="615"/>
      <c r="G10" s="612"/>
      <c r="H10" s="612"/>
      <c r="I10" s="775"/>
      <c r="J10" s="489"/>
      <c r="K10" s="615"/>
      <c r="L10" s="776" t="s">
        <v>469</v>
      </c>
      <c r="M10" s="777">
        <f>IF(C9&gt;0,"880×2100",)</f>
        <v>0</v>
      </c>
      <c r="N10" s="756">
        <f>C10</f>
        <v>0</v>
      </c>
      <c r="O10" s="757" t="s">
        <v>265</v>
      </c>
      <c r="P10" s="612"/>
      <c r="Q10" s="1564" t="str">
        <f>IF(AI10=1,"",IF(Y10="", "", MAX($B$10:Q12)+1))</f>
        <v/>
      </c>
      <c r="R10" s="1565"/>
      <c r="S10" s="1606" t="str">
        <f t="shared" si="5"/>
        <v>S.G.P 판넬 쪽판</v>
      </c>
      <c r="T10" s="1607"/>
      <c r="U10" s="1607"/>
      <c r="V10" s="1607"/>
      <c r="W10" s="1608"/>
      <c r="X10" s="1606">
        <f t="shared" si="6"/>
        <v>0</v>
      </c>
      <c r="Y10" s="1567"/>
      <c r="Z10" s="1567"/>
      <c r="AA10" s="1569"/>
      <c r="AB10" s="1609">
        <f t="shared" si="1"/>
        <v>0</v>
      </c>
      <c r="AC10" s="1610"/>
      <c r="AD10" s="1611" t="str">
        <f t="shared" si="7"/>
        <v>장</v>
      </c>
      <c r="AE10" s="1611"/>
      <c r="AF10" s="1612"/>
      <c r="AG10" s="1613"/>
      <c r="AH10" s="1613"/>
      <c r="AI10" s="1614"/>
      <c r="AJ10" s="1582"/>
      <c r="AK10" s="1617" t="str">
        <f>L5</f>
        <v>S.G.P 판넬 쪽판</v>
      </c>
      <c r="AL10" s="1618"/>
      <c r="AM10" s="1619"/>
      <c r="AN10" s="1606">
        <f t="shared" si="2"/>
        <v>0</v>
      </c>
      <c r="AO10" s="1569"/>
      <c r="AP10" s="1615">
        <f t="shared" si="3"/>
        <v>0</v>
      </c>
      <c r="AQ10" s="1568"/>
      <c r="AR10" s="772" t="str">
        <f t="shared" si="4"/>
        <v>장</v>
      </c>
      <c r="AS10" s="750"/>
      <c r="AX10" s="1616" t="s">
        <v>171</v>
      </c>
      <c r="AY10" s="1616"/>
      <c r="AZ10" s="1616"/>
      <c r="BA10" s="1616"/>
      <c r="BB10" s="1616"/>
      <c r="BC10" s="1616"/>
      <c r="BF10" s="1616"/>
      <c r="BG10" s="1616"/>
      <c r="BH10" s="1616"/>
      <c r="BI10" s="1616"/>
      <c r="BJ10" s="1616"/>
      <c r="BK10" s="1616"/>
    </row>
    <row r="11" spans="1:63" ht="16.5" customHeight="1">
      <c r="B11" s="770" t="s">
        <v>470</v>
      </c>
      <c r="C11" s="774"/>
      <c r="D11" s="769" t="s">
        <v>265</v>
      </c>
      <c r="E11" s="615"/>
      <c r="F11" s="615"/>
      <c r="G11" s="612"/>
      <c r="H11" s="612"/>
      <c r="I11" s="771"/>
      <c r="J11" s="489"/>
      <c r="K11" s="615"/>
      <c r="L11" s="776" t="s">
        <v>471</v>
      </c>
      <c r="M11" s="777">
        <f>IF(C9&gt;0,"1770×2100",)</f>
        <v>0</v>
      </c>
      <c r="N11" s="778">
        <f>C11</f>
        <v>0</v>
      </c>
      <c r="O11" s="757" t="s">
        <v>265</v>
      </c>
      <c r="P11" s="612"/>
      <c r="Q11" s="1564" t="str">
        <f>IF(AI11=1,"",IF(Y11="", "", MAX($B$10:Q13)+1))</f>
        <v/>
      </c>
      <c r="R11" s="1565"/>
      <c r="S11" s="1606">
        <f t="shared" si="5"/>
        <v>0</v>
      </c>
      <c r="T11" s="1607"/>
      <c r="U11" s="1607"/>
      <c r="V11" s="1607"/>
      <c r="W11" s="1608"/>
      <c r="X11" s="1606">
        <f t="shared" si="6"/>
        <v>0</v>
      </c>
      <c r="Y11" s="1567"/>
      <c r="Z11" s="1567"/>
      <c r="AA11" s="1569"/>
      <c r="AB11" s="1609">
        <f t="shared" si="1"/>
        <v>0</v>
      </c>
      <c r="AC11" s="1610"/>
      <c r="AD11" s="1611" t="str">
        <f t="shared" si="7"/>
        <v>장</v>
      </c>
      <c r="AE11" s="1611"/>
      <c r="AF11" s="1612"/>
      <c r="AG11" s="1613"/>
      <c r="AH11" s="1613"/>
      <c r="AI11" s="1614"/>
      <c r="AJ11" s="1582"/>
      <c r="AK11" s="1620"/>
      <c r="AL11" s="1621"/>
      <c r="AM11" s="1622"/>
      <c r="AN11" s="1606">
        <f t="shared" si="2"/>
        <v>0</v>
      </c>
      <c r="AO11" s="1569"/>
      <c r="AP11" s="1615">
        <f t="shared" si="3"/>
        <v>0</v>
      </c>
      <c r="AQ11" s="1568"/>
      <c r="AR11" s="772" t="str">
        <f t="shared" si="4"/>
        <v>장</v>
      </c>
      <c r="AS11" s="750"/>
      <c r="AX11" s="1616"/>
      <c r="AY11" s="1616"/>
      <c r="AZ11" s="1616"/>
      <c r="BA11" s="1616"/>
      <c r="BB11" s="1616"/>
      <c r="BC11" s="1616"/>
      <c r="BF11" s="1261"/>
      <c r="BG11" s="1261"/>
      <c r="BH11" s="1261"/>
      <c r="BI11" s="1261"/>
      <c r="BJ11" s="882"/>
      <c r="BK11" s="882"/>
    </row>
    <row r="12" spans="1:63" ht="16.5" customHeight="1" thickBot="1">
      <c r="B12" s="779" t="s">
        <v>396</v>
      </c>
      <c r="C12" s="780"/>
      <c r="D12" s="781"/>
      <c r="E12" s="615"/>
      <c r="F12" s="615"/>
      <c r="G12" s="612"/>
      <c r="H12" s="612"/>
      <c r="I12" s="782"/>
      <c r="J12" s="489"/>
      <c r="K12" s="615"/>
      <c r="L12" s="776" t="s">
        <v>472</v>
      </c>
      <c r="M12" s="755" t="str">
        <f>IF(C9&gt;0,C9+25&amp;" 형","")</f>
        <v/>
      </c>
      <c r="N12" s="756">
        <f>ROUNDUP(C6/3,0)</f>
        <v>0</v>
      </c>
      <c r="O12" s="757" t="s">
        <v>265</v>
      </c>
      <c r="P12" s="612"/>
      <c r="Q12" s="1564" t="str">
        <f>IF(AI12=1,"",IF(Y12="", "", MAX($B$10:Q14)+1))</f>
        <v/>
      </c>
      <c r="R12" s="1565"/>
      <c r="S12" s="1606">
        <f t="shared" si="5"/>
        <v>0</v>
      </c>
      <c r="T12" s="1607"/>
      <c r="U12" s="1607"/>
      <c r="V12" s="1607"/>
      <c r="W12" s="1608"/>
      <c r="X12" s="1606">
        <f t="shared" si="6"/>
        <v>0</v>
      </c>
      <c r="Y12" s="1567"/>
      <c r="Z12" s="1567"/>
      <c r="AA12" s="1569"/>
      <c r="AB12" s="1609">
        <f t="shared" si="1"/>
        <v>0</v>
      </c>
      <c r="AC12" s="1610"/>
      <c r="AD12" s="1611" t="str">
        <f t="shared" si="7"/>
        <v>장</v>
      </c>
      <c r="AE12" s="1611"/>
      <c r="AF12" s="1612"/>
      <c r="AG12" s="1613"/>
      <c r="AH12" s="1613"/>
      <c r="AI12" s="1614"/>
      <c r="AJ12" s="1582"/>
      <c r="AK12" s="1620"/>
      <c r="AL12" s="1621"/>
      <c r="AM12" s="1622"/>
      <c r="AN12" s="1606">
        <f t="shared" si="2"/>
        <v>0</v>
      </c>
      <c r="AO12" s="1569"/>
      <c r="AP12" s="1615">
        <f t="shared" si="3"/>
        <v>0</v>
      </c>
      <c r="AQ12" s="1568"/>
      <c r="AR12" s="772" t="str">
        <f t="shared" si="4"/>
        <v>장</v>
      </c>
      <c r="AS12" s="750"/>
      <c r="AX12" s="1261" t="s">
        <v>172</v>
      </c>
      <c r="AY12" s="1261"/>
      <c r="AZ12" s="1261"/>
      <c r="BA12" s="1261"/>
      <c r="BB12" s="882"/>
      <c r="BC12" s="882"/>
      <c r="BF12" s="1261"/>
      <c r="BG12" s="1261"/>
      <c r="BH12" s="1261"/>
      <c r="BI12" s="1261"/>
      <c r="BJ12" s="882"/>
      <c r="BK12" s="882"/>
    </row>
    <row r="13" spans="1:63" ht="16.5" customHeight="1" thickTop="1">
      <c r="B13" s="783"/>
      <c r="C13" s="784"/>
      <c r="D13" s="785"/>
      <c r="E13" s="489"/>
      <c r="F13" s="612"/>
      <c r="G13" s="786"/>
      <c r="H13" s="787"/>
      <c r="I13" s="787"/>
      <c r="J13" s="612"/>
      <c r="K13" s="615"/>
      <c r="L13" s="776" t="s">
        <v>473</v>
      </c>
      <c r="M13" s="755">
        <f>IF(C9&gt;0,C9+25&amp;" 형",)</f>
        <v>0</v>
      </c>
      <c r="N13" s="756">
        <f>IF(C8&gt;0,ROUNDUP(C7/3000,0)+(COUNTIF(G2:G5,"&gt;0")*2),)</f>
        <v>0</v>
      </c>
      <c r="O13" s="757" t="s">
        <v>265</v>
      </c>
      <c r="P13" s="612"/>
      <c r="Q13" s="1564" t="str">
        <f>IF(AI13=1,"",IF(Y13="", "", MAX($B$10:Q15)+1))</f>
        <v/>
      </c>
      <c r="R13" s="1565"/>
      <c r="S13" s="1606">
        <f t="shared" si="5"/>
        <v>0</v>
      </c>
      <c r="T13" s="1607"/>
      <c r="U13" s="1607"/>
      <c r="V13" s="1607"/>
      <c r="W13" s="1608"/>
      <c r="X13" s="1606">
        <f t="shared" si="6"/>
        <v>0</v>
      </c>
      <c r="Y13" s="1567"/>
      <c r="Z13" s="1567"/>
      <c r="AA13" s="1569"/>
      <c r="AB13" s="1609">
        <f t="shared" si="1"/>
        <v>0</v>
      </c>
      <c r="AC13" s="1610"/>
      <c r="AD13" s="1611" t="str">
        <f t="shared" si="7"/>
        <v>장</v>
      </c>
      <c r="AE13" s="1611"/>
      <c r="AF13" s="1612"/>
      <c r="AG13" s="1613"/>
      <c r="AH13" s="1613"/>
      <c r="AI13" s="1614"/>
      <c r="AJ13" s="1582"/>
      <c r="AK13" s="1623"/>
      <c r="AL13" s="1624"/>
      <c r="AM13" s="1625"/>
      <c r="AN13" s="1606">
        <f t="shared" si="2"/>
        <v>0</v>
      </c>
      <c r="AO13" s="1569"/>
      <c r="AP13" s="1615">
        <f t="shared" si="3"/>
        <v>0</v>
      </c>
      <c r="AQ13" s="1568"/>
      <c r="AR13" s="772" t="str">
        <f t="shared" si="4"/>
        <v>장</v>
      </c>
      <c r="AS13" s="750"/>
      <c r="AX13" s="1261" t="s">
        <v>174</v>
      </c>
      <c r="AY13" s="1261"/>
      <c r="AZ13" s="1261"/>
      <c r="BA13" s="1261"/>
      <c r="BB13" s="882"/>
      <c r="BC13" s="882"/>
      <c r="BF13" s="1626"/>
      <c r="BG13" s="1261"/>
      <c r="BH13" s="1261"/>
      <c r="BI13" s="1261"/>
      <c r="BJ13" s="882"/>
      <c r="BK13" s="882"/>
    </row>
    <row r="14" spans="1:63">
      <c r="B14" s="788"/>
      <c r="C14" s="750"/>
      <c r="D14" s="789"/>
      <c r="E14" s="489"/>
      <c r="F14" s="612"/>
      <c r="G14" s="786"/>
      <c r="H14" s="787"/>
      <c r="I14" s="787"/>
      <c r="J14" s="612"/>
      <c r="K14" s="615"/>
      <c r="L14" s="776" t="s">
        <v>474</v>
      </c>
      <c r="M14" s="755">
        <f>IF(C9&gt;0,C9&amp;" 형",)</f>
        <v>0</v>
      </c>
      <c r="N14" s="756">
        <f>ROUNDUP(C6/3,0)</f>
        <v>0</v>
      </c>
      <c r="O14" s="757" t="s">
        <v>265</v>
      </c>
      <c r="P14" s="612"/>
      <c r="Q14" s="1564" t="str">
        <f>IF(AI14=1,"",IF(Y14="", "", MAX($B$10:Q16)+1))</f>
        <v/>
      </c>
      <c r="R14" s="1565"/>
      <c r="S14" s="1606" t="str">
        <f t="shared" si="5"/>
        <v>S.G.P 도어 상부 난바판</v>
      </c>
      <c r="T14" s="1607"/>
      <c r="U14" s="1607"/>
      <c r="V14" s="1607"/>
      <c r="W14" s="1608"/>
      <c r="X14" s="1606">
        <f t="shared" si="6"/>
        <v>0</v>
      </c>
      <c r="Y14" s="1567"/>
      <c r="Z14" s="1567"/>
      <c r="AA14" s="1569"/>
      <c r="AB14" s="1609">
        <f t="shared" si="1"/>
        <v>0</v>
      </c>
      <c r="AC14" s="1610"/>
      <c r="AD14" s="1611" t="str">
        <f t="shared" si="7"/>
        <v>장</v>
      </c>
      <c r="AE14" s="1611"/>
      <c r="AF14" s="1612"/>
      <c r="AG14" s="1613"/>
      <c r="AH14" s="1613"/>
      <c r="AI14" s="1614"/>
      <c r="AJ14" s="1582"/>
      <c r="AK14" s="1606" t="str">
        <f t="shared" ref="AK14:AK22" si="8">L9</f>
        <v>S.G.P 도어 상부 난바판</v>
      </c>
      <c r="AL14" s="1567"/>
      <c r="AM14" s="1569"/>
      <c r="AN14" s="1606">
        <f t="shared" si="2"/>
        <v>0</v>
      </c>
      <c r="AO14" s="1569"/>
      <c r="AP14" s="1615">
        <f t="shared" si="3"/>
        <v>0</v>
      </c>
      <c r="AQ14" s="1568"/>
      <c r="AR14" s="772" t="str">
        <f t="shared" si="4"/>
        <v>장</v>
      </c>
      <c r="AS14" s="750"/>
      <c r="AX14" s="1626"/>
      <c r="AY14" s="1261"/>
      <c r="AZ14" s="1261"/>
      <c r="BA14" s="1261"/>
      <c r="BB14" s="882"/>
      <c r="BC14" s="882"/>
      <c r="BF14" s="1261"/>
      <c r="BG14" s="1261"/>
      <c r="BH14" s="1261"/>
      <c r="BI14" s="1261"/>
      <c r="BJ14" s="882"/>
      <c r="BK14" s="882"/>
    </row>
    <row r="15" spans="1:63">
      <c r="B15" s="788"/>
      <c r="C15" s="750"/>
      <c r="D15" s="789"/>
      <c r="E15" s="489"/>
      <c r="F15" s="615"/>
      <c r="G15" s="765"/>
      <c r="H15" s="766"/>
      <c r="I15" s="766"/>
      <c r="J15" s="615"/>
      <c r="K15" s="615"/>
      <c r="L15" s="776" t="s">
        <v>475</v>
      </c>
      <c r="M15" s="755"/>
      <c r="N15" s="756">
        <f>C10+(C11*2)</f>
        <v>0</v>
      </c>
      <c r="O15" s="757" t="s">
        <v>265</v>
      </c>
      <c r="P15" s="612"/>
      <c r="Q15" s="1564" t="str">
        <f>IF(AI15=1,"",IF(Y15="", "", MAX($B$10:Q17)+1))</f>
        <v/>
      </c>
      <c r="R15" s="1565"/>
      <c r="S15" s="1606" t="str">
        <f t="shared" si="5"/>
        <v>S.G.P  도어</v>
      </c>
      <c r="T15" s="1607"/>
      <c r="U15" s="1607"/>
      <c r="V15" s="1607"/>
      <c r="W15" s="1608"/>
      <c r="X15" s="1606">
        <f t="shared" si="6"/>
        <v>0</v>
      </c>
      <c r="Y15" s="1567"/>
      <c r="Z15" s="1567"/>
      <c r="AA15" s="1569"/>
      <c r="AB15" s="1609">
        <f t="shared" si="1"/>
        <v>0</v>
      </c>
      <c r="AC15" s="1610"/>
      <c r="AD15" s="1611" t="str">
        <f t="shared" si="7"/>
        <v>개</v>
      </c>
      <c r="AE15" s="1611"/>
      <c r="AF15" s="1612"/>
      <c r="AG15" s="1613"/>
      <c r="AH15" s="1613"/>
      <c r="AI15" s="1614"/>
      <c r="AJ15" s="1582"/>
      <c r="AK15" s="1606" t="str">
        <f t="shared" si="8"/>
        <v>S.G.P  도어</v>
      </c>
      <c r="AL15" s="1567"/>
      <c r="AM15" s="1569"/>
      <c r="AN15" s="1606">
        <f t="shared" si="2"/>
        <v>0</v>
      </c>
      <c r="AO15" s="1569"/>
      <c r="AP15" s="1615">
        <f t="shared" si="3"/>
        <v>0</v>
      </c>
      <c r="AQ15" s="1568"/>
      <c r="AR15" s="772" t="str">
        <f t="shared" si="4"/>
        <v>개</v>
      </c>
      <c r="AS15" s="750"/>
      <c r="AX15" s="1261" t="s">
        <v>175</v>
      </c>
      <c r="AY15" s="1261"/>
      <c r="AZ15" s="1261"/>
      <c r="BA15" s="1261"/>
      <c r="BB15" s="882"/>
      <c r="BC15" s="882"/>
      <c r="BF15" s="1261"/>
      <c r="BG15" s="1261"/>
      <c r="BH15" s="1261"/>
      <c r="BI15" s="1261"/>
      <c r="BJ15" s="882"/>
      <c r="BK15" s="882"/>
    </row>
    <row r="16" spans="1:63">
      <c r="B16" s="788"/>
      <c r="C16" s="750"/>
      <c r="D16" s="789"/>
      <c r="E16" s="489"/>
      <c r="F16" s="615"/>
      <c r="G16" s="786"/>
      <c r="H16" s="790"/>
      <c r="I16" s="790"/>
      <c r="J16" s="615"/>
      <c r="K16" s="615"/>
      <c r="L16" s="776" t="str">
        <f>B20&amp;" "&amp;C20&amp;"매"</f>
        <v>크린매트 50t 24k 28매</v>
      </c>
      <c r="M16" s="772"/>
      <c r="N16" s="756">
        <f>ROUNDUP(C23/C21,0)</f>
        <v>0</v>
      </c>
      <c r="O16" s="757" t="s">
        <v>265</v>
      </c>
      <c r="P16" s="612"/>
      <c r="Q16" s="1564" t="str">
        <f>IF(AI16=1,"",IF(Y16="", "", MAX($B$10:Q18)+1))</f>
        <v/>
      </c>
      <c r="R16" s="1565"/>
      <c r="S16" s="1606" t="str">
        <f t="shared" si="5"/>
        <v>S.G.P  양개도어</v>
      </c>
      <c r="T16" s="1607"/>
      <c r="U16" s="1607"/>
      <c r="V16" s="1607"/>
      <c r="W16" s="1608"/>
      <c r="X16" s="1606">
        <f t="shared" si="6"/>
        <v>0</v>
      </c>
      <c r="Y16" s="1567"/>
      <c r="Z16" s="1567"/>
      <c r="AA16" s="1569"/>
      <c r="AB16" s="1609">
        <f t="shared" si="1"/>
        <v>0</v>
      </c>
      <c r="AC16" s="1610"/>
      <c r="AD16" s="1611" t="str">
        <f t="shared" si="7"/>
        <v>개</v>
      </c>
      <c r="AE16" s="1611"/>
      <c r="AF16" s="1612"/>
      <c r="AG16" s="1613"/>
      <c r="AH16" s="1613"/>
      <c r="AI16" s="1614"/>
      <c r="AJ16" s="1582"/>
      <c r="AK16" s="1606" t="str">
        <f t="shared" si="8"/>
        <v>S.G.P  양개도어</v>
      </c>
      <c r="AL16" s="1567"/>
      <c r="AM16" s="1569"/>
      <c r="AN16" s="1606">
        <f t="shared" si="2"/>
        <v>0</v>
      </c>
      <c r="AO16" s="1569"/>
      <c r="AP16" s="1615">
        <f t="shared" si="3"/>
        <v>0</v>
      </c>
      <c r="AQ16" s="1568"/>
      <c r="AR16" s="772" t="str">
        <f t="shared" si="4"/>
        <v>개</v>
      </c>
      <c r="AS16" s="750"/>
      <c r="AX16" s="1261" t="s">
        <v>177</v>
      </c>
      <c r="AY16" s="1261"/>
      <c r="AZ16" s="1261"/>
      <c r="BA16" s="1261"/>
      <c r="BB16" s="882"/>
      <c r="BC16" s="882"/>
      <c r="BF16" s="1261"/>
      <c r="BG16" s="1261"/>
      <c r="BH16" s="1261"/>
      <c r="BI16" s="1261"/>
      <c r="BJ16" s="882"/>
      <c r="BK16" s="882"/>
    </row>
    <row r="17" spans="2:63">
      <c r="B17" s="1627" t="s">
        <v>476</v>
      </c>
      <c r="C17" s="1628"/>
      <c r="D17" s="1629"/>
      <c r="E17" s="489"/>
      <c r="F17" s="615"/>
      <c r="G17" s="786"/>
      <c r="H17" s="790"/>
      <c r="I17" s="790"/>
      <c r="J17" s="615"/>
      <c r="K17" s="615"/>
      <c r="L17" s="776" t="s">
        <v>477</v>
      </c>
      <c r="M17" s="755"/>
      <c r="N17" s="756">
        <f>IF(C8&gt;0,ROUNDUP((G6/2*C8*(C7/1000)+((C10*0.9*2)+(C11*1.8*2)))*1.05,0),)</f>
        <v>0</v>
      </c>
      <c r="O17" s="757" t="s">
        <v>378</v>
      </c>
      <c r="P17" s="612"/>
      <c r="Q17" s="1564" t="str">
        <f>IF(AI17=1,"",IF(Y17="", "", MAX($B$10:Q19)+1))</f>
        <v/>
      </c>
      <c r="R17" s="1565"/>
      <c r="S17" s="1606" t="str">
        <f t="shared" si="5"/>
        <v>상부 마감</v>
      </c>
      <c r="T17" s="1607"/>
      <c r="U17" s="1607"/>
      <c r="V17" s="1607"/>
      <c r="W17" s="1608"/>
      <c r="X17" s="1606" t="str">
        <f t="shared" si="6"/>
        <v/>
      </c>
      <c r="Y17" s="1567"/>
      <c r="Z17" s="1567"/>
      <c r="AA17" s="1569"/>
      <c r="AB17" s="1609">
        <f t="shared" si="1"/>
        <v>0</v>
      </c>
      <c r="AC17" s="1610"/>
      <c r="AD17" s="1611" t="str">
        <f t="shared" si="7"/>
        <v>개</v>
      </c>
      <c r="AE17" s="1611"/>
      <c r="AF17" s="1612"/>
      <c r="AG17" s="1613"/>
      <c r="AH17" s="1613"/>
      <c r="AI17" s="1614"/>
      <c r="AJ17" s="1582"/>
      <c r="AK17" s="1606" t="str">
        <f t="shared" si="8"/>
        <v>상부 마감</v>
      </c>
      <c r="AL17" s="1567"/>
      <c r="AM17" s="1569"/>
      <c r="AN17" s="1606" t="str">
        <f t="shared" si="2"/>
        <v/>
      </c>
      <c r="AO17" s="1569"/>
      <c r="AP17" s="1615">
        <f t="shared" si="3"/>
        <v>0</v>
      </c>
      <c r="AQ17" s="1568"/>
      <c r="AR17" s="772" t="str">
        <f t="shared" si="4"/>
        <v>개</v>
      </c>
      <c r="AS17" s="750"/>
      <c r="AX17" s="1634" t="s">
        <v>478</v>
      </c>
      <c r="AY17" s="1634"/>
      <c r="AZ17" s="1634"/>
      <c r="BA17" s="1634"/>
      <c r="BB17" s="1634"/>
      <c r="BC17" s="1634"/>
      <c r="BF17" s="1630"/>
      <c r="BG17" s="1630"/>
      <c r="BH17" s="1630"/>
      <c r="BI17" s="1630"/>
      <c r="BJ17" s="1630"/>
      <c r="BK17" s="1630"/>
    </row>
    <row r="18" spans="2:63" ht="16.5" customHeight="1" thickBot="1">
      <c r="B18" s="1631" t="s">
        <v>368</v>
      </c>
      <c r="C18" s="1632"/>
      <c r="D18" s="1633"/>
      <c r="E18" s="615"/>
      <c r="F18" s="615"/>
      <c r="G18" s="765"/>
      <c r="H18" s="766"/>
      <c r="I18" s="766"/>
      <c r="J18" s="615"/>
      <c r="K18" s="615"/>
      <c r="L18" s="758"/>
      <c r="M18" s="772"/>
      <c r="N18" s="791"/>
      <c r="O18" s="757"/>
      <c r="P18" s="612"/>
      <c r="Q18" s="1564" t="str">
        <f>IF(AI18=1,"",IF(Y18="", "", MAX($B$10:Q20)+1))</f>
        <v/>
      </c>
      <c r="R18" s="1565"/>
      <c r="S18" s="1606" t="str">
        <f t="shared" si="5"/>
        <v>벽 마감</v>
      </c>
      <c r="T18" s="1607"/>
      <c r="U18" s="1607"/>
      <c r="V18" s="1607"/>
      <c r="W18" s="1608"/>
      <c r="X18" s="1606">
        <f t="shared" si="6"/>
        <v>0</v>
      </c>
      <c r="Y18" s="1567"/>
      <c r="Z18" s="1567"/>
      <c r="AA18" s="1569"/>
      <c r="AB18" s="1609">
        <f t="shared" si="1"/>
        <v>0</v>
      </c>
      <c r="AC18" s="1610"/>
      <c r="AD18" s="1611" t="str">
        <f t="shared" si="7"/>
        <v>개</v>
      </c>
      <c r="AE18" s="1611"/>
      <c r="AF18" s="1612"/>
      <c r="AG18" s="1613"/>
      <c r="AH18" s="1613"/>
      <c r="AI18" s="1614"/>
      <c r="AJ18" s="1582"/>
      <c r="AK18" s="1606" t="str">
        <f t="shared" si="8"/>
        <v>벽 마감</v>
      </c>
      <c r="AL18" s="1567"/>
      <c r="AM18" s="1569"/>
      <c r="AN18" s="1606">
        <f t="shared" si="2"/>
        <v>0</v>
      </c>
      <c r="AO18" s="1569"/>
      <c r="AP18" s="1615">
        <f t="shared" si="3"/>
        <v>0</v>
      </c>
      <c r="AQ18" s="1568"/>
      <c r="AR18" s="772" t="str">
        <f t="shared" si="4"/>
        <v>개</v>
      </c>
      <c r="AS18" s="750"/>
      <c r="BF18" s="882"/>
      <c r="BG18" s="882"/>
      <c r="BH18" s="882"/>
      <c r="BI18" s="882"/>
      <c r="BJ18" s="882"/>
      <c r="BK18" s="882"/>
    </row>
    <row r="19" spans="2:63" ht="16.5" customHeight="1" thickTop="1">
      <c r="B19" s="792" t="s">
        <v>479</v>
      </c>
      <c r="C19" s="793">
        <v>886</v>
      </c>
      <c r="D19" s="794" t="s">
        <v>384</v>
      </c>
      <c r="E19" s="615"/>
      <c r="F19" s="615"/>
      <c r="G19" s="614"/>
      <c r="H19" s="795"/>
      <c r="I19" s="795"/>
      <c r="J19" s="615"/>
      <c r="K19" s="615"/>
      <c r="L19" s="1636" t="s">
        <v>480</v>
      </c>
      <c r="M19" s="1637"/>
      <c r="N19" s="1637"/>
      <c r="O19" s="1638"/>
      <c r="P19" s="612"/>
      <c r="Q19" s="1564" t="str">
        <f>IF(AI19=1,"",IF(Y19="", "", MAX($B$10:Q21)+1))</f>
        <v/>
      </c>
      <c r="R19" s="1565"/>
      <c r="S19" s="1606" t="str">
        <f t="shared" si="5"/>
        <v>걸레 받이</v>
      </c>
      <c r="T19" s="1607"/>
      <c r="U19" s="1607"/>
      <c r="V19" s="1607"/>
      <c r="W19" s="1608"/>
      <c r="X19" s="1606">
        <f t="shared" si="6"/>
        <v>0</v>
      </c>
      <c r="Y19" s="1567"/>
      <c r="Z19" s="1567"/>
      <c r="AA19" s="1569"/>
      <c r="AB19" s="1609">
        <f t="shared" si="1"/>
        <v>0</v>
      </c>
      <c r="AC19" s="1610"/>
      <c r="AD19" s="1611" t="str">
        <f t="shared" si="7"/>
        <v>개</v>
      </c>
      <c r="AE19" s="1611"/>
      <c r="AF19" s="1612"/>
      <c r="AG19" s="1613"/>
      <c r="AH19" s="1613"/>
      <c r="AI19" s="1614"/>
      <c r="AJ19" s="1582"/>
      <c r="AK19" s="1606" t="str">
        <f t="shared" si="8"/>
        <v>걸레 받이</v>
      </c>
      <c r="AL19" s="1567"/>
      <c r="AM19" s="1569"/>
      <c r="AN19" s="1606">
        <f t="shared" si="2"/>
        <v>0</v>
      </c>
      <c r="AO19" s="1569"/>
      <c r="AP19" s="1615">
        <f t="shared" si="3"/>
        <v>0</v>
      </c>
      <c r="AQ19" s="1568"/>
      <c r="AR19" s="772" t="str">
        <f t="shared" si="4"/>
        <v>개</v>
      </c>
      <c r="AS19" s="750"/>
      <c r="AX19" s="882"/>
      <c r="AY19" s="882"/>
      <c r="AZ19" s="882"/>
      <c r="BA19" s="882"/>
      <c r="BB19" s="882"/>
      <c r="BC19" s="882"/>
      <c r="BF19" s="1635"/>
      <c r="BG19" s="1635"/>
      <c r="BH19" s="1635"/>
      <c r="BI19" s="1635"/>
      <c r="BJ19" s="1635"/>
      <c r="BK19" s="1635"/>
    </row>
    <row r="20" spans="2:63">
      <c r="B20" s="770" t="s">
        <v>392</v>
      </c>
      <c r="C20" s="796">
        <v>28</v>
      </c>
      <c r="D20" s="769" t="s">
        <v>393</v>
      </c>
      <c r="E20" s="615"/>
      <c r="F20" s="489"/>
      <c r="G20" s="797"/>
      <c r="H20" s="771"/>
      <c r="I20" s="771"/>
      <c r="J20" s="615"/>
      <c r="K20" s="615"/>
      <c r="L20" s="1636" t="s">
        <v>481</v>
      </c>
      <c r="M20" s="1637"/>
      <c r="N20" s="1637"/>
      <c r="O20" s="1638"/>
      <c r="P20" s="612"/>
      <c r="Q20" s="1564" t="str">
        <f>IF(AI20=1,"",IF(Y20="", "", MAX($B$10:Q22)+1))</f>
        <v/>
      </c>
      <c r="R20" s="1565"/>
      <c r="S20" s="1606" t="str">
        <f t="shared" si="5"/>
        <v>시린다</v>
      </c>
      <c r="T20" s="1607"/>
      <c r="U20" s="1607"/>
      <c r="V20" s="1607"/>
      <c r="W20" s="1608"/>
      <c r="X20" s="1606">
        <f t="shared" si="6"/>
        <v>0</v>
      </c>
      <c r="Y20" s="1567"/>
      <c r="Z20" s="1567"/>
      <c r="AA20" s="1569"/>
      <c r="AB20" s="1609">
        <f t="shared" si="1"/>
        <v>0</v>
      </c>
      <c r="AC20" s="1610"/>
      <c r="AD20" s="1611" t="str">
        <f t="shared" si="7"/>
        <v>개</v>
      </c>
      <c r="AE20" s="1611"/>
      <c r="AF20" s="1612"/>
      <c r="AG20" s="1613"/>
      <c r="AH20" s="1613"/>
      <c r="AI20" s="1614"/>
      <c r="AJ20" s="1582"/>
      <c r="AK20" s="1606" t="str">
        <f t="shared" si="8"/>
        <v>시린다</v>
      </c>
      <c r="AL20" s="1567"/>
      <c r="AM20" s="1569"/>
      <c r="AN20" s="1606">
        <f t="shared" si="2"/>
        <v>0</v>
      </c>
      <c r="AO20" s="1569"/>
      <c r="AP20" s="1615">
        <f t="shared" si="3"/>
        <v>0</v>
      </c>
      <c r="AQ20" s="1568"/>
      <c r="AR20" s="772" t="str">
        <f t="shared" si="4"/>
        <v>개</v>
      </c>
      <c r="AS20" s="750"/>
      <c r="AX20" s="1635" t="s">
        <v>162</v>
      </c>
      <c r="AY20" s="1635"/>
      <c r="AZ20" s="1635"/>
      <c r="BA20" s="1635"/>
      <c r="BB20" s="1635"/>
      <c r="BC20" s="1635"/>
      <c r="BF20" s="1639"/>
      <c r="BG20" s="1639"/>
      <c r="BH20" s="1639"/>
      <c r="BI20" s="1639"/>
      <c r="BJ20" s="1639"/>
      <c r="BK20" s="1639"/>
    </row>
    <row r="21" spans="2:63">
      <c r="B21" s="798" t="s">
        <v>382</v>
      </c>
      <c r="C21" s="799">
        <f>0.45*C20</f>
        <v>12.6</v>
      </c>
      <c r="D21" s="769" t="s">
        <v>482</v>
      </c>
      <c r="E21" s="615"/>
      <c r="F21" s="902"/>
      <c r="G21" s="797"/>
      <c r="H21" s="800"/>
      <c r="I21" s="800"/>
      <c r="J21" s="902"/>
      <c r="K21" s="615"/>
      <c r="L21" s="801"/>
      <c r="M21" s="802"/>
      <c r="N21" s="803"/>
      <c r="O21" s="804"/>
      <c r="P21" s="612"/>
      <c r="Q21" s="1564" t="str">
        <f>IF(AI21=1,"",IF(Y21="", "", MAX($B$10:Q23)+1))</f>
        <v/>
      </c>
      <c r="R21" s="1565"/>
      <c r="S21" s="1606" t="str">
        <f t="shared" si="5"/>
        <v>크린매트 50t 24k 28매</v>
      </c>
      <c r="T21" s="1607"/>
      <c r="U21" s="1607"/>
      <c r="V21" s="1607"/>
      <c r="W21" s="1608"/>
      <c r="X21" s="1606">
        <f t="shared" si="6"/>
        <v>0</v>
      </c>
      <c r="Y21" s="1567"/>
      <c r="Z21" s="1567"/>
      <c r="AA21" s="1569"/>
      <c r="AB21" s="1640">
        <f t="shared" si="1"/>
        <v>0</v>
      </c>
      <c r="AC21" s="1641"/>
      <c r="AD21" s="1611" t="str">
        <f t="shared" si="7"/>
        <v>개</v>
      </c>
      <c r="AE21" s="1611"/>
      <c r="AF21" s="1612"/>
      <c r="AG21" s="1613"/>
      <c r="AH21" s="1613"/>
      <c r="AI21" s="1614"/>
      <c r="AJ21" s="1582"/>
      <c r="AK21" s="1606" t="str">
        <f t="shared" si="8"/>
        <v>크린매트 50t 24k 28매</v>
      </c>
      <c r="AL21" s="1567"/>
      <c r="AM21" s="1569"/>
      <c r="AN21" s="1606">
        <f t="shared" si="2"/>
        <v>0</v>
      </c>
      <c r="AO21" s="1569"/>
      <c r="AP21" s="1615">
        <f t="shared" si="3"/>
        <v>0</v>
      </c>
      <c r="AQ21" s="1568"/>
      <c r="AR21" s="772" t="str">
        <f t="shared" si="4"/>
        <v>개</v>
      </c>
      <c r="AS21" s="750"/>
      <c r="AX21" s="1639" t="s">
        <v>165</v>
      </c>
      <c r="AY21" s="1639"/>
      <c r="AZ21" s="1639"/>
      <c r="BA21" s="1639"/>
      <c r="BB21" s="1639"/>
      <c r="BC21" s="1639"/>
      <c r="BF21" s="1639"/>
      <c r="BG21" s="1639"/>
      <c r="BH21" s="1639"/>
      <c r="BI21" s="1639"/>
      <c r="BJ21" s="1639"/>
      <c r="BK21" s="1639"/>
    </row>
    <row r="22" spans="2:63">
      <c r="B22" s="805" t="s">
        <v>483</v>
      </c>
      <c r="C22" s="772">
        <f>IF(C7&gt;120,C7-110,)</f>
        <v>0</v>
      </c>
      <c r="D22" s="769" t="s">
        <v>384</v>
      </c>
      <c r="E22" s="615"/>
      <c r="F22" s="902"/>
      <c r="G22" s="797"/>
      <c r="H22" s="800"/>
      <c r="I22" s="800"/>
      <c r="J22" s="902"/>
      <c r="K22" s="615"/>
      <c r="L22" s="801"/>
      <c r="M22" s="802"/>
      <c r="N22" s="803"/>
      <c r="O22" s="804"/>
      <c r="P22" s="612"/>
      <c r="Q22" s="1564" t="str">
        <f>IF(AI22=1,"",IF(Y22="", "", MAX($B$10:Q23)+1))</f>
        <v/>
      </c>
      <c r="R22" s="1565"/>
      <c r="S22" s="1606" t="str">
        <f t="shared" si="5"/>
        <v>고무 메지</v>
      </c>
      <c r="T22" s="1607"/>
      <c r="U22" s="1607"/>
      <c r="V22" s="1607"/>
      <c r="W22" s="1608"/>
      <c r="X22" s="1606">
        <f t="shared" si="6"/>
        <v>0</v>
      </c>
      <c r="Y22" s="1567"/>
      <c r="Z22" s="1567"/>
      <c r="AA22" s="1569"/>
      <c r="AB22" s="1640">
        <f>N17</f>
        <v>0</v>
      </c>
      <c r="AC22" s="1641"/>
      <c r="AD22" s="1611" t="str">
        <f t="shared" si="7"/>
        <v>m</v>
      </c>
      <c r="AE22" s="1611"/>
      <c r="AF22" s="1612"/>
      <c r="AG22" s="1613"/>
      <c r="AH22" s="1613"/>
      <c r="AI22" s="1614"/>
      <c r="AJ22" s="1582"/>
      <c r="AK22" s="1606" t="str">
        <f t="shared" si="8"/>
        <v>고무 메지</v>
      </c>
      <c r="AL22" s="1567"/>
      <c r="AM22" s="1569"/>
      <c r="AN22" s="1606">
        <f t="shared" si="2"/>
        <v>0</v>
      </c>
      <c r="AO22" s="1569"/>
      <c r="AP22" s="1615">
        <f t="shared" si="3"/>
        <v>0</v>
      </c>
      <c r="AQ22" s="1568"/>
      <c r="AR22" s="772" t="str">
        <f t="shared" si="4"/>
        <v>m</v>
      </c>
      <c r="AS22" s="750"/>
      <c r="AX22" s="1639" t="s">
        <v>100</v>
      </c>
      <c r="AY22" s="1639"/>
      <c r="AZ22" s="1639"/>
      <c r="BA22" s="1639"/>
      <c r="BB22" s="1639"/>
      <c r="BC22" s="1639"/>
    </row>
    <row r="23" spans="2:63" ht="16.5" customHeight="1" thickBot="1">
      <c r="B23" s="806" t="s">
        <v>375</v>
      </c>
      <c r="C23" s="807">
        <f>ROUNDUP(C6*(C7/1000),1)</f>
        <v>0</v>
      </c>
      <c r="D23" s="808" t="s">
        <v>484</v>
      </c>
      <c r="E23" s="809"/>
      <c r="F23" s="902"/>
      <c r="G23" s="797"/>
      <c r="H23" s="800"/>
      <c r="I23" s="800"/>
      <c r="J23" s="902"/>
      <c r="K23" s="616"/>
      <c r="L23" s="810"/>
      <c r="M23" s="811"/>
      <c r="N23" s="812"/>
      <c r="O23" s="813"/>
      <c r="P23" s="612"/>
      <c r="Q23" s="1564" t="str">
        <f>IF(AI23=1,"",IF(Y23="", "", MAX($B$10:Q24)+1))</f>
        <v/>
      </c>
      <c r="R23" s="1565"/>
      <c r="S23" s="1606">
        <f>L18</f>
        <v>0</v>
      </c>
      <c r="T23" s="1607"/>
      <c r="U23" s="1607"/>
      <c r="V23" s="1607"/>
      <c r="W23" s="1608"/>
      <c r="X23" s="1606">
        <f>M18</f>
        <v>0</v>
      </c>
      <c r="Y23" s="1567"/>
      <c r="Z23" s="1567"/>
      <c r="AA23" s="1569"/>
      <c r="AB23" s="1640"/>
      <c r="AC23" s="1641"/>
      <c r="AD23" s="1611"/>
      <c r="AE23" s="1611"/>
      <c r="AF23" s="1612"/>
      <c r="AG23" s="1613"/>
      <c r="AH23" s="1613"/>
      <c r="AI23" s="1614"/>
      <c r="AJ23" s="1582"/>
      <c r="AK23" s="750"/>
      <c r="AL23" s="1568"/>
      <c r="AM23" s="1568"/>
      <c r="AN23" s="1568"/>
      <c r="AO23" s="1568"/>
      <c r="AP23" s="1568"/>
      <c r="AQ23" s="1568"/>
      <c r="AR23" s="750"/>
      <c r="AS23" s="750"/>
      <c r="AV23" s="1262" t="s">
        <v>105</v>
      </c>
      <c r="AW23" s="1262"/>
    </row>
    <row r="24" spans="2:63" ht="21.75" customHeight="1" thickTop="1" thickBot="1">
      <c r="B24" s="814" t="s">
        <v>485</v>
      </c>
      <c r="C24" s="815"/>
      <c r="D24" s="816"/>
      <c r="E24" s="489"/>
      <c r="F24" s="816"/>
      <c r="G24" s="817"/>
      <c r="H24" s="818"/>
      <c r="I24" s="818"/>
      <c r="J24" s="819"/>
      <c r="K24" s="819"/>
      <c r="L24" s="1642" t="str">
        <f>"S.G.P 칸막이 B타입  "&amp;C46&amp;" m2"</f>
        <v>S.G.P 칸막이 B타입  0 m2</v>
      </c>
      <c r="M24" s="1642"/>
      <c r="N24" s="1642"/>
      <c r="O24" s="1642"/>
      <c r="P24" s="612"/>
      <c r="Q24" s="612"/>
      <c r="R24" s="612"/>
      <c r="S24" s="612"/>
      <c r="T24" s="612"/>
      <c r="U24" s="612"/>
      <c r="V24" s="612"/>
      <c r="W24" s="612"/>
      <c r="X24" s="612"/>
      <c r="Y24" s="612"/>
      <c r="Z24" s="612"/>
      <c r="AA24" s="612"/>
      <c r="AB24" s="612"/>
      <c r="AC24" s="612"/>
      <c r="AD24" s="612"/>
      <c r="AE24" s="612"/>
      <c r="AF24" s="612"/>
      <c r="AG24" s="612"/>
      <c r="AH24" s="612"/>
      <c r="AI24" s="612"/>
      <c r="AJ24" s="1582"/>
      <c r="AK24" s="612"/>
      <c r="AL24" s="612"/>
      <c r="AM24" s="612"/>
      <c r="AN24" s="612"/>
      <c r="AO24" s="612"/>
      <c r="AP24" s="612"/>
      <c r="AQ24" s="612"/>
      <c r="AR24" s="612"/>
      <c r="AS24" s="612"/>
      <c r="AU24" s="1261"/>
      <c r="AV24" s="1261"/>
      <c r="AW24" s="1261"/>
      <c r="AX24" s="1261"/>
      <c r="AY24" s="1261"/>
      <c r="AZ24" s="1261"/>
      <c r="BA24" s="1261"/>
      <c r="BB24" s="1261"/>
      <c r="BC24" s="1261"/>
    </row>
    <row r="25" spans="2:63" ht="16.5" customHeight="1" thickTop="1">
      <c r="B25" s="743" t="s">
        <v>420</v>
      </c>
      <c r="C25" s="744"/>
      <c r="D25" s="745" t="s">
        <v>378</v>
      </c>
      <c r="E25" s="612"/>
      <c r="F25" s="612">
        <f>IF(C31&gt;0,ROUNDUP(C25/(C42/1000),3),)</f>
        <v>0</v>
      </c>
      <c r="G25" s="612">
        <f>IF(C$31&gt;0,INT(C25/(C$42/1000)),)</f>
        <v>0</v>
      </c>
      <c r="H25" s="746">
        <f>F25-G25</f>
        <v>0</v>
      </c>
      <c r="I25" s="612">
        <f>ROUNDUP(H25*C42,-1)</f>
        <v>0</v>
      </c>
      <c r="J25" s="489"/>
      <c r="K25" s="612"/>
      <c r="L25" s="747" t="s">
        <v>77</v>
      </c>
      <c r="M25" s="748" t="s">
        <v>255</v>
      </c>
      <c r="N25" s="748" t="s">
        <v>249</v>
      </c>
      <c r="O25" s="749" t="s">
        <v>379</v>
      </c>
      <c r="P25" s="612"/>
      <c r="Q25" s="612"/>
      <c r="R25" s="612"/>
      <c r="S25" s="612"/>
      <c r="T25" s="612"/>
      <c r="U25" s="612"/>
      <c r="V25" s="612"/>
      <c r="W25" s="612"/>
      <c r="X25" s="612"/>
      <c r="Y25" s="612"/>
      <c r="Z25" s="612"/>
      <c r="AA25" s="612"/>
      <c r="AB25" s="612"/>
      <c r="AC25" s="612"/>
      <c r="AD25" s="612"/>
      <c r="AE25" s="612"/>
      <c r="AF25" s="612"/>
      <c r="AG25" s="612"/>
      <c r="AH25" s="612"/>
      <c r="AI25" s="612"/>
      <c r="AJ25" s="1582"/>
      <c r="AK25" s="612"/>
      <c r="AL25" s="612"/>
      <c r="AM25" s="612"/>
      <c r="AN25" s="612"/>
      <c r="AO25" s="612"/>
      <c r="AP25" s="612"/>
      <c r="AQ25" s="612"/>
      <c r="AR25" s="612"/>
      <c r="AS25" s="612"/>
      <c r="AU25" s="1584" t="s">
        <v>486</v>
      </c>
      <c r="AV25" s="1261"/>
      <c r="AW25" s="1261"/>
      <c r="AX25" s="1261"/>
      <c r="AY25" s="1261"/>
      <c r="AZ25" s="1261"/>
      <c r="BA25" s="1261"/>
      <c r="BB25" s="1261"/>
      <c r="BC25" s="1261"/>
    </row>
    <row r="26" spans="2:63" ht="16.5" customHeight="1">
      <c r="B26" s="751" t="s">
        <v>430</v>
      </c>
      <c r="C26" s="752"/>
      <c r="D26" s="753" t="s">
        <v>378</v>
      </c>
      <c r="E26" s="612"/>
      <c r="F26" s="612">
        <f>IF(C31&gt;0,ROUNDUP(C26/(C42/1000),3),)</f>
        <v>0</v>
      </c>
      <c r="G26" s="612">
        <f t="shared" ref="G26:G28" si="9">IF(C$31&gt;0,INT(C26/(C$42/1000)),)</f>
        <v>0</v>
      </c>
      <c r="H26" s="746">
        <f>F26-G26</f>
        <v>0</v>
      </c>
      <c r="I26" s="612">
        <f>ROUNDUP(H26*C42,-1)</f>
        <v>0</v>
      </c>
      <c r="J26" s="489"/>
      <c r="K26" s="615"/>
      <c r="L26" s="754" t="str">
        <f>IF(C32&gt;0,C32&amp;"mm 스터드","스터드 두께 확인")</f>
        <v>스터드 두께 확인</v>
      </c>
      <c r="M26" s="755">
        <f>C30</f>
        <v>0</v>
      </c>
      <c r="N26" s="756">
        <f>IF(C31&gt;0,SUM(G25:G28)+COUNTIF(G25:G28,"&gt;0")*2+C38,)</f>
        <v>0</v>
      </c>
      <c r="O26" s="757" t="s">
        <v>265</v>
      </c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612"/>
      <c r="AJ26" s="1582"/>
      <c r="AK26" s="612"/>
      <c r="AL26" s="612"/>
      <c r="AM26" s="612"/>
      <c r="AN26" s="612"/>
      <c r="AO26" s="612"/>
      <c r="AP26" s="612"/>
      <c r="AQ26" s="612"/>
      <c r="AR26" s="612"/>
      <c r="AS26" s="612"/>
    </row>
    <row r="27" spans="2:63" ht="16.5" customHeight="1">
      <c r="B27" s="751" t="s">
        <v>439</v>
      </c>
      <c r="C27" s="752"/>
      <c r="D27" s="753" t="s">
        <v>378</v>
      </c>
      <c r="E27" s="612"/>
      <c r="F27" s="612">
        <f>IF(C31&gt;0,ROUNDUP(C27/(C42/1000),3),)</f>
        <v>0</v>
      </c>
      <c r="G27" s="612">
        <f t="shared" si="9"/>
        <v>0</v>
      </c>
      <c r="H27" s="746">
        <f>F27-G27</f>
        <v>0</v>
      </c>
      <c r="I27" s="612">
        <f>ROUNDUP(H27*C42,-1)</f>
        <v>0</v>
      </c>
      <c r="J27" s="489"/>
      <c r="K27" s="615"/>
      <c r="L27" s="758" t="s">
        <v>440</v>
      </c>
      <c r="M27" s="755">
        <f>C45</f>
        <v>0</v>
      </c>
      <c r="N27" s="756">
        <f>IF(C31&gt;0,G29-(C33*2)-(C34*4)-(C37*C31),)</f>
        <v>0</v>
      </c>
      <c r="O27" s="757" t="s">
        <v>201</v>
      </c>
      <c r="P27" s="612"/>
      <c r="Q27" s="612"/>
      <c r="R27" s="612"/>
      <c r="S27" s="612"/>
      <c r="T27" s="612"/>
      <c r="U27" s="612"/>
      <c r="V27" s="612"/>
      <c r="W27" s="612"/>
      <c r="X27" s="612"/>
      <c r="Y27" s="612"/>
      <c r="Z27" s="612"/>
      <c r="AA27" s="612"/>
      <c r="AB27" s="612"/>
      <c r="AC27" s="612"/>
      <c r="AD27" s="612"/>
      <c r="AE27" s="612"/>
      <c r="AF27" s="612"/>
      <c r="AG27" s="612"/>
      <c r="AH27" s="612"/>
      <c r="AI27" s="612"/>
      <c r="AJ27" s="1582"/>
      <c r="AK27" s="612"/>
      <c r="AL27" s="612"/>
      <c r="AM27" s="612"/>
      <c r="AN27" s="612"/>
      <c r="AO27" s="612"/>
      <c r="AP27" s="612"/>
      <c r="AQ27" s="612"/>
      <c r="AR27" s="612"/>
      <c r="AS27" s="612"/>
      <c r="AX27" s="820" t="s">
        <v>487</v>
      </c>
    </row>
    <row r="28" spans="2:63" ht="16.5" customHeight="1" thickBot="1">
      <c r="B28" s="759" t="s">
        <v>446</v>
      </c>
      <c r="C28" s="760"/>
      <c r="D28" s="761" t="s">
        <v>378</v>
      </c>
      <c r="E28" s="612"/>
      <c r="F28" s="612">
        <f>IF(C31&gt;0,ROUNDUP(C28/(C42/1000),3),)</f>
        <v>0</v>
      </c>
      <c r="G28" s="612">
        <f t="shared" si="9"/>
        <v>0</v>
      </c>
      <c r="H28" s="746">
        <f>F28-G28</f>
        <v>0</v>
      </c>
      <c r="I28" s="612">
        <f>ROUNDUP(H28*C42,-1)</f>
        <v>0</v>
      </c>
      <c r="J28" s="615"/>
      <c r="K28" s="615"/>
      <c r="L28" s="1586" t="s">
        <v>447</v>
      </c>
      <c r="M28" s="755">
        <f>IF(I25&gt;0,I25,)</f>
        <v>0</v>
      </c>
      <c r="N28" s="756">
        <f>IF(I25&gt;0,C31,)</f>
        <v>0</v>
      </c>
      <c r="O28" s="757" t="s">
        <v>201</v>
      </c>
      <c r="P28" s="612"/>
      <c r="Q28" s="612"/>
      <c r="R28" s="612"/>
      <c r="S28" s="612"/>
      <c r="T28" s="612"/>
      <c r="U28" s="612"/>
      <c r="V28" s="612"/>
      <c r="W28" s="612"/>
      <c r="X28" s="612"/>
      <c r="Y28" s="612"/>
      <c r="Z28" s="612"/>
      <c r="AA28" s="612"/>
      <c r="AB28" s="612"/>
      <c r="AC28" s="612"/>
      <c r="AD28" s="612"/>
      <c r="AE28" s="612"/>
      <c r="AF28" s="612"/>
      <c r="AG28" s="612"/>
      <c r="AH28" s="612"/>
      <c r="AI28" s="612"/>
      <c r="AJ28" s="1582"/>
      <c r="AK28" s="612"/>
      <c r="AL28" s="612"/>
      <c r="AM28" s="612"/>
      <c r="AN28" s="612"/>
      <c r="AO28" s="612"/>
      <c r="AP28" s="612"/>
      <c r="AQ28" s="612"/>
      <c r="AR28" s="612"/>
      <c r="AS28" s="612"/>
      <c r="AX28" t="s">
        <v>488</v>
      </c>
    </row>
    <row r="29" spans="2:63" ht="16.5" customHeight="1" thickTop="1">
      <c r="B29" s="762" t="s">
        <v>452</v>
      </c>
      <c r="C29" s="763">
        <f>SUM(C25:C28)</f>
        <v>0</v>
      </c>
      <c r="D29" s="764" t="s">
        <v>378</v>
      </c>
      <c r="E29" s="612"/>
      <c r="F29" s="615"/>
      <c r="G29" s="765">
        <f>SUM(G25:G28)*C31</f>
        <v>0</v>
      </c>
      <c r="H29" s="766"/>
      <c r="I29" s="766"/>
      <c r="J29" s="615"/>
      <c r="K29" s="615"/>
      <c r="L29" s="1586"/>
      <c r="M29" s="755">
        <f>IF(I26&gt;0,I26,)</f>
        <v>0</v>
      </c>
      <c r="N29" s="756">
        <f>IF(I26&gt;0,C31,)</f>
        <v>0</v>
      </c>
      <c r="O29" s="757" t="s">
        <v>201</v>
      </c>
      <c r="P29" s="612"/>
      <c r="Q29" s="612"/>
      <c r="R29" s="612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  <c r="AH29" s="612"/>
      <c r="AI29" s="612"/>
      <c r="AJ29" s="1582"/>
      <c r="AK29" s="612"/>
      <c r="AL29" s="612"/>
      <c r="AM29" s="612"/>
      <c r="AN29" s="612"/>
      <c r="AO29" s="612"/>
      <c r="AP29" s="612"/>
      <c r="AQ29" s="612"/>
      <c r="AR29" s="612"/>
      <c r="AS29" s="612"/>
      <c r="AX29" s="821" t="s">
        <v>489</v>
      </c>
    </row>
    <row r="30" spans="2:63" ht="16.5" customHeight="1">
      <c r="B30" s="822" t="s">
        <v>458</v>
      </c>
      <c r="C30" s="768"/>
      <c r="D30" s="769" t="s">
        <v>384</v>
      </c>
      <c r="E30" s="615"/>
      <c r="F30" s="615"/>
      <c r="G30" s="765"/>
      <c r="H30" s="766"/>
      <c r="I30" s="766"/>
      <c r="J30" s="615"/>
      <c r="K30" s="615"/>
      <c r="L30" s="1586"/>
      <c r="M30" s="755">
        <f>IF(I27&gt;0,I27,)</f>
        <v>0</v>
      </c>
      <c r="N30" s="756">
        <f>IF(I27&gt;0,C31,)</f>
        <v>0</v>
      </c>
      <c r="O30" s="757" t="s">
        <v>201</v>
      </c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612"/>
      <c r="AJ30" s="1582"/>
      <c r="AK30" s="612"/>
      <c r="AL30" s="612"/>
      <c r="AM30" s="612"/>
      <c r="AN30" s="612"/>
      <c r="AO30" s="612"/>
      <c r="AP30" s="612"/>
      <c r="AQ30" s="612"/>
      <c r="AR30" s="612"/>
      <c r="AS30" s="612"/>
    </row>
    <row r="31" spans="2:63" ht="16.5" customHeight="1">
      <c r="B31" s="770" t="s">
        <v>390</v>
      </c>
      <c r="C31" s="768">
        <v>2</v>
      </c>
      <c r="D31" s="769" t="s">
        <v>391</v>
      </c>
      <c r="E31" s="615"/>
      <c r="F31" s="615"/>
      <c r="G31" s="612"/>
      <c r="H31" s="612"/>
      <c r="I31" s="771"/>
      <c r="J31" s="489"/>
      <c r="K31" s="615"/>
      <c r="L31" s="1586"/>
      <c r="M31" s="755">
        <f>IF(I28&gt;0,I28,)</f>
        <v>0</v>
      </c>
      <c r="N31" s="756">
        <f>IF(I28&gt;0,C31,)</f>
        <v>0</v>
      </c>
      <c r="O31" s="757" t="s">
        <v>201</v>
      </c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2"/>
      <c r="AD31" s="612"/>
      <c r="AE31" s="612"/>
      <c r="AF31" s="612"/>
      <c r="AG31" s="612"/>
      <c r="AH31" s="612"/>
      <c r="AI31" s="612"/>
      <c r="AJ31" s="1582"/>
      <c r="AK31" s="612"/>
      <c r="AL31" s="612"/>
      <c r="AM31" s="612"/>
      <c r="AN31" s="612"/>
      <c r="AO31" s="612"/>
      <c r="AP31" s="612"/>
      <c r="AQ31" s="612"/>
      <c r="AR31" s="612"/>
      <c r="AS31" s="612"/>
      <c r="AX31" s="1261" t="s">
        <v>490</v>
      </c>
      <c r="AY31" s="1261"/>
      <c r="AZ31" s="1261"/>
      <c r="BA31" s="1261"/>
      <c r="BB31" s="1261"/>
    </row>
    <row r="32" spans="2:63" ht="16.5" customHeight="1">
      <c r="B32" s="770" t="s">
        <v>466</v>
      </c>
      <c r="C32" s="768"/>
      <c r="D32" s="769" t="s">
        <v>384</v>
      </c>
      <c r="E32" s="615"/>
      <c r="F32" s="615"/>
      <c r="G32" s="612"/>
      <c r="H32" s="612"/>
      <c r="I32" s="773"/>
      <c r="J32" s="489"/>
      <c r="K32" s="615"/>
      <c r="L32" s="758" t="s">
        <v>467</v>
      </c>
      <c r="M32" s="755">
        <f>IF((C33+C34)&gt;0,M27-2000,)</f>
        <v>0</v>
      </c>
      <c r="N32" s="756">
        <f>(C33*2)+(C34*4)</f>
        <v>0</v>
      </c>
      <c r="O32" s="757" t="s">
        <v>201</v>
      </c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12"/>
      <c r="AJ32" s="1582"/>
      <c r="AK32" s="612"/>
      <c r="AL32" s="612"/>
      <c r="AM32" s="612"/>
      <c r="AN32" s="612"/>
      <c r="AO32" s="612"/>
      <c r="AP32" s="612"/>
      <c r="AQ32" s="612"/>
      <c r="AR32" s="612"/>
      <c r="AS32" s="612"/>
      <c r="AX32" s="1643" t="s">
        <v>42</v>
      </c>
      <c r="AY32" s="1644"/>
      <c r="AZ32" s="1644"/>
      <c r="BA32" s="1644"/>
      <c r="BB32" s="1644"/>
    </row>
    <row r="33" spans="1:57" ht="16.5" customHeight="1">
      <c r="B33" s="770" t="s">
        <v>468</v>
      </c>
      <c r="C33" s="774"/>
      <c r="D33" s="769" t="s">
        <v>265</v>
      </c>
      <c r="E33" s="615"/>
      <c r="F33" s="615"/>
      <c r="G33" s="612"/>
      <c r="H33" s="612"/>
      <c r="I33" s="775"/>
      <c r="J33" s="489"/>
      <c r="K33" s="615"/>
      <c r="L33" s="776" t="s">
        <v>469</v>
      </c>
      <c r="M33" s="777">
        <f>IF(C32&gt;0,"880×2100",)</f>
        <v>0</v>
      </c>
      <c r="N33" s="756">
        <f>C33</f>
        <v>0</v>
      </c>
      <c r="O33" s="757" t="s">
        <v>265</v>
      </c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1582"/>
      <c r="AK33" s="612"/>
      <c r="AL33" s="612"/>
      <c r="AM33" s="612"/>
      <c r="AN33" s="612"/>
      <c r="AO33" s="612"/>
      <c r="AP33" s="612"/>
      <c r="AQ33" s="612"/>
      <c r="AR33" s="612"/>
      <c r="AS33" s="612"/>
    </row>
    <row r="34" spans="1:57" ht="16.5" customHeight="1">
      <c r="B34" s="770" t="s">
        <v>470</v>
      </c>
      <c r="C34" s="774"/>
      <c r="D34" s="769" t="s">
        <v>265</v>
      </c>
      <c r="E34" s="615"/>
      <c r="F34" s="615"/>
      <c r="G34" s="612"/>
      <c r="H34" s="612"/>
      <c r="I34" s="771"/>
      <c r="J34" s="489"/>
      <c r="K34" s="615"/>
      <c r="L34" s="776" t="s">
        <v>471</v>
      </c>
      <c r="M34" s="777">
        <f>IF(C32&gt;0,"1770×2100",)</f>
        <v>0</v>
      </c>
      <c r="N34" s="778">
        <f>C34</f>
        <v>0</v>
      </c>
      <c r="O34" s="757" t="s">
        <v>265</v>
      </c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12"/>
      <c r="AJ34" s="1582"/>
      <c r="AK34" s="612"/>
      <c r="AL34" s="612"/>
      <c r="AM34" s="612"/>
      <c r="AN34" s="612"/>
      <c r="AO34" s="612"/>
      <c r="AP34" s="612"/>
      <c r="AQ34" s="612"/>
      <c r="AR34" s="612"/>
      <c r="AS34" s="612"/>
      <c r="AX34" s="1626" t="s">
        <v>491</v>
      </c>
      <c r="AY34" s="1626"/>
      <c r="AZ34" s="1645" t="s">
        <v>492</v>
      </c>
      <c r="BA34" s="1646"/>
      <c r="BB34" s="1646"/>
      <c r="BC34" s="1646"/>
    </row>
    <row r="35" spans="1:57" ht="16.5" customHeight="1">
      <c r="B35" s="823" t="s">
        <v>493</v>
      </c>
      <c r="C35" s="824"/>
      <c r="D35" s="769" t="s">
        <v>384</v>
      </c>
      <c r="E35" s="615"/>
      <c r="F35" s="615"/>
      <c r="G35" s="612"/>
      <c r="H35" s="612"/>
      <c r="I35" s="782"/>
      <c r="J35" s="489"/>
      <c r="K35" s="615"/>
      <c r="L35" s="825" t="str">
        <f>B37</f>
        <v>S.G.P 픽스창</v>
      </c>
      <c r="M35" s="826">
        <f>IF(C35&gt;0,C35&amp;"×"&amp;"885",)</f>
        <v>0</v>
      </c>
      <c r="N35" s="827">
        <f>C37</f>
        <v>0</v>
      </c>
      <c r="O35" s="828" t="s">
        <v>265</v>
      </c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612"/>
      <c r="AJ35" s="1582"/>
      <c r="AK35" s="612"/>
      <c r="AL35" s="612"/>
      <c r="AM35" s="612"/>
      <c r="AN35" s="612"/>
      <c r="AO35" s="612"/>
      <c r="AP35" s="612"/>
      <c r="AQ35" s="612"/>
      <c r="AR35" s="612"/>
      <c r="AS35" s="612"/>
    </row>
    <row r="36" spans="1:57" ht="16.5" customHeight="1">
      <c r="B36" s="823" t="s">
        <v>494</v>
      </c>
      <c r="C36" s="829"/>
      <c r="D36" s="769" t="s">
        <v>384</v>
      </c>
      <c r="E36" s="615"/>
      <c r="F36" s="612"/>
      <c r="G36" s="786"/>
      <c r="H36" s="787"/>
      <c r="I36" s="787"/>
      <c r="J36" s="612"/>
      <c r="K36" s="615"/>
      <c r="L36" s="776" t="s">
        <v>495</v>
      </c>
      <c r="M36" s="830">
        <f>IF(C36&gt;0,C36-100,)</f>
        <v>0</v>
      </c>
      <c r="N36" s="756">
        <f>C37*C31</f>
        <v>0</v>
      </c>
      <c r="O36" s="831" t="s">
        <v>201</v>
      </c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  <c r="AH36" s="612"/>
      <c r="AI36" s="612"/>
      <c r="AJ36" s="1582"/>
      <c r="AK36" s="612"/>
      <c r="AL36" s="612"/>
      <c r="AM36" s="612"/>
      <c r="AN36" s="612"/>
      <c r="AO36" s="612"/>
      <c r="AP36" s="612"/>
      <c r="AQ36" s="612"/>
      <c r="AR36" s="612"/>
      <c r="AS36" s="612"/>
      <c r="AX36" s="832" t="s">
        <v>496</v>
      </c>
    </row>
    <row r="37" spans="1:57" ht="16.5" customHeight="1">
      <c r="B37" s="823" t="s">
        <v>497</v>
      </c>
      <c r="C37" s="833"/>
      <c r="D37" s="769" t="s">
        <v>265</v>
      </c>
      <c r="E37" s="615"/>
      <c r="F37" s="612"/>
      <c r="G37" s="786"/>
      <c r="H37" s="787"/>
      <c r="I37" s="787"/>
      <c r="J37" s="612"/>
      <c r="K37" s="615"/>
      <c r="L37" s="825" t="s">
        <v>498</v>
      </c>
      <c r="M37" s="826">
        <f>IF(C31&gt;0,C41,)</f>
        <v>0</v>
      </c>
      <c r="N37" s="827">
        <f>C37*C31</f>
        <v>0</v>
      </c>
      <c r="O37" s="828" t="s">
        <v>201</v>
      </c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12"/>
      <c r="AJ37" s="612"/>
      <c r="AK37" s="612"/>
      <c r="AL37" s="612"/>
      <c r="AM37" s="612"/>
      <c r="AN37" s="612"/>
      <c r="AO37" s="612"/>
      <c r="AP37" s="612"/>
      <c r="AQ37" s="612"/>
      <c r="AR37" s="612"/>
      <c r="AS37" s="612"/>
      <c r="AX37" t="s">
        <v>499</v>
      </c>
    </row>
    <row r="38" spans="1:57" ht="16.5" customHeight="1">
      <c r="B38" s="834" t="s">
        <v>396</v>
      </c>
      <c r="C38" s="835"/>
      <c r="D38" s="769"/>
      <c r="E38" s="615"/>
      <c r="F38" s="615"/>
      <c r="G38" s="765"/>
      <c r="H38" s="766"/>
      <c r="I38" s="766"/>
      <c r="J38" s="615"/>
      <c r="K38" s="615"/>
      <c r="L38" s="776" t="s">
        <v>472</v>
      </c>
      <c r="M38" s="755" t="str">
        <f>IF(C32&gt;0,C32+25&amp;" 형","")</f>
        <v/>
      </c>
      <c r="N38" s="756">
        <f>ROUNDUP(C29/3,0)</f>
        <v>0</v>
      </c>
      <c r="O38" s="757" t="s">
        <v>265</v>
      </c>
      <c r="P38" s="612"/>
      <c r="Q38" s="612"/>
      <c r="R38" s="612"/>
      <c r="S38" s="612"/>
      <c r="T38" s="612"/>
      <c r="U38" s="612"/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  <c r="AH38" s="612"/>
      <c r="AI38" s="612"/>
      <c r="AJ38" s="612"/>
      <c r="AK38" s="612"/>
      <c r="AL38" s="612"/>
      <c r="AM38" s="612"/>
      <c r="AN38" s="612"/>
      <c r="AO38" s="612"/>
      <c r="AP38" s="612"/>
      <c r="AQ38" s="612"/>
      <c r="AR38" s="612"/>
      <c r="AS38" s="612"/>
      <c r="AX38" t="s">
        <v>500</v>
      </c>
    </row>
    <row r="39" spans="1:57" ht="16.5" customHeight="1">
      <c r="B39" s="1627" t="s">
        <v>476</v>
      </c>
      <c r="C39" s="1628"/>
      <c r="D39" s="1629"/>
      <c r="E39" s="615"/>
      <c r="F39" s="615"/>
      <c r="G39" s="786"/>
      <c r="H39" s="790"/>
      <c r="I39" s="790"/>
      <c r="J39" s="615"/>
      <c r="K39" s="615"/>
      <c r="L39" s="776" t="s">
        <v>473</v>
      </c>
      <c r="M39" s="755">
        <f>IF(C32&gt;0,C32+25&amp;" 형",)</f>
        <v>0</v>
      </c>
      <c r="N39" s="756">
        <f>IF(C31&gt;0,ROUNDUP(C33/3000,0)+(COUNTIF(G25:G28,"&gt;0")*2),)</f>
        <v>0</v>
      </c>
      <c r="O39" s="757" t="s">
        <v>265</v>
      </c>
      <c r="P39" s="612"/>
      <c r="Q39" s="612"/>
      <c r="R39" s="612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12"/>
      <c r="AJ39" s="612"/>
      <c r="AK39" s="612"/>
      <c r="AL39" s="612"/>
      <c r="AM39" s="612"/>
      <c r="AN39" s="612"/>
      <c r="AO39" s="612"/>
      <c r="AP39" s="612"/>
      <c r="AQ39" s="612"/>
      <c r="AR39" s="612"/>
      <c r="AS39" s="612"/>
      <c r="AX39" t="s">
        <v>501</v>
      </c>
    </row>
    <row r="40" spans="1:57" ht="16.5" customHeight="1" thickBot="1">
      <c r="B40" s="1631" t="s">
        <v>368</v>
      </c>
      <c r="C40" s="1632"/>
      <c r="D40" s="1633"/>
      <c r="E40" s="489"/>
      <c r="F40" s="615"/>
      <c r="G40" s="786"/>
      <c r="H40" s="790"/>
      <c r="I40" s="790"/>
      <c r="J40" s="615"/>
      <c r="K40" s="615"/>
      <c r="L40" s="776" t="s">
        <v>474</v>
      </c>
      <c r="M40" s="755">
        <f>IF(C32&gt;0,C32&amp;" 형",)</f>
        <v>0</v>
      </c>
      <c r="N40" s="756">
        <f>ROUNDUP(C29/3,0)</f>
        <v>0</v>
      </c>
      <c r="O40" s="757" t="s">
        <v>265</v>
      </c>
      <c r="P40" s="612"/>
      <c r="Q40" s="612"/>
      <c r="R40" s="612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12"/>
      <c r="AJ40" s="612"/>
      <c r="AK40" s="612"/>
      <c r="AL40" s="612"/>
      <c r="AM40" s="612"/>
      <c r="AN40" s="612"/>
      <c r="AO40" s="612"/>
      <c r="AP40" s="612"/>
      <c r="AQ40" s="612"/>
      <c r="AR40" s="612"/>
      <c r="AS40" s="612"/>
      <c r="BD40" s="1262"/>
      <c r="BE40" s="1262"/>
    </row>
    <row r="41" spans="1:57" ht="16.5" customHeight="1" thickTop="1">
      <c r="B41" s="792" t="s">
        <v>498</v>
      </c>
      <c r="C41" s="793">
        <f>IF(C37&gt;0,(C30-20)-(C36+C35),)</f>
        <v>0</v>
      </c>
      <c r="D41" s="794" t="s">
        <v>384</v>
      </c>
      <c r="E41" s="615"/>
      <c r="F41" s="615"/>
      <c r="G41" s="765"/>
      <c r="H41" s="766"/>
      <c r="I41" s="766"/>
      <c r="J41" s="615"/>
      <c r="K41" s="615"/>
      <c r="L41" s="776" t="s">
        <v>475</v>
      </c>
      <c r="M41" s="755"/>
      <c r="N41" s="756">
        <f>C33+(C34*2)</f>
        <v>0</v>
      </c>
      <c r="O41" s="757" t="s">
        <v>265</v>
      </c>
      <c r="P41" s="612"/>
      <c r="Q41" s="612"/>
      <c r="R41" s="612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2"/>
      <c r="AL41" s="612"/>
      <c r="AM41" s="612"/>
      <c r="AN41" s="612"/>
      <c r="AO41" s="612"/>
      <c r="AP41" s="612"/>
      <c r="AQ41" s="612"/>
      <c r="AR41" s="612"/>
      <c r="AS41" s="612"/>
      <c r="AX41" s="820" t="s">
        <v>502</v>
      </c>
    </row>
    <row r="42" spans="1:57" ht="16.5" customHeight="1">
      <c r="B42" s="770" t="s">
        <v>479</v>
      </c>
      <c r="C42" s="772">
        <v>886</v>
      </c>
      <c r="D42" s="769" t="s">
        <v>384</v>
      </c>
      <c r="E42" s="615"/>
      <c r="F42" s="615"/>
      <c r="G42" s="614"/>
      <c r="H42" s="795"/>
      <c r="I42" s="795"/>
      <c r="J42" s="615"/>
      <c r="K42" s="615"/>
      <c r="L42" s="776" t="str">
        <f>B43&amp;" "&amp;C43&amp;"매"</f>
        <v>크린매트 50t 24k 28매</v>
      </c>
      <c r="M42" s="772"/>
      <c r="N42" s="756">
        <f>ROUNDUP((C46-((C42/1000)*(C35/1000)*C37))/C44,0)</f>
        <v>0</v>
      </c>
      <c r="O42" s="757" t="s">
        <v>265</v>
      </c>
      <c r="P42" s="612"/>
      <c r="Q42" s="612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12"/>
      <c r="AJ42" s="612"/>
      <c r="AK42" s="612"/>
      <c r="AL42" s="612"/>
      <c r="AM42" s="612"/>
      <c r="AN42" s="612"/>
      <c r="AO42" s="612"/>
      <c r="AP42" s="612"/>
      <c r="AQ42" s="612"/>
      <c r="AR42" s="612"/>
      <c r="AS42" s="612"/>
      <c r="AV42" s="1262" t="s">
        <v>106</v>
      </c>
      <c r="AW42" s="1262"/>
    </row>
    <row r="43" spans="1:57" ht="16.5" customHeight="1">
      <c r="B43" s="770" t="s">
        <v>392</v>
      </c>
      <c r="C43" s="796">
        <v>28</v>
      </c>
      <c r="D43" s="769" t="s">
        <v>393</v>
      </c>
      <c r="E43" s="615"/>
      <c r="F43" s="489"/>
      <c r="G43" s="797"/>
      <c r="H43" s="771"/>
      <c r="I43" s="771"/>
      <c r="J43" s="615"/>
      <c r="K43" s="615"/>
      <c r="L43" s="776" t="s">
        <v>477</v>
      </c>
      <c r="M43" s="755"/>
      <c r="N43" s="836">
        <f>IF(C31&gt;0,ROUNDUP((G29/2*C31*(C30/1000)+((C37*0.9*2*C31)+(C33*0.9*2)+(C34*1.8*2)))*1.05,0),"")</f>
        <v>0</v>
      </c>
      <c r="O43" s="757" t="s">
        <v>378</v>
      </c>
      <c r="P43" s="612"/>
      <c r="Q43" s="612"/>
      <c r="R43" s="612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12"/>
      <c r="AJ43" s="612"/>
      <c r="AK43" s="612"/>
      <c r="AL43" s="612"/>
      <c r="AM43" s="612"/>
      <c r="AN43" s="612"/>
      <c r="AO43" s="612"/>
      <c r="AP43" s="612"/>
      <c r="AQ43" s="612"/>
      <c r="AR43" s="612"/>
      <c r="AS43" s="612"/>
    </row>
    <row r="44" spans="1:57" ht="16.5" customHeight="1">
      <c r="B44" s="834" t="s">
        <v>382</v>
      </c>
      <c r="C44" s="799">
        <f>0.45*C43</f>
        <v>12.6</v>
      </c>
      <c r="D44" s="769" t="s">
        <v>482</v>
      </c>
      <c r="E44" s="615"/>
      <c r="F44" s="902"/>
      <c r="G44" s="797"/>
      <c r="H44" s="800"/>
      <c r="I44" s="800"/>
      <c r="J44" s="902"/>
      <c r="K44" s="615"/>
      <c r="L44" s="1636" t="s">
        <v>480</v>
      </c>
      <c r="M44" s="1637"/>
      <c r="N44" s="1637"/>
      <c r="O44" s="1638"/>
      <c r="P44" s="612"/>
      <c r="Q44" s="612"/>
      <c r="R44" s="612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  <c r="AH44" s="612"/>
      <c r="AI44" s="612"/>
      <c r="AJ44" s="612"/>
      <c r="AK44" s="612"/>
      <c r="AL44" s="612"/>
      <c r="AM44" s="612"/>
      <c r="AN44" s="612"/>
      <c r="AO44" s="612"/>
      <c r="AP44" s="612"/>
      <c r="AQ44" s="612"/>
      <c r="AR44" s="612"/>
      <c r="AS44" s="612"/>
      <c r="AU44" s="1262" t="s">
        <v>503</v>
      </c>
      <c r="AV44" s="1262"/>
      <c r="AW44" s="1262"/>
      <c r="AX44" s="1262"/>
      <c r="AY44" s="1262"/>
      <c r="AZ44" s="1262"/>
      <c r="BA44" s="1262"/>
      <c r="BB44" s="1262"/>
      <c r="BC44" s="1262"/>
      <c r="BD44" s="1262"/>
    </row>
    <row r="45" spans="1:57" ht="16.5" customHeight="1">
      <c r="B45" s="805" t="s">
        <v>483</v>
      </c>
      <c r="C45" s="772">
        <f>IF(C30&gt;120,C30-110,)</f>
        <v>0</v>
      </c>
      <c r="D45" s="769" t="s">
        <v>384</v>
      </c>
      <c r="E45" s="615"/>
      <c r="F45" s="902"/>
      <c r="G45" s="797"/>
      <c r="H45" s="800"/>
      <c r="I45" s="800"/>
      <c r="J45" s="902"/>
      <c r="K45" s="615"/>
      <c r="L45" s="1636" t="s">
        <v>481</v>
      </c>
      <c r="M45" s="1637"/>
      <c r="N45" s="1637"/>
      <c r="O45" s="1638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12"/>
      <c r="AJ45" s="612"/>
      <c r="AK45" s="612"/>
      <c r="AL45" s="612"/>
      <c r="AM45" s="612"/>
      <c r="AN45" s="612"/>
      <c r="AO45" s="612"/>
      <c r="AP45" s="612"/>
      <c r="AQ45" s="612"/>
      <c r="AR45" s="612"/>
      <c r="AS45" s="612"/>
      <c r="AW45" s="1630" t="s">
        <v>98</v>
      </c>
      <c r="AX45" s="1630"/>
      <c r="AY45" s="1630"/>
      <c r="AZ45" s="1630"/>
      <c r="BA45" s="1630"/>
      <c r="BB45" s="1630"/>
    </row>
    <row r="46" spans="1:57" ht="16.5" customHeight="1" thickBot="1">
      <c r="B46" s="806" t="s">
        <v>375</v>
      </c>
      <c r="C46" s="807">
        <f>ROUNDUP(C29*(C30/1000),1)</f>
        <v>0</v>
      </c>
      <c r="D46" s="808" t="s">
        <v>484</v>
      </c>
      <c r="E46" s="809"/>
      <c r="F46" s="902"/>
      <c r="G46" s="797"/>
      <c r="H46" s="800"/>
      <c r="I46" s="800"/>
      <c r="J46" s="902"/>
      <c r="K46" s="616"/>
      <c r="L46" s="810"/>
      <c r="M46" s="811"/>
      <c r="N46" s="812"/>
      <c r="O46" s="813"/>
      <c r="P46" s="612"/>
      <c r="Q46" s="612"/>
      <c r="R46" s="612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12"/>
      <c r="AJ46" s="612"/>
      <c r="AK46" s="612"/>
      <c r="AL46" s="612"/>
      <c r="AM46" s="612"/>
      <c r="AN46" s="612"/>
      <c r="AO46" s="612"/>
      <c r="AP46" s="612"/>
      <c r="AQ46" s="612"/>
      <c r="AR46" s="612"/>
      <c r="AS46" s="612"/>
      <c r="AU46" s="1262" t="s">
        <v>504</v>
      </c>
      <c r="AV46" s="1262"/>
      <c r="AW46" s="1262"/>
      <c r="AX46" s="1262"/>
      <c r="AY46" s="1262"/>
      <c r="AZ46" s="1262"/>
      <c r="BA46" s="1262"/>
      <c r="BB46" s="1262"/>
      <c r="BC46" s="1262"/>
      <c r="BD46" s="1262"/>
    </row>
    <row r="47" spans="1:57" ht="19.5" customHeight="1" thickTop="1" thickBot="1">
      <c r="A47" s="904"/>
      <c r="B47" s="741" t="s">
        <v>505</v>
      </c>
      <c r="C47" s="612"/>
      <c r="D47" s="489"/>
      <c r="E47" s="489"/>
      <c r="F47" s="489"/>
      <c r="G47" s="837"/>
      <c r="H47" s="775"/>
      <c r="I47" s="775"/>
      <c r="J47" s="615"/>
      <c r="K47" s="615"/>
      <c r="L47" s="1429" t="str">
        <f>"S.G.P 칸막이 C타입  "&amp;C69&amp;" m2"</f>
        <v>S.G.P 칸막이 C타입  0 m2</v>
      </c>
      <c r="M47" s="1429"/>
      <c r="N47" s="1429"/>
      <c r="O47" s="1429"/>
      <c r="P47" s="612"/>
      <c r="Q47" s="612"/>
      <c r="R47" s="612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12"/>
      <c r="AJ47" s="612"/>
      <c r="AK47" s="612"/>
      <c r="AL47" s="612"/>
      <c r="AM47" s="612"/>
      <c r="AN47" s="612"/>
      <c r="AO47" s="612"/>
      <c r="AP47" s="612"/>
      <c r="AQ47" s="612"/>
      <c r="AR47" s="612"/>
      <c r="AS47" s="612"/>
      <c r="AU47" s="1261"/>
      <c r="AV47" s="1261"/>
      <c r="AW47" s="1261"/>
      <c r="AX47" s="1261"/>
      <c r="AY47" s="1261"/>
      <c r="AZ47" s="1261"/>
      <c r="BA47" s="1261"/>
      <c r="BB47" s="1261"/>
      <c r="BC47" s="1261"/>
    </row>
    <row r="48" spans="1:57" ht="16.5" customHeight="1" thickTop="1">
      <c r="B48" s="743" t="s">
        <v>420</v>
      </c>
      <c r="C48" s="744"/>
      <c r="D48" s="745" t="s">
        <v>378</v>
      </c>
      <c r="E48" s="612"/>
      <c r="F48" s="612">
        <f>IF(C54&gt;0,ROUNDUP(C48/(C65/1000),3),)</f>
        <v>0</v>
      </c>
      <c r="G48" s="612">
        <f>IF(C$54&gt;0,INT(C48/(C$65/1000)),)</f>
        <v>0</v>
      </c>
      <c r="H48" s="746">
        <f>F48-G48</f>
        <v>0</v>
      </c>
      <c r="I48" s="612">
        <f>ROUNDUP(H48*C65,-1)</f>
        <v>0</v>
      </c>
      <c r="J48" s="489"/>
      <c r="K48" s="612"/>
      <c r="L48" s="747" t="s">
        <v>77</v>
      </c>
      <c r="M48" s="748" t="s">
        <v>255</v>
      </c>
      <c r="N48" s="748" t="s">
        <v>249</v>
      </c>
      <c r="O48" s="749" t="s">
        <v>379</v>
      </c>
      <c r="P48" s="612"/>
      <c r="Q48" s="612"/>
      <c r="R48" s="612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12"/>
      <c r="AJ48" s="612"/>
      <c r="AK48" s="612"/>
      <c r="AL48" s="612"/>
      <c r="AM48" s="612"/>
      <c r="AN48" s="612"/>
      <c r="AO48" s="612"/>
      <c r="AP48" s="612"/>
      <c r="AQ48" s="612"/>
      <c r="AR48" s="612"/>
      <c r="AS48" s="612"/>
      <c r="AU48" s="1584" t="s">
        <v>506</v>
      </c>
      <c r="AV48" s="1261"/>
      <c r="AW48" s="1261"/>
      <c r="AX48" s="1261"/>
      <c r="AY48" s="1261"/>
      <c r="AZ48" s="1261"/>
      <c r="BA48" s="1261"/>
      <c r="BB48" s="1261"/>
      <c r="BC48" s="1261"/>
    </row>
    <row r="49" spans="2:57" ht="16.5" customHeight="1">
      <c r="B49" s="751" t="s">
        <v>430</v>
      </c>
      <c r="C49" s="752"/>
      <c r="D49" s="753" t="s">
        <v>378</v>
      </c>
      <c r="E49" s="612"/>
      <c r="F49" s="612">
        <f>IF(C54&gt;0,ROUNDUP(C49/(C65/1000),3),)</f>
        <v>0</v>
      </c>
      <c r="G49" s="612">
        <f t="shared" ref="G49:G51" si="10">IF(C$54&gt;0,INT(C49/(C$65/1000)),)</f>
        <v>0</v>
      </c>
      <c r="H49" s="746">
        <f>F49-G49</f>
        <v>0</v>
      </c>
      <c r="I49" s="612">
        <f>ROUNDUP(H49*C65,-1)</f>
        <v>0</v>
      </c>
      <c r="J49" s="489"/>
      <c r="K49" s="615"/>
      <c r="L49" s="754" t="str">
        <f>IF(C55&gt;0,C55&amp;"mm 스터드","스터드 두께 확인")</f>
        <v>스터드 두께 확인</v>
      </c>
      <c r="M49" s="755">
        <f>C53</f>
        <v>0</v>
      </c>
      <c r="N49" s="756">
        <f>IF(C54&gt;0,SUM(G48:G51)+COUNTIF(G48:G51,"&gt;0")*2+C60,)</f>
        <v>0</v>
      </c>
      <c r="O49" s="757" t="s">
        <v>265</v>
      </c>
      <c r="P49" s="612"/>
      <c r="Q49" s="612"/>
      <c r="R49" s="612"/>
      <c r="S49" s="612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612"/>
      <c r="AJ49" s="612"/>
      <c r="AK49" s="612"/>
      <c r="AL49" s="612"/>
      <c r="AM49" s="612"/>
      <c r="AN49" s="612"/>
      <c r="AO49" s="612"/>
      <c r="AP49" s="612"/>
      <c r="AQ49" s="612"/>
      <c r="AR49" s="612"/>
      <c r="AS49" s="612"/>
      <c r="AU49" s="1261"/>
      <c r="AV49" s="1261"/>
      <c r="AW49" s="1261"/>
      <c r="AX49" s="1261"/>
      <c r="AY49" s="1261"/>
      <c r="AZ49" s="1261"/>
      <c r="BA49" s="1261"/>
      <c r="BB49" s="1261"/>
      <c r="BC49" s="1261"/>
    </row>
    <row r="50" spans="2:57" ht="16.5" customHeight="1">
      <c r="B50" s="751" t="s">
        <v>439</v>
      </c>
      <c r="C50" s="752"/>
      <c r="D50" s="753" t="s">
        <v>378</v>
      </c>
      <c r="E50" s="612"/>
      <c r="F50" s="612">
        <f>IF(C54&gt;0,ROUNDUP(C50/(C65/1000),3),)</f>
        <v>0</v>
      </c>
      <c r="G50" s="612">
        <f t="shared" si="10"/>
        <v>0</v>
      </c>
      <c r="H50" s="746">
        <f>F50-G50</f>
        <v>0</v>
      </c>
      <c r="I50" s="612">
        <f>ROUNDUP(H50*C65,-1)</f>
        <v>0</v>
      </c>
      <c r="J50" s="489"/>
      <c r="K50" s="615"/>
      <c r="L50" s="758" t="s">
        <v>440</v>
      </c>
      <c r="M50" s="755">
        <f>C68</f>
        <v>0</v>
      </c>
      <c r="N50" s="756">
        <f>IF(C54&gt;0,G52-(C56*2)-(C57*4)-(C58*C54),)</f>
        <v>0</v>
      </c>
      <c r="O50" s="757" t="s">
        <v>201</v>
      </c>
      <c r="P50" s="612"/>
      <c r="Q50" s="612"/>
      <c r="R50" s="612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12"/>
      <c r="AJ50" s="612"/>
      <c r="AK50" s="612"/>
      <c r="AL50" s="612"/>
      <c r="AM50" s="612"/>
      <c r="AN50" s="612"/>
      <c r="AO50" s="612"/>
      <c r="AP50" s="612"/>
      <c r="AQ50" s="612"/>
      <c r="AR50" s="612"/>
      <c r="AS50" s="612"/>
    </row>
    <row r="51" spans="2:57" ht="16.5" customHeight="1" thickBot="1">
      <c r="B51" s="759" t="s">
        <v>446</v>
      </c>
      <c r="C51" s="760"/>
      <c r="D51" s="761" t="s">
        <v>378</v>
      </c>
      <c r="E51" s="612"/>
      <c r="F51" s="612">
        <f>IF(C54&gt;0,ROUNDUP(C51/(C65/1000),3),)</f>
        <v>0</v>
      </c>
      <c r="G51" s="612">
        <f t="shared" si="10"/>
        <v>0</v>
      </c>
      <c r="H51" s="746">
        <f>F51-G51</f>
        <v>0</v>
      </c>
      <c r="I51" s="612">
        <f>ROUNDUP(H51*C65,-1)</f>
        <v>0</v>
      </c>
      <c r="J51" s="615"/>
      <c r="K51" s="615"/>
      <c r="L51" s="1586" t="s">
        <v>447</v>
      </c>
      <c r="M51" s="755">
        <f>IF(I48&gt;0,I48,)</f>
        <v>0</v>
      </c>
      <c r="N51" s="756">
        <f>IF(I48&gt;0,C54,)</f>
        <v>0</v>
      </c>
      <c r="O51" s="757" t="s">
        <v>201</v>
      </c>
      <c r="P51" s="612"/>
      <c r="Q51" s="612"/>
      <c r="R51" s="612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  <c r="AH51" s="612"/>
      <c r="AI51" s="612"/>
      <c r="AJ51" s="612"/>
      <c r="AK51" s="612"/>
      <c r="AL51" s="612"/>
      <c r="AM51" s="612"/>
      <c r="AN51" s="612"/>
      <c r="AO51" s="612"/>
      <c r="AP51" s="612"/>
      <c r="AQ51" s="612"/>
      <c r="AR51" s="612"/>
      <c r="AS51" s="612"/>
    </row>
    <row r="52" spans="2:57" ht="16.5" customHeight="1" thickTop="1">
      <c r="B52" s="762" t="s">
        <v>452</v>
      </c>
      <c r="C52" s="763">
        <f>SUM(C48:C51)</f>
        <v>0</v>
      </c>
      <c r="D52" s="764" t="s">
        <v>378</v>
      </c>
      <c r="E52" s="612"/>
      <c r="F52" s="615"/>
      <c r="G52" s="765">
        <f>SUM(G48:G51)*C54</f>
        <v>0</v>
      </c>
      <c r="H52" s="766"/>
      <c r="I52" s="766"/>
      <c r="J52" s="615"/>
      <c r="K52" s="615"/>
      <c r="L52" s="1586"/>
      <c r="M52" s="755">
        <f>IF(I49&gt;0,I49,)</f>
        <v>0</v>
      </c>
      <c r="N52" s="756">
        <f>IF(I49&gt;0,C54,)</f>
        <v>0</v>
      </c>
      <c r="O52" s="757" t="s">
        <v>201</v>
      </c>
      <c r="P52" s="612"/>
      <c r="Q52" s="612"/>
      <c r="R52" s="612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12"/>
      <c r="AJ52" s="612"/>
      <c r="AK52" s="612"/>
      <c r="AL52" s="612"/>
      <c r="AM52" s="612"/>
      <c r="AN52" s="612"/>
      <c r="AO52" s="612"/>
      <c r="AP52" s="612"/>
      <c r="AQ52" s="612"/>
      <c r="AR52" s="612"/>
      <c r="AS52" s="612"/>
    </row>
    <row r="53" spans="2:57" ht="16.5" customHeight="1">
      <c r="B53" s="822" t="s">
        <v>458</v>
      </c>
      <c r="C53" s="768"/>
      <c r="D53" s="769" t="s">
        <v>384</v>
      </c>
      <c r="E53" s="615"/>
      <c r="F53" s="615"/>
      <c r="G53" s="765"/>
      <c r="H53" s="766"/>
      <c r="I53" s="766"/>
      <c r="J53" s="615"/>
      <c r="K53" s="615"/>
      <c r="L53" s="1586"/>
      <c r="M53" s="755">
        <f>IF(I50&gt;0,I50,)</f>
        <v>0</v>
      </c>
      <c r="N53" s="756">
        <f>IF(I50&gt;0,C54,)</f>
        <v>0</v>
      </c>
      <c r="O53" s="757" t="s">
        <v>201</v>
      </c>
      <c r="P53" s="612"/>
      <c r="Q53" s="612"/>
      <c r="R53" s="612"/>
      <c r="S53" s="612"/>
      <c r="T53" s="612"/>
      <c r="U53" s="612"/>
      <c r="V53" s="612"/>
      <c r="W53" s="612"/>
      <c r="X53" s="612"/>
      <c r="Y53" s="612"/>
      <c r="Z53" s="612"/>
      <c r="AA53" s="612"/>
      <c r="AB53" s="612"/>
      <c r="AC53" s="612"/>
      <c r="AD53" s="612"/>
      <c r="AE53" s="612"/>
      <c r="AF53" s="612"/>
      <c r="AG53" s="612"/>
      <c r="AH53" s="612"/>
      <c r="AI53" s="612"/>
      <c r="AJ53" s="612"/>
      <c r="AK53" s="612"/>
      <c r="AL53" s="612"/>
      <c r="AM53" s="612"/>
      <c r="AN53" s="612"/>
      <c r="AO53" s="612"/>
      <c r="AP53" s="612"/>
      <c r="AQ53" s="612"/>
      <c r="AR53" s="612"/>
      <c r="AS53" s="612"/>
    </row>
    <row r="54" spans="2:57" ht="16.5" customHeight="1">
      <c r="B54" s="770" t="s">
        <v>390</v>
      </c>
      <c r="C54" s="768">
        <v>2</v>
      </c>
      <c r="D54" s="769" t="s">
        <v>391</v>
      </c>
      <c r="E54" s="615"/>
      <c r="F54" s="615"/>
      <c r="G54" s="612"/>
      <c r="H54" s="612"/>
      <c r="I54" s="771"/>
      <c r="J54" s="489"/>
      <c r="K54" s="615"/>
      <c r="L54" s="1586"/>
      <c r="M54" s="755">
        <f>IF(I51&gt;0,I51,)</f>
        <v>0</v>
      </c>
      <c r="N54" s="756">
        <f>IF(I51&gt;0,C54,)</f>
        <v>0</v>
      </c>
      <c r="O54" s="757" t="s">
        <v>201</v>
      </c>
      <c r="P54" s="612"/>
      <c r="Q54" s="612"/>
      <c r="R54" s="612"/>
      <c r="S54" s="612"/>
      <c r="T54" s="612"/>
      <c r="U54" s="612"/>
      <c r="V54" s="612"/>
      <c r="W54" s="612"/>
      <c r="X54" s="612"/>
      <c r="Y54" s="612"/>
      <c r="Z54" s="612"/>
      <c r="AA54" s="612"/>
      <c r="AB54" s="612"/>
      <c r="AC54" s="612"/>
      <c r="AD54" s="612"/>
      <c r="AE54" s="612"/>
      <c r="AF54" s="612"/>
      <c r="AG54" s="612"/>
      <c r="AH54" s="612"/>
      <c r="AI54" s="612"/>
      <c r="AJ54" s="612"/>
      <c r="AK54" s="612"/>
      <c r="AL54" s="612"/>
      <c r="AM54" s="612"/>
      <c r="AN54" s="612"/>
      <c r="AO54" s="612"/>
      <c r="AP54" s="612"/>
      <c r="AQ54" s="612"/>
      <c r="AR54" s="612"/>
      <c r="AS54" s="612"/>
    </row>
    <row r="55" spans="2:57" ht="16.5" customHeight="1">
      <c r="B55" s="770" t="s">
        <v>466</v>
      </c>
      <c r="C55" s="768"/>
      <c r="D55" s="769" t="s">
        <v>384</v>
      </c>
      <c r="E55" s="615"/>
      <c r="F55" s="615"/>
      <c r="G55" s="612"/>
      <c r="H55" s="612"/>
      <c r="I55" s="773"/>
      <c r="J55" s="489"/>
      <c r="K55" s="615"/>
      <c r="L55" s="758" t="s">
        <v>467</v>
      </c>
      <c r="M55" s="755">
        <f>IF((C57+C58)&gt;0,M50-2000,)</f>
        <v>0</v>
      </c>
      <c r="N55" s="756">
        <f>(C56*2)+(C57*4)</f>
        <v>0</v>
      </c>
      <c r="O55" s="757" t="s">
        <v>201</v>
      </c>
      <c r="P55" s="612"/>
      <c r="Q55" s="612"/>
      <c r="R55" s="612"/>
      <c r="S55" s="612"/>
      <c r="T55" s="612"/>
      <c r="U55" s="612"/>
      <c r="V55" s="612"/>
      <c r="W55" s="612"/>
      <c r="X55" s="612"/>
      <c r="Y55" s="612"/>
      <c r="Z55" s="612"/>
      <c r="AA55" s="612"/>
      <c r="AB55" s="612"/>
      <c r="AC55" s="612"/>
      <c r="AD55" s="612"/>
      <c r="AE55" s="612"/>
      <c r="AF55" s="612"/>
      <c r="AG55" s="612"/>
      <c r="AH55" s="612"/>
      <c r="AI55" s="612"/>
      <c r="AJ55" s="612"/>
      <c r="AK55" s="612"/>
      <c r="AL55" s="612"/>
      <c r="AM55" s="612"/>
      <c r="AN55" s="612"/>
      <c r="AO55" s="612"/>
      <c r="AP55" s="612"/>
      <c r="AQ55" s="612"/>
      <c r="AR55" s="612"/>
      <c r="AS55" s="612"/>
    </row>
    <row r="56" spans="2:57" ht="16.5" customHeight="1">
      <c r="B56" s="770" t="s">
        <v>468</v>
      </c>
      <c r="C56" s="824"/>
      <c r="D56" s="769" t="s">
        <v>265</v>
      </c>
      <c r="E56" s="615"/>
      <c r="F56" s="615"/>
      <c r="G56" s="612"/>
      <c r="H56" s="612"/>
      <c r="I56" s="775"/>
      <c r="J56" s="489"/>
      <c r="K56" s="615"/>
      <c r="L56" s="776" t="s">
        <v>469</v>
      </c>
      <c r="M56" s="777">
        <f>IF(C55&gt;0,"880×2100",)</f>
        <v>0</v>
      </c>
      <c r="N56" s="756">
        <f>C56</f>
        <v>0</v>
      </c>
      <c r="O56" s="757" t="s">
        <v>265</v>
      </c>
      <c r="P56" s="612"/>
      <c r="Q56" s="612"/>
      <c r="R56" s="612"/>
      <c r="S56" s="612"/>
      <c r="T56" s="612"/>
      <c r="U56" s="612"/>
      <c r="V56" s="612"/>
      <c r="W56" s="612"/>
      <c r="X56" s="612"/>
      <c r="Y56" s="612"/>
      <c r="Z56" s="612"/>
      <c r="AA56" s="612"/>
      <c r="AB56" s="612"/>
      <c r="AC56" s="612"/>
      <c r="AD56" s="612"/>
      <c r="AE56" s="612"/>
      <c r="AF56" s="612"/>
      <c r="AG56" s="612"/>
      <c r="AH56" s="612"/>
      <c r="AI56" s="612"/>
      <c r="AJ56" s="612"/>
      <c r="AK56" s="612"/>
      <c r="AL56" s="612"/>
      <c r="AM56" s="612"/>
      <c r="AN56" s="612"/>
      <c r="AO56" s="612"/>
      <c r="AP56" s="612"/>
      <c r="AQ56" s="612"/>
      <c r="AR56" s="612"/>
      <c r="AS56" s="612"/>
    </row>
    <row r="57" spans="2:57" ht="16.5" customHeight="1">
      <c r="B57" s="770" t="s">
        <v>470</v>
      </c>
      <c r="C57" s="774"/>
      <c r="D57" s="769" t="s">
        <v>265</v>
      </c>
      <c r="E57" s="615"/>
      <c r="F57" s="615"/>
      <c r="G57" s="612"/>
      <c r="H57" s="612"/>
      <c r="I57" s="771"/>
      <c r="J57" s="489"/>
      <c r="K57" s="615"/>
      <c r="L57" s="776" t="s">
        <v>471</v>
      </c>
      <c r="M57" s="777">
        <f>IF(C55&gt;0,"1770×2100",)</f>
        <v>0</v>
      </c>
      <c r="N57" s="778">
        <f>C57</f>
        <v>0</v>
      </c>
      <c r="O57" s="757" t="s">
        <v>265</v>
      </c>
      <c r="P57" s="612"/>
      <c r="Q57" s="612"/>
      <c r="R57" s="612"/>
      <c r="S57" s="612"/>
      <c r="T57" s="612"/>
      <c r="U57" s="612"/>
      <c r="V57" s="612"/>
      <c r="W57" s="612"/>
      <c r="X57" s="612"/>
      <c r="Y57" s="612"/>
      <c r="Z57" s="612"/>
      <c r="AA57" s="612"/>
      <c r="AB57" s="612"/>
      <c r="AC57" s="612"/>
      <c r="AD57" s="612"/>
      <c r="AE57" s="612"/>
      <c r="AF57" s="612"/>
      <c r="AG57" s="612"/>
      <c r="AH57" s="612"/>
      <c r="AI57" s="612"/>
      <c r="AJ57" s="612"/>
      <c r="AK57" s="612"/>
      <c r="AL57" s="612"/>
      <c r="AM57" s="612"/>
      <c r="AN57" s="612"/>
      <c r="AO57" s="612"/>
      <c r="AP57" s="612"/>
      <c r="AQ57" s="612"/>
      <c r="AR57" s="612"/>
      <c r="AS57" s="612"/>
    </row>
    <row r="58" spans="2:57" ht="16.5" customHeight="1">
      <c r="B58" s="770" t="s">
        <v>497</v>
      </c>
      <c r="C58" s="774"/>
      <c r="D58" s="769" t="s">
        <v>265</v>
      </c>
      <c r="E58" s="615"/>
      <c r="F58" s="615"/>
      <c r="G58" s="612"/>
      <c r="H58" s="612"/>
      <c r="I58" s="782"/>
      <c r="J58" s="489"/>
      <c r="K58" s="615"/>
      <c r="L58" s="825" t="str">
        <f>B58</f>
        <v>S.G.P 픽스창</v>
      </c>
      <c r="M58" s="826">
        <f>IF(C59&gt;0,C59&amp;"×"&amp;"885",)</f>
        <v>0</v>
      </c>
      <c r="N58" s="827">
        <f>C58</f>
        <v>0</v>
      </c>
      <c r="O58" s="828" t="s">
        <v>265</v>
      </c>
      <c r="P58" s="612"/>
      <c r="Q58" s="61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</row>
    <row r="59" spans="2:57" ht="16.5" customHeight="1">
      <c r="B59" s="770" t="s">
        <v>493</v>
      </c>
      <c r="C59" s="838"/>
      <c r="D59" s="769" t="s">
        <v>384</v>
      </c>
      <c r="E59" s="615"/>
      <c r="F59" s="612"/>
      <c r="G59" s="786"/>
      <c r="H59" s="787"/>
      <c r="I59" s="787"/>
      <c r="J59" s="612"/>
      <c r="K59" s="615"/>
      <c r="L59" s="776" t="s">
        <v>495</v>
      </c>
      <c r="M59" s="830">
        <f>IF(C59&gt;0,C64,)</f>
        <v>0</v>
      </c>
      <c r="N59" s="756">
        <f>C58*C54</f>
        <v>0</v>
      </c>
      <c r="O59" s="831" t="s">
        <v>201</v>
      </c>
      <c r="P59" s="612"/>
      <c r="Q59" s="612"/>
      <c r="R59" s="612"/>
      <c r="S59" s="612"/>
      <c r="T59" s="612"/>
      <c r="U59" s="612"/>
      <c r="V59" s="612"/>
      <c r="W59" s="612"/>
      <c r="X59" s="612"/>
      <c r="Y59" s="612"/>
      <c r="Z59" s="612"/>
      <c r="AA59" s="612"/>
      <c r="AB59" s="612"/>
      <c r="AC59" s="612"/>
      <c r="AD59" s="612"/>
      <c r="AE59" s="612"/>
      <c r="AF59" s="612"/>
      <c r="AG59" s="612"/>
      <c r="AH59" s="612"/>
      <c r="AI59" s="612"/>
      <c r="AJ59" s="612"/>
      <c r="AK59" s="612"/>
      <c r="AL59" s="612"/>
      <c r="AM59" s="612"/>
      <c r="AN59" s="612"/>
      <c r="AO59" s="612"/>
      <c r="AP59" s="612"/>
      <c r="AQ59" s="612"/>
      <c r="AR59" s="612"/>
      <c r="AS59" s="612"/>
    </row>
    <row r="60" spans="2:57" ht="16.5" customHeight="1">
      <c r="B60" s="834" t="s">
        <v>396</v>
      </c>
      <c r="C60" s="835"/>
      <c r="D60" s="769"/>
      <c r="E60" s="615"/>
      <c r="F60" s="612"/>
      <c r="G60" s="786"/>
      <c r="H60" s="787"/>
      <c r="I60" s="787"/>
      <c r="J60" s="612"/>
      <c r="K60" s="615"/>
      <c r="L60" s="776" t="s">
        <v>472</v>
      </c>
      <c r="M60" s="755" t="str">
        <f>IF(C55&gt;0,C55+25&amp;" 형","")</f>
        <v/>
      </c>
      <c r="N60" s="756">
        <f>ROUNDUP(C52/3,0)</f>
        <v>0</v>
      </c>
      <c r="O60" s="757" t="s">
        <v>265</v>
      </c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612"/>
      <c r="AF60" s="612"/>
      <c r="AG60" s="612"/>
      <c r="AH60" s="612"/>
      <c r="AI60" s="612"/>
      <c r="AJ60" s="612"/>
      <c r="AK60" s="612"/>
      <c r="AL60" s="612"/>
      <c r="AM60" s="612"/>
      <c r="AN60" s="612"/>
      <c r="AO60" s="612"/>
      <c r="AP60" s="612"/>
      <c r="AQ60" s="612"/>
      <c r="AR60" s="612"/>
      <c r="AS60" s="612"/>
    </row>
    <row r="61" spans="2:57" ht="16.5" customHeight="1">
      <c r="B61" s="839"/>
      <c r="C61" s="840"/>
      <c r="D61" s="841"/>
      <c r="E61" s="489"/>
      <c r="F61" s="615"/>
      <c r="G61" s="765"/>
      <c r="H61" s="766"/>
      <c r="I61" s="766"/>
      <c r="J61" s="615"/>
      <c r="K61" s="615"/>
      <c r="L61" s="776" t="s">
        <v>473</v>
      </c>
      <c r="M61" s="755">
        <f>IF(C55&gt;0,C55+25&amp;" 형",)</f>
        <v>0</v>
      </c>
      <c r="N61" s="756">
        <f>IF(C54&gt;0,ROUNDUP(C56/3000,0)+(COUNTIF(G48:G51,"&gt;0")*2),)</f>
        <v>0</v>
      </c>
      <c r="O61" s="757" t="s">
        <v>265</v>
      </c>
      <c r="P61" s="612"/>
      <c r="Q61" s="612"/>
      <c r="R61" s="612"/>
      <c r="S61" s="612"/>
      <c r="T61" s="612"/>
      <c r="U61" s="612"/>
      <c r="V61" s="612"/>
      <c r="W61" s="612"/>
      <c r="X61" s="612"/>
      <c r="Y61" s="612"/>
      <c r="Z61" s="612"/>
      <c r="AA61" s="612"/>
      <c r="AB61" s="612"/>
      <c r="AC61" s="612"/>
      <c r="AD61" s="612"/>
      <c r="AE61" s="612"/>
      <c r="AF61" s="612"/>
      <c r="AG61" s="612"/>
      <c r="AH61" s="612"/>
      <c r="AI61" s="612"/>
      <c r="AJ61" s="612"/>
      <c r="AK61" s="612"/>
      <c r="AL61" s="612"/>
      <c r="AM61" s="612"/>
      <c r="AN61" s="612"/>
      <c r="AO61" s="612"/>
      <c r="AP61" s="612"/>
      <c r="AQ61" s="612"/>
      <c r="AR61" s="612"/>
      <c r="AS61" s="612"/>
    </row>
    <row r="62" spans="2:57" ht="16.5" customHeight="1">
      <c r="B62" s="1627" t="s">
        <v>476</v>
      </c>
      <c r="C62" s="1628"/>
      <c r="D62" s="1629"/>
      <c r="E62" s="615"/>
      <c r="F62" s="615"/>
      <c r="G62" s="765"/>
      <c r="H62" s="790"/>
      <c r="I62" s="790"/>
      <c r="J62" s="615"/>
      <c r="K62" s="615"/>
      <c r="L62" s="776" t="s">
        <v>474</v>
      </c>
      <c r="M62" s="755">
        <f>IF(C55&gt;0,C55&amp;" 형",)</f>
        <v>0</v>
      </c>
      <c r="N62" s="756">
        <f>ROUNDUP(C52/3,0)</f>
        <v>0</v>
      </c>
      <c r="O62" s="757" t="s">
        <v>265</v>
      </c>
      <c r="P62" s="612"/>
      <c r="Q62" s="612"/>
      <c r="R62" s="612"/>
      <c r="S62" s="612"/>
      <c r="T62" s="612"/>
      <c r="U62" s="612"/>
      <c r="V62" s="612"/>
      <c r="W62" s="612"/>
      <c r="X62" s="612"/>
      <c r="Y62" s="612"/>
      <c r="Z62" s="612"/>
      <c r="AA62" s="612"/>
      <c r="AB62" s="612"/>
      <c r="AC62" s="612"/>
      <c r="AD62" s="612"/>
      <c r="AE62" s="612"/>
      <c r="AF62" s="612"/>
      <c r="AG62" s="612"/>
      <c r="AH62" s="612"/>
      <c r="AI62" s="612"/>
      <c r="AJ62" s="612"/>
      <c r="AK62" s="612"/>
      <c r="AL62" s="612"/>
      <c r="AM62" s="612"/>
      <c r="AN62" s="612"/>
      <c r="AO62" s="612"/>
      <c r="AP62" s="612"/>
      <c r="AQ62" s="612"/>
      <c r="AR62" s="612"/>
      <c r="AS62" s="612"/>
    </row>
    <row r="63" spans="2:57" ht="16.5" customHeight="1" thickBot="1">
      <c r="B63" s="1631" t="s">
        <v>368</v>
      </c>
      <c r="C63" s="1632"/>
      <c r="D63" s="1633"/>
      <c r="E63" s="489"/>
      <c r="F63" s="615"/>
      <c r="G63" s="765"/>
      <c r="H63" s="790"/>
      <c r="I63" s="790"/>
      <c r="J63" s="615"/>
      <c r="K63" s="615"/>
      <c r="L63" s="776" t="s">
        <v>475</v>
      </c>
      <c r="M63" s="755"/>
      <c r="N63" s="756">
        <f>C56+(C57*2)</f>
        <v>0</v>
      </c>
      <c r="O63" s="757" t="s">
        <v>265</v>
      </c>
      <c r="P63" s="612"/>
      <c r="Q63" s="612"/>
      <c r="R63" s="612"/>
      <c r="S63" s="612"/>
      <c r="T63" s="612"/>
      <c r="U63" s="612"/>
      <c r="V63" s="612"/>
      <c r="W63" s="612"/>
      <c r="X63" s="612"/>
      <c r="Y63" s="612"/>
      <c r="Z63" s="612"/>
      <c r="AA63" s="612"/>
      <c r="AB63" s="612"/>
      <c r="AC63" s="612"/>
      <c r="AD63" s="612"/>
      <c r="AE63" s="612"/>
      <c r="AF63" s="612"/>
      <c r="AG63" s="612"/>
      <c r="AH63" s="612"/>
      <c r="AI63" s="612"/>
      <c r="AJ63" s="612"/>
      <c r="AK63" s="612"/>
      <c r="AL63" s="612"/>
      <c r="AM63" s="612"/>
      <c r="AN63" s="612"/>
      <c r="AO63" s="612"/>
      <c r="AP63" s="612"/>
      <c r="AQ63" s="612"/>
      <c r="AR63" s="612"/>
      <c r="AS63" s="612"/>
      <c r="BD63" s="1262"/>
      <c r="BE63" s="1262"/>
    </row>
    <row r="64" spans="2:57" ht="16.5" customHeight="1" thickTop="1">
      <c r="B64" s="762" t="s">
        <v>507</v>
      </c>
      <c r="C64" s="842">
        <f>(C53-120)-C59</f>
        <v>-120</v>
      </c>
      <c r="D64" s="843" t="s">
        <v>384</v>
      </c>
      <c r="E64" s="615"/>
      <c r="F64" s="615"/>
      <c r="G64" s="765"/>
      <c r="H64" s="766"/>
      <c r="I64" s="766"/>
      <c r="J64" s="615"/>
      <c r="K64" s="615"/>
      <c r="L64" s="776" t="str">
        <f>B66&amp;" "&amp;C66&amp;"매"</f>
        <v>크린매트 50t 24k 28매</v>
      </c>
      <c r="M64" s="772"/>
      <c r="N64" s="756">
        <f>ROUNDUP((C69-((C65/1000)*(C59/1000)*C58))/C67,0)</f>
        <v>0</v>
      </c>
      <c r="O64" s="757" t="s">
        <v>265</v>
      </c>
      <c r="P64" s="612"/>
      <c r="Q64" s="612"/>
      <c r="R64" s="612"/>
      <c r="S64" s="612"/>
      <c r="T64" s="612"/>
      <c r="U64" s="612"/>
      <c r="V64" s="612"/>
      <c r="W64" s="612"/>
      <c r="X64" s="612"/>
      <c r="Y64" s="612"/>
      <c r="Z64" s="612"/>
      <c r="AA64" s="612"/>
      <c r="AB64" s="612"/>
      <c r="AC64" s="612"/>
      <c r="AD64" s="612"/>
      <c r="AE64" s="612"/>
      <c r="AF64" s="612"/>
      <c r="AG64" s="612"/>
      <c r="AH64" s="612"/>
      <c r="AI64" s="612"/>
      <c r="AJ64" s="612"/>
      <c r="AK64" s="612"/>
      <c r="AL64" s="612"/>
      <c r="AM64" s="612"/>
      <c r="AN64" s="612"/>
      <c r="AO64" s="612"/>
      <c r="AP64" s="612"/>
      <c r="AQ64" s="612"/>
      <c r="AR64" s="612"/>
      <c r="AS64" s="612"/>
    </row>
    <row r="65" spans="1:55">
      <c r="B65" s="770" t="s">
        <v>479</v>
      </c>
      <c r="C65" s="772">
        <v>886</v>
      </c>
      <c r="D65" s="769" t="s">
        <v>384</v>
      </c>
      <c r="E65" s="615"/>
      <c r="F65" s="615"/>
      <c r="G65" s="765"/>
      <c r="H65" s="795"/>
      <c r="I65" s="795"/>
      <c r="J65" s="615"/>
      <c r="K65" s="615"/>
      <c r="L65" s="776" t="s">
        <v>477</v>
      </c>
      <c r="M65" s="755"/>
      <c r="N65" s="836">
        <f>IF(C54&gt;0,ROUNDUP((G52/2*C54*(C53/1000)+((C58*0.9*C54)+(C56*0.9*2)+(C57*1.8*2)))*1.05,0),"")</f>
        <v>0</v>
      </c>
      <c r="O65" s="757" t="s">
        <v>378</v>
      </c>
      <c r="P65" s="612"/>
      <c r="Q65" s="612"/>
      <c r="R65" s="612"/>
      <c r="S65" s="612"/>
      <c r="T65" s="612"/>
      <c r="U65" s="612"/>
      <c r="V65" s="612"/>
      <c r="W65" s="612"/>
      <c r="X65" s="612"/>
      <c r="Y65" s="612"/>
      <c r="Z65" s="612"/>
      <c r="AA65" s="612"/>
      <c r="AB65" s="612"/>
      <c r="AC65" s="612"/>
      <c r="AD65" s="612"/>
      <c r="AE65" s="612"/>
      <c r="AF65" s="612"/>
      <c r="AG65" s="612"/>
      <c r="AH65" s="612"/>
      <c r="AI65" s="612"/>
      <c r="AJ65" s="612"/>
      <c r="AK65" s="612"/>
      <c r="AL65" s="612"/>
      <c r="AM65" s="612"/>
      <c r="AN65" s="612"/>
      <c r="AO65" s="612"/>
      <c r="AP65" s="612"/>
      <c r="AQ65" s="612"/>
      <c r="AR65" s="612"/>
      <c r="AS65" s="612"/>
      <c r="AV65" s="1262" t="s">
        <v>107</v>
      </c>
      <c r="AW65" s="1262"/>
      <c r="AX65" s="1262" t="s">
        <v>107</v>
      </c>
      <c r="AY65" s="1262"/>
    </row>
    <row r="66" spans="1:55" ht="16.5" customHeight="1">
      <c r="B66" s="770" t="s">
        <v>392</v>
      </c>
      <c r="C66" s="796">
        <v>28</v>
      </c>
      <c r="D66" s="769" t="s">
        <v>393</v>
      </c>
      <c r="E66" s="615"/>
      <c r="F66" s="489"/>
      <c r="G66" s="797"/>
      <c r="H66" s="771"/>
      <c r="I66" s="771"/>
      <c r="J66" s="615"/>
      <c r="K66" s="615"/>
      <c r="L66" s="844"/>
      <c r="M66" s="845"/>
      <c r="N66" s="846"/>
      <c r="O66" s="804"/>
      <c r="P66" s="612"/>
      <c r="Q66" s="612"/>
      <c r="R66" s="612"/>
      <c r="S66" s="612"/>
      <c r="T66" s="612"/>
      <c r="U66" s="612"/>
      <c r="V66" s="612"/>
      <c r="W66" s="612"/>
      <c r="X66" s="612"/>
      <c r="Y66" s="612"/>
      <c r="Z66" s="612"/>
      <c r="AA66" s="612"/>
      <c r="AB66" s="612"/>
      <c r="AC66" s="612"/>
      <c r="AD66" s="612"/>
      <c r="AE66" s="612"/>
      <c r="AF66" s="612"/>
      <c r="AG66" s="612"/>
      <c r="AH66" s="612"/>
      <c r="AI66" s="612"/>
      <c r="AJ66" s="612"/>
      <c r="AK66" s="612"/>
      <c r="AL66" s="612"/>
      <c r="AM66" s="612"/>
      <c r="AN66" s="612"/>
      <c r="AO66" s="612"/>
      <c r="AP66" s="612"/>
      <c r="AQ66" s="612"/>
      <c r="AR66" s="612"/>
      <c r="AS66" s="612"/>
      <c r="AU66" s="1261"/>
      <c r="AV66" s="1261"/>
      <c r="AW66" s="1261"/>
      <c r="AX66" s="1261"/>
      <c r="AY66" s="1261"/>
      <c r="AZ66" s="1261"/>
      <c r="BA66" s="1261"/>
      <c r="BB66" s="1261"/>
      <c r="BC66" s="1261"/>
    </row>
    <row r="67" spans="1:55" ht="16.5" customHeight="1">
      <c r="B67" s="834" t="s">
        <v>382</v>
      </c>
      <c r="C67" s="799">
        <f>0.45*C66</f>
        <v>12.6</v>
      </c>
      <c r="D67" s="769" t="s">
        <v>482</v>
      </c>
      <c r="E67" s="615"/>
      <c r="F67" s="902"/>
      <c r="G67" s="797"/>
      <c r="H67" s="800"/>
      <c r="I67" s="800"/>
      <c r="J67" s="902"/>
      <c r="K67" s="615"/>
      <c r="L67" s="1636" t="s">
        <v>480</v>
      </c>
      <c r="M67" s="1637"/>
      <c r="N67" s="1637"/>
      <c r="O67" s="1638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612"/>
      <c r="AD67" s="612"/>
      <c r="AE67" s="612"/>
      <c r="AF67" s="612"/>
      <c r="AG67" s="612"/>
      <c r="AH67" s="612"/>
      <c r="AI67" s="612"/>
      <c r="AJ67" s="612"/>
      <c r="AK67" s="612"/>
      <c r="AL67" s="612"/>
      <c r="AM67" s="612"/>
      <c r="AN67" s="612"/>
      <c r="AO67" s="612"/>
      <c r="AP67" s="612"/>
      <c r="AQ67" s="612"/>
      <c r="AR67" s="612"/>
      <c r="AS67" s="612"/>
      <c r="AU67" s="1261"/>
      <c r="AV67" s="1261"/>
      <c r="AW67" s="1261"/>
      <c r="AX67" s="1261"/>
      <c r="AY67" s="1261"/>
      <c r="AZ67" s="1261"/>
      <c r="BA67" s="1261"/>
      <c r="BB67" s="1261"/>
      <c r="BC67" s="1261"/>
    </row>
    <row r="68" spans="1:55" ht="16.5" customHeight="1">
      <c r="B68" s="805" t="s">
        <v>483</v>
      </c>
      <c r="C68" s="772">
        <f>IF(C53&gt;120,C53-110,)</f>
        <v>0</v>
      </c>
      <c r="D68" s="769" t="s">
        <v>384</v>
      </c>
      <c r="E68" s="615"/>
      <c r="F68" s="902"/>
      <c r="G68" s="797"/>
      <c r="H68" s="800"/>
      <c r="I68" s="800"/>
      <c r="J68" s="902"/>
      <c r="K68" s="615"/>
      <c r="L68" s="1636" t="s">
        <v>481</v>
      </c>
      <c r="M68" s="1637"/>
      <c r="N68" s="1637"/>
      <c r="O68" s="1638"/>
      <c r="P68" s="612"/>
      <c r="Q68" s="612"/>
      <c r="R68" s="612"/>
      <c r="S68" s="612"/>
      <c r="T68" s="612"/>
      <c r="U68" s="612"/>
      <c r="V68" s="612"/>
      <c r="W68" s="612"/>
      <c r="X68" s="612"/>
      <c r="Y68" s="612"/>
      <c r="Z68" s="612"/>
      <c r="AA68" s="612"/>
      <c r="AB68" s="612"/>
      <c r="AC68" s="612"/>
      <c r="AD68" s="612"/>
      <c r="AE68" s="612"/>
      <c r="AF68" s="612"/>
      <c r="AG68" s="612"/>
      <c r="AH68" s="612"/>
      <c r="AI68" s="612"/>
      <c r="AJ68" s="612"/>
      <c r="AK68" s="612"/>
      <c r="AL68" s="612"/>
      <c r="AM68" s="612"/>
      <c r="AN68" s="612"/>
      <c r="AO68" s="612"/>
      <c r="AP68" s="612"/>
      <c r="AQ68" s="612"/>
      <c r="AR68" s="612"/>
      <c r="AS68" s="612"/>
      <c r="AU68" s="1261"/>
      <c r="AV68" s="1261"/>
      <c r="AW68" s="1261"/>
      <c r="AX68" s="1261"/>
      <c r="AY68" s="1261"/>
      <c r="AZ68" s="1261"/>
      <c r="BA68" s="1261"/>
      <c r="BB68" s="1261"/>
      <c r="BC68" s="1261"/>
    </row>
    <row r="69" spans="1:55" ht="16.5" customHeight="1" thickBot="1">
      <c r="B69" s="806" t="s">
        <v>375</v>
      </c>
      <c r="C69" s="807">
        <f>ROUNDUP(C52*(C53/1000),1)</f>
        <v>0</v>
      </c>
      <c r="D69" s="808" t="s">
        <v>484</v>
      </c>
      <c r="E69" s="809"/>
      <c r="F69" s="902"/>
      <c r="G69" s="797"/>
      <c r="H69" s="800"/>
      <c r="I69" s="800"/>
      <c r="J69" s="902"/>
      <c r="K69" s="616"/>
      <c r="L69" s="810"/>
      <c r="M69" s="811"/>
      <c r="N69" s="812"/>
      <c r="O69" s="813"/>
      <c r="P69" s="612"/>
      <c r="Q69" s="612"/>
      <c r="R69" s="612"/>
      <c r="S69" s="612"/>
      <c r="T69" s="612"/>
      <c r="U69" s="612"/>
      <c r="V69" s="61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  <c r="AH69" s="612"/>
      <c r="AI69" s="612"/>
      <c r="AJ69" s="612"/>
      <c r="AK69" s="612"/>
      <c r="AL69" s="612"/>
      <c r="AM69" s="612"/>
      <c r="AN69" s="612"/>
      <c r="AO69" s="612"/>
      <c r="AP69" s="612"/>
      <c r="AQ69" s="612"/>
      <c r="AR69" s="612"/>
      <c r="AS69" s="612"/>
      <c r="AU69" s="1261"/>
      <c r="AV69" s="1261"/>
      <c r="AW69" s="1261"/>
      <c r="AX69" s="1261"/>
      <c r="AY69" s="1261"/>
      <c r="AZ69" s="1261"/>
      <c r="BA69" s="1261"/>
      <c r="BB69" s="1261"/>
      <c r="BC69" s="1261"/>
    </row>
    <row r="70" spans="1:55" ht="16.5" customHeight="1" thickTop="1">
      <c r="B70" s="847"/>
      <c r="C70" s="848"/>
      <c r="D70" s="849"/>
      <c r="E70" s="809"/>
      <c r="F70" s="902"/>
      <c r="G70" s="797"/>
      <c r="H70" s="800"/>
      <c r="I70" s="800"/>
      <c r="J70" s="902"/>
      <c r="K70" s="616"/>
      <c r="L70" s="900"/>
      <c r="M70" s="850"/>
      <c r="N70" s="851"/>
      <c r="O70" s="850"/>
      <c r="P70" s="612"/>
      <c r="Q70" s="612"/>
      <c r="R70" s="612"/>
      <c r="S70" s="612"/>
      <c r="T70" s="612"/>
      <c r="U70" s="612"/>
      <c r="V70" s="612"/>
      <c r="W70" s="612"/>
      <c r="X70" s="612"/>
      <c r="Y70" s="612"/>
      <c r="Z70" s="612"/>
      <c r="AA70" s="612"/>
      <c r="AB70" s="612"/>
      <c r="AC70" s="612"/>
      <c r="AD70" s="612"/>
      <c r="AE70" s="612"/>
      <c r="AF70" s="612"/>
      <c r="AG70" s="612"/>
      <c r="AH70" s="612"/>
      <c r="AI70" s="612"/>
      <c r="AJ70" s="612"/>
      <c r="AK70" s="612"/>
      <c r="AL70" s="612"/>
      <c r="AM70" s="612"/>
      <c r="AN70" s="612"/>
      <c r="AO70" s="612"/>
      <c r="AP70" s="612"/>
      <c r="AQ70" s="612"/>
      <c r="AR70" s="612"/>
      <c r="AS70" s="612"/>
      <c r="AU70" s="1261"/>
      <c r="AV70" s="1261"/>
      <c r="AW70" s="1261"/>
      <c r="AX70" s="1261"/>
      <c r="AY70" s="1261"/>
      <c r="AZ70" s="1261"/>
      <c r="BA70" s="1261"/>
      <c r="BB70" s="1261"/>
      <c r="BC70" s="1261"/>
    </row>
    <row r="71" spans="1:55" ht="19.5" customHeight="1" thickBot="1">
      <c r="B71" s="741" t="s">
        <v>508</v>
      </c>
      <c r="C71" s="612"/>
      <c r="D71" s="489"/>
      <c r="E71" s="489"/>
      <c r="F71" s="489"/>
      <c r="G71" s="837"/>
      <c r="H71" s="775"/>
      <c r="I71" s="775"/>
      <c r="J71" s="615"/>
      <c r="K71" s="615"/>
      <c r="L71" s="1429" t="str">
        <f>"S.G.P 칸막이 D타입  "&amp;C92&amp;" m2"</f>
        <v>S.G.P 칸막이 D타입  0 m2</v>
      </c>
      <c r="M71" s="1429"/>
      <c r="N71" s="1429"/>
      <c r="O71" s="1429"/>
      <c r="P71" s="612"/>
      <c r="Q71" s="612"/>
      <c r="R71" s="612"/>
      <c r="S71" s="612"/>
      <c r="T71" s="612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  <c r="AH71" s="612"/>
      <c r="AI71" s="612"/>
      <c r="AJ71" s="612"/>
      <c r="AK71" s="612"/>
      <c r="AL71" s="612"/>
      <c r="AM71" s="612"/>
      <c r="AN71" s="612"/>
      <c r="AO71" s="612"/>
      <c r="AP71" s="612"/>
      <c r="AQ71" s="612"/>
      <c r="AR71" s="612"/>
      <c r="AS71" s="612"/>
      <c r="AU71" s="1261"/>
      <c r="AV71" s="1261"/>
      <c r="AW71" s="1261"/>
      <c r="AX71" s="1261"/>
      <c r="AY71" s="1261"/>
      <c r="AZ71" s="1261"/>
      <c r="BA71" s="1261"/>
      <c r="BB71" s="1261"/>
      <c r="BC71" s="1261"/>
    </row>
    <row r="72" spans="1:55" ht="16.5" customHeight="1" thickTop="1">
      <c r="A72" s="904"/>
      <c r="B72" s="743" t="s">
        <v>420</v>
      </c>
      <c r="C72" s="744"/>
      <c r="D72" s="745" t="s">
        <v>378</v>
      </c>
      <c r="E72" s="612"/>
      <c r="F72" s="612">
        <f>IF(C78&gt;0,ROUNDUP(C72/(C88/1000),3),)</f>
        <v>0</v>
      </c>
      <c r="G72" s="612">
        <f>ROUNDDOWN(C72/(C88/1000),0)</f>
        <v>0</v>
      </c>
      <c r="H72" s="746">
        <f>F72-G72</f>
        <v>0</v>
      </c>
      <c r="I72" s="612">
        <f>ROUNDUP(H72*C88,-1)</f>
        <v>0</v>
      </c>
      <c r="J72" s="489"/>
      <c r="K72" s="612"/>
      <c r="L72" s="747" t="s">
        <v>77</v>
      </c>
      <c r="M72" s="748" t="s">
        <v>255</v>
      </c>
      <c r="N72" s="748" t="s">
        <v>249</v>
      </c>
      <c r="O72" s="749" t="s">
        <v>379</v>
      </c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2"/>
      <c r="AD72" s="612"/>
      <c r="AE72" s="612"/>
      <c r="AF72" s="612"/>
      <c r="AG72" s="612"/>
      <c r="AH72" s="612"/>
      <c r="AI72" s="612"/>
      <c r="AJ72" s="612"/>
      <c r="AK72" s="612"/>
      <c r="AL72" s="612"/>
      <c r="AM72" s="612"/>
      <c r="AN72" s="612"/>
      <c r="AO72" s="612"/>
      <c r="AP72" s="612"/>
      <c r="AQ72" s="612"/>
      <c r="AR72" s="612"/>
      <c r="AS72" s="612"/>
      <c r="AU72" s="1584" t="s">
        <v>509</v>
      </c>
      <c r="AV72" s="1261"/>
      <c r="AW72" s="1261"/>
      <c r="AX72" s="1261"/>
      <c r="AY72" s="1261"/>
      <c r="AZ72" s="1261"/>
      <c r="BA72" s="1261"/>
      <c r="BB72" s="1261"/>
      <c r="BC72" s="1261"/>
    </row>
    <row r="73" spans="1:55" ht="16.5" customHeight="1">
      <c r="B73" s="751" t="s">
        <v>430</v>
      </c>
      <c r="C73" s="752"/>
      <c r="D73" s="753" t="s">
        <v>378</v>
      </c>
      <c r="E73" s="612"/>
      <c r="F73" s="612">
        <f>IF(C78&gt;0,ROUNDUP(C73/(C88/1000),3),)</f>
        <v>0</v>
      </c>
      <c r="G73" s="612">
        <f>ROUNDDOWN(C73/(C88/1000),0)</f>
        <v>0</v>
      </c>
      <c r="H73" s="746">
        <f>F73-G73</f>
        <v>0</v>
      </c>
      <c r="I73" s="612">
        <f>ROUNDUP(H73*C88,-1)</f>
        <v>0</v>
      </c>
      <c r="J73" s="489"/>
      <c r="K73" s="615"/>
      <c r="L73" s="754" t="str">
        <f>IF(C79&gt;0,C79&amp;"mm 스터드","스터드 두께 확인")</f>
        <v>스터드 두께 확인</v>
      </c>
      <c r="M73" s="755">
        <f>C77</f>
        <v>0</v>
      </c>
      <c r="N73" s="756">
        <f>IF(C78&gt;0,SUM(G72:G75)+COUNTIF(G72:G75,"&gt;0")*2+C83,)</f>
        <v>0</v>
      </c>
      <c r="O73" s="757" t="s">
        <v>265</v>
      </c>
      <c r="P73" s="612"/>
      <c r="Q73" s="612"/>
      <c r="R73" s="612"/>
      <c r="S73" s="612"/>
      <c r="T73" s="612"/>
      <c r="U73" s="612"/>
      <c r="V73" s="612"/>
      <c r="W73" s="612"/>
      <c r="X73" s="612"/>
      <c r="Y73" s="612"/>
      <c r="Z73" s="612"/>
      <c r="AA73" s="612"/>
      <c r="AB73" s="612"/>
      <c r="AC73" s="612"/>
      <c r="AD73" s="612"/>
      <c r="AE73" s="612"/>
      <c r="AF73" s="612"/>
      <c r="AG73" s="612"/>
      <c r="AH73" s="612"/>
      <c r="AI73" s="612"/>
      <c r="AJ73" s="612"/>
      <c r="AK73" s="612"/>
      <c r="AL73" s="612"/>
      <c r="AM73" s="612"/>
      <c r="AN73" s="612"/>
      <c r="AO73" s="612"/>
      <c r="AP73" s="612"/>
      <c r="AQ73" s="612"/>
      <c r="AR73" s="612"/>
      <c r="AS73" s="612"/>
    </row>
    <row r="74" spans="1:55" ht="16.5" customHeight="1">
      <c r="B74" s="751" t="s">
        <v>439</v>
      </c>
      <c r="C74" s="752"/>
      <c r="D74" s="753" t="s">
        <v>378</v>
      </c>
      <c r="E74" s="612"/>
      <c r="F74" s="612">
        <f>IF(C78&gt;0,ROUNDUP(C74/(C88/1000),3),)</f>
        <v>0</v>
      </c>
      <c r="G74" s="612">
        <f>ROUNDDOWN(C74/(C88/1000),0)</f>
        <v>0</v>
      </c>
      <c r="H74" s="746">
        <f>F74-G74</f>
        <v>0</v>
      </c>
      <c r="I74" s="612">
        <f>ROUNDUP(H74*C88,-1)</f>
        <v>0</v>
      </c>
      <c r="J74" s="489"/>
      <c r="K74" s="615"/>
      <c r="L74" s="758" t="s">
        <v>510</v>
      </c>
      <c r="M74" s="830">
        <f>C91</f>
        <v>0</v>
      </c>
      <c r="N74" s="756">
        <f>C82*C78</f>
        <v>0</v>
      </c>
      <c r="O74" s="831" t="s">
        <v>201</v>
      </c>
      <c r="P74" s="612"/>
      <c r="Q74" s="612"/>
      <c r="R74" s="612"/>
      <c r="S74" s="612"/>
      <c r="T74" s="612"/>
      <c r="U74" s="612"/>
      <c r="V74" s="612"/>
      <c r="W74" s="612"/>
      <c r="X74" s="612"/>
      <c r="Y74" s="612"/>
      <c r="Z74" s="612"/>
      <c r="AA74" s="612"/>
      <c r="AB74" s="612"/>
      <c r="AC74" s="612"/>
      <c r="AD74" s="612"/>
      <c r="AE74" s="612"/>
      <c r="AF74" s="612"/>
      <c r="AG74" s="612"/>
      <c r="AH74" s="612"/>
      <c r="AI74" s="612"/>
      <c r="AJ74" s="612"/>
      <c r="AK74" s="612"/>
      <c r="AL74" s="612"/>
      <c r="AM74" s="612"/>
      <c r="AN74" s="612"/>
      <c r="AO74" s="612"/>
      <c r="AP74" s="612"/>
      <c r="AQ74" s="612"/>
      <c r="AR74" s="612"/>
      <c r="AS74" s="612"/>
    </row>
    <row r="75" spans="1:55" ht="16.5" customHeight="1" thickBot="1">
      <c r="B75" s="759" t="s">
        <v>446</v>
      </c>
      <c r="C75" s="760"/>
      <c r="D75" s="761" t="s">
        <v>378</v>
      </c>
      <c r="E75" s="612"/>
      <c r="F75" s="612">
        <f>IF(C78&gt;0,ROUNDUP(C75/(C88/1000),3),)</f>
        <v>0</v>
      </c>
      <c r="G75" s="612">
        <f>ROUNDDOWN(C75/(C88/1000),0)</f>
        <v>0</v>
      </c>
      <c r="H75" s="746">
        <f>F75-G75</f>
        <v>0</v>
      </c>
      <c r="I75" s="612">
        <f>ROUNDUP(H75*C88,-1)</f>
        <v>0</v>
      </c>
      <c r="J75" s="615"/>
      <c r="K75" s="615"/>
      <c r="L75" s="758" t="s">
        <v>511</v>
      </c>
      <c r="M75" s="755">
        <f>C91</f>
        <v>0</v>
      </c>
      <c r="N75" s="756">
        <f>IF(C78&gt;0,G76/2-C80-(C81*2)-C82,)</f>
        <v>0</v>
      </c>
      <c r="O75" s="757" t="s">
        <v>265</v>
      </c>
      <c r="P75" s="612"/>
      <c r="Q75" s="612"/>
      <c r="R75" s="612"/>
      <c r="S75" s="612"/>
      <c r="T75" s="612"/>
      <c r="U75" s="612"/>
      <c r="V75" s="612"/>
      <c r="W75" s="612"/>
      <c r="X75" s="612"/>
      <c r="Y75" s="612"/>
      <c r="Z75" s="612"/>
      <c r="AA75" s="612"/>
      <c r="AB75" s="612"/>
      <c r="AC75" s="612"/>
      <c r="AD75" s="612"/>
      <c r="AE75" s="612"/>
      <c r="AF75" s="612"/>
      <c r="AG75" s="612"/>
      <c r="AH75" s="612"/>
      <c r="AI75" s="612"/>
      <c r="AJ75" s="612"/>
      <c r="AK75" s="612"/>
      <c r="AL75" s="612"/>
      <c r="AM75" s="612"/>
      <c r="AN75" s="612"/>
      <c r="AO75" s="612"/>
      <c r="AP75" s="612"/>
      <c r="AQ75" s="612"/>
      <c r="AR75" s="612"/>
      <c r="AS75" s="612"/>
    </row>
    <row r="76" spans="1:55" ht="16.5" customHeight="1" thickTop="1">
      <c r="B76" s="762" t="s">
        <v>452</v>
      </c>
      <c r="C76" s="763">
        <f>SUM(C72:C75)</f>
        <v>0</v>
      </c>
      <c r="D76" s="764" t="s">
        <v>378</v>
      </c>
      <c r="E76" s="612"/>
      <c r="F76" s="615"/>
      <c r="G76" s="765">
        <f>SUM(G72:G75)*C78</f>
        <v>0</v>
      </c>
      <c r="H76" s="766"/>
      <c r="I76" s="766"/>
      <c r="J76" s="615"/>
      <c r="K76" s="615"/>
      <c r="L76" s="1586" t="s">
        <v>447</v>
      </c>
      <c r="M76" s="755">
        <f>IF(I72&gt;0,I72,)</f>
        <v>0</v>
      </c>
      <c r="N76" s="756">
        <f>IF(I72&gt;0,C78,)</f>
        <v>0</v>
      </c>
      <c r="O76" s="757" t="s">
        <v>201</v>
      </c>
      <c r="P76" s="612"/>
      <c r="Q76" s="612"/>
      <c r="R76" s="612"/>
      <c r="S76" s="612"/>
      <c r="T76" s="612"/>
      <c r="U76" s="612"/>
      <c r="V76" s="612"/>
      <c r="W76" s="612"/>
      <c r="X76" s="612"/>
      <c r="Y76" s="612"/>
      <c r="Z76" s="612"/>
      <c r="AA76" s="612"/>
      <c r="AB76" s="612"/>
      <c r="AC76" s="612"/>
      <c r="AD76" s="612"/>
      <c r="AE76" s="612"/>
      <c r="AF76" s="612"/>
      <c r="AG76" s="612"/>
      <c r="AH76" s="612"/>
      <c r="AI76" s="612"/>
      <c r="AJ76" s="612"/>
      <c r="AK76" s="612"/>
      <c r="AL76" s="612"/>
      <c r="AM76" s="612"/>
      <c r="AN76" s="612"/>
      <c r="AO76" s="612"/>
      <c r="AP76" s="612"/>
      <c r="AQ76" s="612"/>
      <c r="AR76" s="612"/>
      <c r="AS76" s="612"/>
    </row>
    <row r="77" spans="1:55" ht="16.5" customHeight="1">
      <c r="B77" s="822" t="s">
        <v>458</v>
      </c>
      <c r="C77" s="768"/>
      <c r="D77" s="769" t="s">
        <v>384</v>
      </c>
      <c r="E77" s="615"/>
      <c r="F77" s="615"/>
      <c r="G77" s="765"/>
      <c r="H77" s="766"/>
      <c r="I77" s="766"/>
      <c r="J77" s="615"/>
      <c r="K77" s="615"/>
      <c r="L77" s="1586"/>
      <c r="M77" s="755">
        <f>IF(I73&gt;0,I73,)</f>
        <v>0</v>
      </c>
      <c r="N77" s="756">
        <f>IF(I73&gt;0,C78,)</f>
        <v>0</v>
      </c>
      <c r="O77" s="757" t="s">
        <v>201</v>
      </c>
      <c r="P77" s="612"/>
      <c r="Q77" s="612"/>
      <c r="R77" s="612"/>
      <c r="S77" s="612"/>
      <c r="T77" s="612"/>
      <c r="U77" s="612"/>
      <c r="V77" s="612"/>
      <c r="W77" s="612"/>
      <c r="X77" s="612"/>
      <c r="Y77" s="612"/>
      <c r="Z77" s="612"/>
      <c r="AA77" s="612"/>
      <c r="AB77" s="612"/>
      <c r="AC77" s="612"/>
      <c r="AD77" s="612"/>
      <c r="AE77" s="612"/>
      <c r="AF77" s="612"/>
      <c r="AG77" s="612"/>
      <c r="AH77" s="612"/>
      <c r="AI77" s="612"/>
      <c r="AJ77" s="612"/>
      <c r="AK77" s="612"/>
      <c r="AL77" s="612"/>
      <c r="AM77" s="612"/>
      <c r="AN77" s="612"/>
      <c r="AO77" s="612"/>
      <c r="AP77" s="612"/>
      <c r="AQ77" s="612"/>
      <c r="AR77" s="612"/>
      <c r="AS77" s="612"/>
    </row>
    <row r="78" spans="1:55" ht="16.5" customHeight="1">
      <c r="B78" s="770" t="s">
        <v>390</v>
      </c>
      <c r="C78" s="768">
        <v>2</v>
      </c>
      <c r="D78" s="769" t="s">
        <v>391</v>
      </c>
      <c r="E78" s="615"/>
      <c r="F78" s="615"/>
      <c r="G78" s="612"/>
      <c r="H78" s="612"/>
      <c r="I78" s="771"/>
      <c r="J78" s="489"/>
      <c r="K78" s="615"/>
      <c r="L78" s="1586"/>
      <c r="M78" s="755">
        <f>IF(I74&gt;0,I74,)</f>
        <v>0</v>
      </c>
      <c r="N78" s="756">
        <f>IF(I74&gt;0,C78,)</f>
        <v>0</v>
      </c>
      <c r="O78" s="757" t="s">
        <v>201</v>
      </c>
      <c r="P78" s="612"/>
      <c r="Q78" s="612"/>
      <c r="R78" s="612"/>
      <c r="S78" s="612"/>
      <c r="T78" s="612"/>
      <c r="U78" s="612"/>
      <c r="V78" s="612"/>
      <c r="W78" s="612"/>
      <c r="X78" s="612"/>
      <c r="Y78" s="612"/>
      <c r="Z78" s="612"/>
      <c r="AA78" s="612"/>
      <c r="AB78" s="612"/>
      <c r="AC78" s="612"/>
      <c r="AD78" s="612"/>
      <c r="AE78" s="612"/>
      <c r="AF78" s="612"/>
      <c r="AG78" s="612"/>
      <c r="AH78" s="612"/>
      <c r="AI78" s="612"/>
      <c r="AJ78" s="612"/>
      <c r="AK78" s="612"/>
      <c r="AL78" s="612"/>
      <c r="AM78" s="612"/>
      <c r="AN78" s="612"/>
      <c r="AO78" s="612"/>
      <c r="AP78" s="612"/>
      <c r="AQ78" s="612"/>
      <c r="AR78" s="612"/>
      <c r="AS78" s="612"/>
    </row>
    <row r="79" spans="1:55" ht="16.5" customHeight="1">
      <c r="B79" s="770" t="s">
        <v>466</v>
      </c>
      <c r="C79" s="768"/>
      <c r="D79" s="769" t="s">
        <v>384</v>
      </c>
      <c r="E79" s="615"/>
      <c r="F79" s="615"/>
      <c r="G79" s="612"/>
      <c r="H79" s="612"/>
      <c r="I79" s="773"/>
      <c r="J79" s="489"/>
      <c r="K79" s="615"/>
      <c r="L79" s="1586"/>
      <c r="M79" s="755">
        <f>IF(I75&gt;0,I75,)</f>
        <v>0</v>
      </c>
      <c r="N79" s="756">
        <f>IF(I75&gt;0,C78,)</f>
        <v>0</v>
      </c>
      <c r="O79" s="757" t="s">
        <v>201</v>
      </c>
      <c r="P79" s="612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2"/>
      <c r="AQ79" s="612"/>
      <c r="AR79" s="612"/>
      <c r="AS79" s="612"/>
    </row>
    <row r="80" spans="1:55" ht="16.5" customHeight="1">
      <c r="B80" s="770" t="s">
        <v>468</v>
      </c>
      <c r="C80" s="774"/>
      <c r="D80" s="769" t="s">
        <v>265</v>
      </c>
      <c r="E80" s="615"/>
      <c r="F80" s="615"/>
      <c r="G80" s="612"/>
      <c r="H80" s="612"/>
      <c r="I80" s="775"/>
      <c r="J80" s="489"/>
      <c r="K80" s="615"/>
      <c r="L80" s="758" t="s">
        <v>467</v>
      </c>
      <c r="M80" s="755">
        <f>IF((C80+C81)&gt;0,M75-2000,)</f>
        <v>0</v>
      </c>
      <c r="N80" s="756">
        <f>(C80*2)+(C81*4)</f>
        <v>0</v>
      </c>
      <c r="O80" s="757" t="s">
        <v>201</v>
      </c>
      <c r="P80" s="612"/>
      <c r="Q80" s="612"/>
      <c r="R80" s="612"/>
      <c r="S80" s="612"/>
      <c r="T80" s="612"/>
      <c r="U80" s="612"/>
      <c r="V80" s="612"/>
      <c r="W80" s="612"/>
      <c r="X80" s="612"/>
      <c r="Y80" s="612"/>
      <c r="Z80" s="612"/>
      <c r="AA80" s="612"/>
      <c r="AB80" s="612"/>
      <c r="AC80" s="612"/>
      <c r="AD80" s="612"/>
      <c r="AE80" s="612"/>
      <c r="AF80" s="612"/>
      <c r="AG80" s="612"/>
      <c r="AH80" s="612"/>
      <c r="AI80" s="612"/>
      <c r="AJ80" s="612"/>
      <c r="AK80" s="612"/>
      <c r="AL80" s="612"/>
      <c r="AM80" s="612"/>
      <c r="AN80" s="612"/>
      <c r="AO80" s="612"/>
      <c r="AP80" s="612"/>
      <c r="AQ80" s="612"/>
      <c r="AR80" s="612"/>
      <c r="AS80" s="612"/>
    </row>
    <row r="81" spans="2:57" ht="16.5" customHeight="1">
      <c r="B81" s="823" t="s">
        <v>470</v>
      </c>
      <c r="C81" s="852"/>
      <c r="D81" s="781" t="s">
        <v>265</v>
      </c>
      <c r="E81" s="615"/>
      <c r="F81" s="615"/>
      <c r="G81" s="612"/>
      <c r="H81" s="612"/>
      <c r="I81" s="771"/>
      <c r="J81" s="489"/>
      <c r="K81" s="615"/>
      <c r="L81" s="776" t="s">
        <v>469</v>
      </c>
      <c r="M81" s="777">
        <f>IF(C79&gt;0,"880×2100",)</f>
        <v>0</v>
      </c>
      <c r="N81" s="756">
        <f>C80</f>
        <v>0</v>
      </c>
      <c r="O81" s="757" t="s">
        <v>265</v>
      </c>
      <c r="P81" s="612"/>
      <c r="Q81" s="612"/>
      <c r="R81" s="612"/>
      <c r="S81" s="612"/>
      <c r="T81" s="612"/>
      <c r="U81" s="612"/>
      <c r="V81" s="612"/>
      <c r="W81" s="612"/>
      <c r="X81" s="612"/>
      <c r="Y81" s="612"/>
      <c r="Z81" s="612"/>
      <c r="AA81" s="612"/>
      <c r="AB81" s="612"/>
      <c r="AC81" s="612"/>
      <c r="AD81" s="612"/>
      <c r="AE81" s="612"/>
      <c r="AF81" s="612"/>
      <c r="AG81" s="612"/>
      <c r="AH81" s="612"/>
      <c r="AI81" s="612"/>
      <c r="AJ81" s="612"/>
      <c r="AK81" s="612"/>
      <c r="AL81" s="612"/>
      <c r="AM81" s="612"/>
      <c r="AN81" s="612"/>
      <c r="AO81" s="612"/>
      <c r="AP81" s="612"/>
      <c r="AQ81" s="612"/>
      <c r="AR81" s="612"/>
      <c r="AS81" s="612"/>
    </row>
    <row r="82" spans="2:57" ht="16.5" customHeight="1">
      <c r="B82" s="770" t="s">
        <v>512</v>
      </c>
      <c r="C82" s="824"/>
      <c r="D82" s="769" t="s">
        <v>513</v>
      </c>
      <c r="E82" s="615"/>
      <c r="F82" s="615"/>
      <c r="G82" s="612"/>
      <c r="H82" s="612"/>
      <c r="I82" s="782"/>
      <c r="J82" s="489"/>
      <c r="K82" s="615"/>
      <c r="L82" s="776" t="s">
        <v>471</v>
      </c>
      <c r="M82" s="777">
        <f>IF(C79&gt;0,"1770×2100",)</f>
        <v>0</v>
      </c>
      <c r="N82" s="778">
        <f>C81</f>
        <v>0</v>
      </c>
      <c r="O82" s="853" t="s">
        <v>265</v>
      </c>
      <c r="P82" s="612"/>
      <c r="Q82" s="612"/>
      <c r="R82" s="612"/>
      <c r="S82" s="612"/>
      <c r="T82" s="612"/>
      <c r="U82" s="612"/>
      <c r="V82" s="612"/>
      <c r="W82" s="612"/>
      <c r="X82" s="612"/>
      <c r="Y82" s="612"/>
      <c r="Z82" s="612"/>
      <c r="AA82" s="612"/>
      <c r="AB82" s="612"/>
      <c r="AC82" s="612"/>
      <c r="AD82" s="612"/>
      <c r="AE82" s="612"/>
      <c r="AF82" s="612"/>
      <c r="AG82" s="612"/>
      <c r="AH82" s="612"/>
      <c r="AI82" s="612"/>
      <c r="AJ82" s="612"/>
      <c r="AK82" s="612"/>
      <c r="AL82" s="612"/>
      <c r="AM82" s="612"/>
      <c r="AN82" s="612"/>
      <c r="AO82" s="612"/>
      <c r="AP82" s="612"/>
      <c r="AQ82" s="612"/>
      <c r="AR82" s="612"/>
      <c r="AS82" s="612"/>
    </row>
    <row r="83" spans="2:57" ht="16.5" customHeight="1">
      <c r="B83" s="834" t="s">
        <v>396</v>
      </c>
      <c r="C83" s="835"/>
      <c r="D83" s="769"/>
      <c r="E83" s="615"/>
      <c r="F83" s="612"/>
      <c r="G83" s="786"/>
      <c r="H83" s="787"/>
      <c r="I83" s="787"/>
      <c r="J83" s="612"/>
      <c r="K83" s="615"/>
      <c r="L83" s="825" t="s">
        <v>472</v>
      </c>
      <c r="M83" s="854" t="str">
        <f>IF(C79&gt;0,C79+25&amp;" 형","")</f>
        <v/>
      </c>
      <c r="N83" s="855">
        <f>ROUNDUP(C76/3,0)</f>
        <v>0</v>
      </c>
      <c r="O83" s="856" t="s">
        <v>265</v>
      </c>
      <c r="P83" s="612"/>
      <c r="Q83" s="612"/>
      <c r="R83" s="612"/>
      <c r="S83" s="612"/>
      <c r="T83" s="612"/>
      <c r="U83" s="612"/>
      <c r="V83" s="612"/>
      <c r="W83" s="612"/>
      <c r="X83" s="612"/>
      <c r="Y83" s="612"/>
      <c r="Z83" s="612"/>
      <c r="AA83" s="612"/>
      <c r="AB83" s="612"/>
      <c r="AC83" s="612"/>
      <c r="AD83" s="612"/>
      <c r="AE83" s="612"/>
      <c r="AF83" s="612"/>
      <c r="AG83" s="612"/>
      <c r="AH83" s="612"/>
      <c r="AI83" s="612"/>
      <c r="AJ83" s="612"/>
      <c r="AK83" s="612"/>
      <c r="AL83" s="612"/>
      <c r="AM83" s="612"/>
      <c r="AN83" s="612"/>
      <c r="AO83" s="612"/>
      <c r="AP83" s="612"/>
      <c r="AQ83" s="612"/>
      <c r="AR83" s="612"/>
      <c r="AS83" s="612"/>
    </row>
    <row r="84" spans="2:57" ht="16.5" customHeight="1">
      <c r="B84" s="839"/>
      <c r="C84" s="840"/>
      <c r="D84" s="841"/>
      <c r="E84" s="615"/>
      <c r="F84" s="612"/>
      <c r="G84" s="786"/>
      <c r="H84" s="787"/>
      <c r="I84" s="787"/>
      <c r="J84" s="612"/>
      <c r="K84" s="615"/>
      <c r="L84" s="776" t="s">
        <v>473</v>
      </c>
      <c r="M84" s="755">
        <f>IF(C79&gt;0,C79+25&amp;" 형",)</f>
        <v>0</v>
      </c>
      <c r="N84" s="756">
        <f>IF(C78&gt;0,ROUNDUP(C80/3000,0)+(COUNTIF(G72:G75,"&gt;0")*2),)</f>
        <v>0</v>
      </c>
      <c r="O84" s="757" t="s">
        <v>265</v>
      </c>
      <c r="P84" s="612"/>
      <c r="Q84" s="612"/>
      <c r="R84" s="612"/>
      <c r="S84" s="612"/>
      <c r="T84" s="612"/>
      <c r="U84" s="612"/>
      <c r="V84" s="612"/>
      <c r="W84" s="612"/>
      <c r="X84" s="612"/>
      <c r="Y84" s="612"/>
      <c r="Z84" s="612"/>
      <c r="AA84" s="612"/>
      <c r="AB84" s="612"/>
      <c r="AC84" s="612"/>
      <c r="AD84" s="612"/>
      <c r="AE84" s="612"/>
      <c r="AF84" s="612"/>
      <c r="AG84" s="612"/>
      <c r="AH84" s="612"/>
      <c r="AI84" s="612"/>
      <c r="AJ84" s="612"/>
      <c r="AK84" s="612"/>
      <c r="AL84" s="612"/>
      <c r="AM84" s="612"/>
      <c r="AN84" s="612"/>
      <c r="AO84" s="612"/>
      <c r="AP84" s="612"/>
      <c r="AQ84" s="612"/>
      <c r="AR84" s="612"/>
      <c r="AS84" s="612"/>
    </row>
    <row r="85" spans="2:57" ht="16.5" customHeight="1">
      <c r="B85" s="770"/>
      <c r="C85" s="772"/>
      <c r="D85" s="769"/>
      <c r="E85" s="615"/>
      <c r="F85" s="615"/>
      <c r="G85" s="786"/>
      <c r="H85" s="790"/>
      <c r="I85" s="790"/>
      <c r="J85" s="615"/>
      <c r="K85" s="615"/>
      <c r="L85" s="776" t="s">
        <v>474</v>
      </c>
      <c r="M85" s="755">
        <f>IF(C79&gt;0,C79&amp;" 형",)</f>
        <v>0</v>
      </c>
      <c r="N85" s="756">
        <f>ROUNDUP(C76/3,0)</f>
        <v>0</v>
      </c>
      <c r="O85" s="757" t="s">
        <v>265</v>
      </c>
      <c r="P85" s="612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2"/>
      <c r="AC85" s="612"/>
      <c r="AD85" s="612"/>
      <c r="AE85" s="612"/>
      <c r="AF85" s="612"/>
      <c r="AG85" s="612"/>
      <c r="AH85" s="612"/>
      <c r="AI85" s="612"/>
      <c r="AJ85" s="612"/>
      <c r="AK85" s="612"/>
      <c r="AL85" s="612"/>
      <c r="AM85" s="612"/>
      <c r="AN85" s="612"/>
      <c r="AO85" s="612"/>
      <c r="AP85" s="612"/>
      <c r="AQ85" s="612"/>
      <c r="AR85" s="612"/>
      <c r="AS85" s="612"/>
    </row>
    <row r="86" spans="2:57" ht="16.5" customHeight="1">
      <c r="B86" s="1627" t="s">
        <v>476</v>
      </c>
      <c r="C86" s="1628"/>
      <c r="D86" s="1629"/>
      <c r="E86" s="489"/>
      <c r="F86" s="615"/>
      <c r="G86" s="786"/>
      <c r="H86" s="790"/>
      <c r="I86" s="790"/>
      <c r="J86" s="615"/>
      <c r="K86" s="615"/>
      <c r="L86" s="776" t="s">
        <v>475</v>
      </c>
      <c r="M86" s="755"/>
      <c r="N86" s="756">
        <f>C80+(C81*2)</f>
        <v>0</v>
      </c>
      <c r="O86" s="757" t="s">
        <v>265</v>
      </c>
      <c r="P86" s="612"/>
      <c r="Q86" s="612"/>
      <c r="R86" s="612"/>
      <c r="S86" s="612"/>
      <c r="T86" s="612"/>
      <c r="U86" s="612"/>
      <c r="V86" s="612"/>
      <c r="W86" s="612"/>
      <c r="X86" s="612"/>
      <c r="Y86" s="612"/>
      <c r="Z86" s="612"/>
      <c r="AA86" s="612"/>
      <c r="AB86" s="612"/>
      <c r="AC86" s="612"/>
      <c r="AD86" s="612"/>
      <c r="AE86" s="612"/>
      <c r="AF86" s="612"/>
      <c r="AG86" s="612"/>
      <c r="AH86" s="612"/>
      <c r="AI86" s="612"/>
      <c r="AJ86" s="612"/>
      <c r="AK86" s="612"/>
      <c r="AL86" s="612"/>
      <c r="AM86" s="612"/>
      <c r="AN86" s="612"/>
      <c r="AO86" s="612"/>
      <c r="AP86" s="612"/>
      <c r="AQ86" s="612"/>
      <c r="AR86" s="612"/>
      <c r="AS86" s="612"/>
    </row>
    <row r="87" spans="2:57" ht="16.5" customHeight="1" thickBot="1">
      <c r="B87" s="1631" t="s">
        <v>368</v>
      </c>
      <c r="C87" s="1632"/>
      <c r="D87" s="1633"/>
      <c r="E87" s="615"/>
      <c r="F87" s="615"/>
      <c r="G87" s="765"/>
      <c r="H87" s="766"/>
      <c r="I87" s="766"/>
      <c r="J87" s="615"/>
      <c r="K87" s="615"/>
      <c r="L87" s="776" t="str">
        <f>B89&amp;" "&amp;C89&amp;"매"</f>
        <v>크린매트 50t 24k 28매</v>
      </c>
      <c r="M87" s="772"/>
      <c r="N87" s="756">
        <f>ROUNDUP((C88/1000)*(C91/1000)*C82/C90,0)</f>
        <v>0</v>
      </c>
      <c r="O87" s="757" t="s">
        <v>265</v>
      </c>
      <c r="P87" s="612"/>
      <c r="Q87" s="612"/>
      <c r="R87" s="612"/>
      <c r="S87" s="612"/>
      <c r="T87" s="612"/>
      <c r="U87" s="612"/>
      <c r="V87" s="612"/>
      <c r="W87" s="612"/>
      <c r="X87" s="612"/>
      <c r="Y87" s="612"/>
      <c r="Z87" s="612"/>
      <c r="AA87" s="612"/>
      <c r="AB87" s="612"/>
      <c r="AC87" s="612"/>
      <c r="AD87" s="612"/>
      <c r="AE87" s="612"/>
      <c r="AF87" s="612"/>
      <c r="AG87" s="612"/>
      <c r="AH87" s="612"/>
      <c r="AI87" s="612"/>
      <c r="AJ87" s="612"/>
      <c r="AK87" s="612"/>
      <c r="AL87" s="612"/>
      <c r="AM87" s="612"/>
      <c r="AN87" s="612"/>
      <c r="AO87" s="612"/>
      <c r="AP87" s="612"/>
      <c r="AQ87" s="612"/>
      <c r="AR87" s="612"/>
      <c r="AS87" s="612"/>
      <c r="BD87" s="1262"/>
      <c r="BE87" s="1262"/>
    </row>
    <row r="88" spans="2:57" ht="16.5" customHeight="1" thickTop="1">
      <c r="B88" s="762" t="s">
        <v>479</v>
      </c>
      <c r="C88" s="842">
        <v>886</v>
      </c>
      <c r="D88" s="843" t="s">
        <v>384</v>
      </c>
      <c r="E88" s="615"/>
      <c r="F88" s="615"/>
      <c r="G88" s="614"/>
      <c r="H88" s="795"/>
      <c r="I88" s="795"/>
      <c r="J88" s="615"/>
      <c r="K88" s="615"/>
      <c r="L88" s="776" t="s">
        <v>477</v>
      </c>
      <c r="M88" s="755"/>
      <c r="N88" s="756">
        <f>IF(C78&gt;0,ROUNDUP((G76/2*C78*(C77/1000)+((C80*0.9*2)+(C81*1.8*2)))*1.05,0),)</f>
        <v>0</v>
      </c>
      <c r="O88" s="757" t="s">
        <v>378</v>
      </c>
      <c r="P88" s="612"/>
      <c r="Q88" s="612"/>
      <c r="R88" s="612"/>
      <c r="S88" s="612"/>
      <c r="T88" s="612"/>
      <c r="U88" s="612"/>
      <c r="V88" s="612"/>
      <c r="W88" s="612"/>
      <c r="X88" s="612"/>
      <c r="Y88" s="612"/>
      <c r="Z88" s="612"/>
      <c r="AA88" s="612"/>
      <c r="AB88" s="612"/>
      <c r="AC88" s="612"/>
      <c r="AD88" s="612"/>
      <c r="AE88" s="612"/>
      <c r="AF88" s="612"/>
      <c r="AG88" s="612"/>
      <c r="AH88" s="612"/>
      <c r="AI88" s="612"/>
      <c r="AJ88" s="612"/>
      <c r="AK88" s="612"/>
      <c r="AL88" s="612"/>
      <c r="AM88" s="612"/>
      <c r="AN88" s="612"/>
      <c r="AO88" s="612"/>
      <c r="AP88" s="612"/>
      <c r="AQ88" s="612"/>
      <c r="AR88" s="612"/>
      <c r="AS88" s="612"/>
    </row>
    <row r="89" spans="2:57" ht="16.5" customHeight="1">
      <c r="B89" s="770" t="s">
        <v>392</v>
      </c>
      <c r="C89" s="796">
        <v>28</v>
      </c>
      <c r="D89" s="769" t="s">
        <v>393</v>
      </c>
      <c r="E89" s="615"/>
      <c r="F89" s="489"/>
      <c r="G89" s="797"/>
      <c r="H89" s="771"/>
      <c r="I89" s="771"/>
      <c r="J89" s="615"/>
      <c r="K89" s="615"/>
      <c r="L89" s="844"/>
      <c r="M89" s="845"/>
      <c r="N89" s="846"/>
      <c r="O89" s="804"/>
      <c r="P89" s="612"/>
      <c r="Q89" s="612"/>
      <c r="R89" s="612"/>
      <c r="S89" s="612"/>
      <c r="T89" s="612"/>
      <c r="U89" s="612"/>
      <c r="V89" s="612"/>
      <c r="W89" s="612"/>
      <c r="X89" s="612"/>
      <c r="Y89" s="612"/>
      <c r="Z89" s="612"/>
      <c r="AA89" s="612"/>
      <c r="AB89" s="612"/>
      <c r="AC89" s="612"/>
      <c r="AD89" s="612"/>
      <c r="AE89" s="612"/>
      <c r="AF89" s="612"/>
      <c r="AG89" s="612"/>
      <c r="AH89" s="612"/>
      <c r="AI89" s="612"/>
      <c r="AJ89" s="612"/>
      <c r="AK89" s="612"/>
      <c r="AL89" s="612"/>
      <c r="AM89" s="612"/>
      <c r="AN89" s="612"/>
      <c r="AO89" s="612"/>
      <c r="AP89" s="612"/>
      <c r="AQ89" s="612"/>
      <c r="AR89" s="612"/>
      <c r="AS89" s="612"/>
      <c r="AV89" s="1262" t="s">
        <v>514</v>
      </c>
      <c r="AW89" s="1262"/>
    </row>
    <row r="90" spans="2:57" ht="16.5" customHeight="1">
      <c r="B90" s="834" t="s">
        <v>382</v>
      </c>
      <c r="C90" s="799">
        <f>0.45*C89</f>
        <v>12.6</v>
      </c>
      <c r="D90" s="769" t="s">
        <v>482</v>
      </c>
      <c r="E90" s="615"/>
      <c r="F90" s="902"/>
      <c r="G90" s="797"/>
      <c r="H90" s="800"/>
      <c r="I90" s="800"/>
      <c r="J90" s="902"/>
      <c r="K90" s="615"/>
      <c r="L90" s="1636" t="s">
        <v>480</v>
      </c>
      <c r="M90" s="1637"/>
      <c r="N90" s="1637"/>
      <c r="O90" s="1638"/>
      <c r="P90" s="612"/>
      <c r="Q90" s="612"/>
      <c r="R90" s="612"/>
      <c r="S90" s="612"/>
      <c r="T90" s="612"/>
      <c r="U90" s="612"/>
      <c r="V90" s="612"/>
      <c r="W90" s="612"/>
      <c r="X90" s="612"/>
      <c r="Y90" s="612"/>
      <c r="Z90" s="612"/>
      <c r="AA90" s="612"/>
      <c r="AB90" s="612"/>
      <c r="AC90" s="612"/>
      <c r="AD90" s="612"/>
      <c r="AE90" s="612"/>
      <c r="AF90" s="612"/>
      <c r="AG90" s="612"/>
      <c r="AH90" s="612"/>
      <c r="AI90" s="612"/>
      <c r="AJ90" s="612"/>
      <c r="AK90" s="612"/>
      <c r="AL90" s="612"/>
      <c r="AM90" s="612"/>
      <c r="AN90" s="612"/>
      <c r="AO90" s="612"/>
      <c r="AP90" s="612"/>
      <c r="AQ90" s="612"/>
      <c r="AR90" s="612"/>
      <c r="AS90" s="612"/>
    </row>
    <row r="91" spans="2:57" ht="16.5" customHeight="1">
      <c r="B91" s="805" t="s">
        <v>483</v>
      </c>
      <c r="C91" s="772">
        <f>IF(C77&gt;120,C77-110,)</f>
        <v>0</v>
      </c>
      <c r="D91" s="769" t="s">
        <v>384</v>
      </c>
      <c r="E91" s="615"/>
      <c r="F91" s="902"/>
      <c r="G91" s="797"/>
      <c r="H91" s="800"/>
      <c r="I91" s="800"/>
      <c r="J91" s="902"/>
      <c r="K91" s="615"/>
      <c r="L91" s="1636" t="s">
        <v>481</v>
      </c>
      <c r="M91" s="1637"/>
      <c r="N91" s="1637"/>
      <c r="O91" s="1638"/>
      <c r="P91" s="612"/>
      <c r="Q91" s="612"/>
      <c r="R91" s="612"/>
      <c r="S91" s="612"/>
      <c r="T91" s="612"/>
      <c r="U91" s="612"/>
      <c r="V91" s="612"/>
      <c r="W91" s="612"/>
      <c r="X91" s="612"/>
      <c r="Y91" s="612"/>
      <c r="Z91" s="612"/>
      <c r="AA91" s="612"/>
      <c r="AB91" s="612"/>
      <c r="AC91" s="612"/>
      <c r="AD91" s="612"/>
      <c r="AE91" s="612"/>
      <c r="AF91" s="612"/>
      <c r="AG91" s="612"/>
      <c r="AH91" s="612"/>
      <c r="AI91" s="612"/>
      <c r="AJ91" s="612"/>
      <c r="AK91" s="612"/>
      <c r="AL91" s="612"/>
      <c r="AM91" s="612"/>
      <c r="AN91" s="612"/>
      <c r="AO91" s="612"/>
      <c r="AP91" s="612"/>
      <c r="AQ91" s="612"/>
      <c r="AR91" s="612"/>
      <c r="AS91" s="612"/>
    </row>
    <row r="92" spans="2:57" ht="16.5" customHeight="1" thickBot="1">
      <c r="B92" s="806" t="s">
        <v>375</v>
      </c>
      <c r="C92" s="807">
        <f>ROUNDUP(C76*(C77/1000),1)</f>
        <v>0</v>
      </c>
      <c r="D92" s="808" t="s">
        <v>484</v>
      </c>
      <c r="E92" s="809"/>
      <c r="F92" s="902"/>
      <c r="G92" s="797"/>
      <c r="H92" s="800"/>
      <c r="I92" s="800"/>
      <c r="J92" s="902"/>
      <c r="K92" s="616"/>
      <c r="L92" s="810"/>
      <c r="M92" s="811"/>
      <c r="N92" s="812"/>
      <c r="O92" s="813"/>
      <c r="P92" s="612"/>
      <c r="Q92" s="612"/>
      <c r="R92" s="612"/>
      <c r="S92" s="612"/>
      <c r="T92" s="612"/>
      <c r="U92" s="612"/>
      <c r="V92" s="612"/>
      <c r="W92" s="612"/>
      <c r="X92" s="612"/>
      <c r="Y92" s="612"/>
      <c r="Z92" s="612"/>
      <c r="AA92" s="612"/>
      <c r="AB92" s="612"/>
      <c r="AC92" s="612"/>
      <c r="AD92" s="612"/>
      <c r="AE92" s="612"/>
      <c r="AF92" s="612"/>
      <c r="AG92" s="612"/>
      <c r="AH92" s="612"/>
      <c r="AI92" s="612"/>
      <c r="AJ92" s="612"/>
      <c r="AK92" s="612"/>
      <c r="AL92" s="612"/>
      <c r="AM92" s="612"/>
      <c r="AN92" s="612"/>
      <c r="AO92" s="612"/>
      <c r="AP92" s="612"/>
      <c r="AQ92" s="612"/>
      <c r="AR92" s="612"/>
      <c r="AS92" s="612"/>
    </row>
    <row r="93" spans="2:57" ht="16.5" customHeight="1" thickTop="1">
      <c r="B93" s="615"/>
      <c r="C93" s="615"/>
      <c r="D93" s="616"/>
      <c r="E93" s="616"/>
      <c r="F93" s="616"/>
      <c r="G93" s="615"/>
      <c r="H93" s="615"/>
      <c r="I93" s="615"/>
      <c r="J93" s="616"/>
      <c r="K93" s="615"/>
      <c r="L93" s="615"/>
      <c r="M93" s="615"/>
      <c r="N93" s="615"/>
      <c r="O93" s="615"/>
      <c r="P93" s="612"/>
      <c r="Q93" s="612"/>
      <c r="R93" s="612"/>
      <c r="S93" s="612"/>
      <c r="T93" s="612"/>
      <c r="U93" s="612"/>
      <c r="V93" s="612"/>
      <c r="W93" s="612"/>
      <c r="X93" s="612"/>
      <c r="Y93" s="612"/>
      <c r="Z93" s="612"/>
      <c r="AA93" s="612"/>
      <c r="AB93" s="612"/>
      <c r="AC93" s="612"/>
      <c r="AD93" s="612"/>
      <c r="AE93" s="612"/>
      <c r="AF93" s="612"/>
      <c r="AG93" s="612"/>
      <c r="AH93" s="612"/>
      <c r="AI93" s="612"/>
      <c r="AJ93" s="612"/>
      <c r="AK93" s="612"/>
      <c r="AL93" s="612"/>
      <c r="AM93" s="612"/>
      <c r="AN93" s="612"/>
      <c r="AO93" s="612"/>
      <c r="AP93" s="612"/>
      <c r="AQ93" s="612"/>
      <c r="AR93" s="612"/>
      <c r="AS93" s="612"/>
    </row>
  </sheetData>
  <sheetProtection algorithmName="SHA-512" hashValue="VRA82v8iMkl3gBMPPFsoPMXFJtypZ7yQR5lWYattUTK9uQM2s/GmImOC/3tKPstIQkqMn75v7K5vom6xzqdmLA==" saltValue="qB5xFk7fir5/lXNZCCO2cA==" spinCount="100000" sheet="1" objects="1" scenarios="1"/>
  <mergeCells count="280">
    <mergeCell ref="B87:D87"/>
    <mergeCell ref="BD87:BE87"/>
    <mergeCell ref="AV89:AW89"/>
    <mergeCell ref="L90:O90"/>
    <mergeCell ref="L91:O91"/>
    <mergeCell ref="AU70:BC70"/>
    <mergeCell ref="L71:O71"/>
    <mergeCell ref="AU71:BC71"/>
    <mergeCell ref="AU72:BC72"/>
    <mergeCell ref="L76:L79"/>
    <mergeCell ref="B86:D86"/>
    <mergeCell ref="AU66:BC66"/>
    <mergeCell ref="L67:O67"/>
    <mergeCell ref="AU67:BC67"/>
    <mergeCell ref="L68:O68"/>
    <mergeCell ref="AU68:BC68"/>
    <mergeCell ref="AU69:BC69"/>
    <mergeCell ref="AU49:BC49"/>
    <mergeCell ref="L51:L54"/>
    <mergeCell ref="B62:D62"/>
    <mergeCell ref="B63:D63"/>
    <mergeCell ref="BD63:BE63"/>
    <mergeCell ref="AV65:AW65"/>
    <mergeCell ref="AX65:AY65"/>
    <mergeCell ref="L45:O45"/>
    <mergeCell ref="AW45:BB45"/>
    <mergeCell ref="AU46:BD46"/>
    <mergeCell ref="L47:O47"/>
    <mergeCell ref="AU47:BC47"/>
    <mergeCell ref="AU48:BC48"/>
    <mergeCell ref="B39:D39"/>
    <mergeCell ref="B40:D40"/>
    <mergeCell ref="BD40:BE40"/>
    <mergeCell ref="AV42:AW42"/>
    <mergeCell ref="L44:O44"/>
    <mergeCell ref="AU44:BD44"/>
    <mergeCell ref="AU25:BC25"/>
    <mergeCell ref="L28:L31"/>
    <mergeCell ref="AX31:BB31"/>
    <mergeCell ref="AX32:BB32"/>
    <mergeCell ref="AX34:AY34"/>
    <mergeCell ref="AZ34:BC34"/>
    <mergeCell ref="L24:O24"/>
    <mergeCell ref="AU24:BC24"/>
    <mergeCell ref="AF22:AI22"/>
    <mergeCell ref="AK22:AM22"/>
    <mergeCell ref="AN22:AO22"/>
    <mergeCell ref="AP22:AQ22"/>
    <mergeCell ref="AX22:BC22"/>
    <mergeCell ref="Q23:R23"/>
    <mergeCell ref="S23:W23"/>
    <mergeCell ref="X23:AA23"/>
    <mergeCell ref="AB23:AC23"/>
    <mergeCell ref="AD23:AE23"/>
    <mergeCell ref="AX21:BC21"/>
    <mergeCell ref="BF21:BK21"/>
    <mergeCell ref="Q22:R22"/>
    <mergeCell ref="S22:W22"/>
    <mergeCell ref="X22:AA22"/>
    <mergeCell ref="AB22:AC22"/>
    <mergeCell ref="AD22:AE22"/>
    <mergeCell ref="AF23:AI23"/>
    <mergeCell ref="AL23:AO23"/>
    <mergeCell ref="AP23:AQ23"/>
    <mergeCell ref="AV23:AW23"/>
    <mergeCell ref="Q21:R21"/>
    <mergeCell ref="S21:W21"/>
    <mergeCell ref="X21:AA21"/>
    <mergeCell ref="AB21:AC21"/>
    <mergeCell ref="AD21:AE21"/>
    <mergeCell ref="AF21:AI21"/>
    <mergeCell ref="AK21:AM21"/>
    <mergeCell ref="AN21:AO21"/>
    <mergeCell ref="AP21:AQ21"/>
    <mergeCell ref="AP19:AQ19"/>
    <mergeCell ref="BF19:BK19"/>
    <mergeCell ref="L20:O20"/>
    <mergeCell ref="Q20:R20"/>
    <mergeCell ref="S20:W20"/>
    <mergeCell ref="X20:AA20"/>
    <mergeCell ref="AB20:AC20"/>
    <mergeCell ref="AD20:AE20"/>
    <mergeCell ref="AF20:AI20"/>
    <mergeCell ref="AK20:AM20"/>
    <mergeCell ref="AN20:AO20"/>
    <mergeCell ref="AP20:AQ20"/>
    <mergeCell ref="AX20:BC20"/>
    <mergeCell ref="BF20:BK20"/>
    <mergeCell ref="L19:O19"/>
    <mergeCell ref="Q19:R19"/>
    <mergeCell ref="S19:W19"/>
    <mergeCell ref="X19:AA19"/>
    <mergeCell ref="AB19:AC19"/>
    <mergeCell ref="AD19:AE19"/>
    <mergeCell ref="AF19:AI19"/>
    <mergeCell ref="AK19:AM19"/>
    <mergeCell ref="AN19:AO19"/>
    <mergeCell ref="AX16:BA16"/>
    <mergeCell ref="BF16:BI16"/>
    <mergeCell ref="B17:D17"/>
    <mergeCell ref="Q17:R17"/>
    <mergeCell ref="S17:W17"/>
    <mergeCell ref="X17:AA17"/>
    <mergeCell ref="AB17:AC17"/>
    <mergeCell ref="BF17:BK17"/>
    <mergeCell ref="B18:D18"/>
    <mergeCell ref="Q18:R18"/>
    <mergeCell ref="S18:W18"/>
    <mergeCell ref="X18:AA18"/>
    <mergeCell ref="AB18:AC18"/>
    <mergeCell ref="AD18:AE18"/>
    <mergeCell ref="AF18:AI18"/>
    <mergeCell ref="AK18:AM18"/>
    <mergeCell ref="AN18:AO18"/>
    <mergeCell ref="AD17:AE17"/>
    <mergeCell ref="AF17:AI17"/>
    <mergeCell ref="AK17:AM17"/>
    <mergeCell ref="AN17:AO17"/>
    <mergeCell ref="AP17:AQ17"/>
    <mergeCell ref="AX17:BC17"/>
    <mergeCell ref="AP18:AQ18"/>
    <mergeCell ref="Q16:R16"/>
    <mergeCell ref="S16:W16"/>
    <mergeCell ref="X16:AA16"/>
    <mergeCell ref="AB16:AC16"/>
    <mergeCell ref="AD16:AE16"/>
    <mergeCell ref="AF16:AI16"/>
    <mergeCell ref="AK16:AM16"/>
    <mergeCell ref="AN16:AO16"/>
    <mergeCell ref="AP16:AQ16"/>
    <mergeCell ref="AX14:BA14"/>
    <mergeCell ref="BF14:BI14"/>
    <mergeCell ref="Q15:R15"/>
    <mergeCell ref="S15:W15"/>
    <mergeCell ref="X15:AA15"/>
    <mergeCell ref="AB15:AC15"/>
    <mergeCell ref="AD15:AE15"/>
    <mergeCell ref="AF15:AI15"/>
    <mergeCell ref="AK15:AM15"/>
    <mergeCell ref="AN15:AO15"/>
    <mergeCell ref="AP15:AQ15"/>
    <mergeCell ref="AX15:BA15"/>
    <mergeCell ref="BF15:BI15"/>
    <mergeCell ref="Q14:R14"/>
    <mergeCell ref="S14:W14"/>
    <mergeCell ref="X14:AA14"/>
    <mergeCell ref="AB14:AC14"/>
    <mergeCell ref="AD14:AE14"/>
    <mergeCell ref="AF14:AI14"/>
    <mergeCell ref="AK14:AM14"/>
    <mergeCell ref="AN14:AO14"/>
    <mergeCell ref="AP14:AQ14"/>
    <mergeCell ref="AB12:AC12"/>
    <mergeCell ref="AD12:AE12"/>
    <mergeCell ref="AF12:AI12"/>
    <mergeCell ref="AN12:AO12"/>
    <mergeCell ref="AP12:AQ12"/>
    <mergeCell ref="AX12:BA12"/>
    <mergeCell ref="BF12:BI12"/>
    <mergeCell ref="Q13:R13"/>
    <mergeCell ref="S13:W13"/>
    <mergeCell ref="X13:AA13"/>
    <mergeCell ref="AB13:AC13"/>
    <mergeCell ref="AD13:AE13"/>
    <mergeCell ref="AF13:AI13"/>
    <mergeCell ref="AN13:AO13"/>
    <mergeCell ref="AP13:AQ13"/>
    <mergeCell ref="AX13:BA13"/>
    <mergeCell ref="BF13:BI13"/>
    <mergeCell ref="AU9:BC9"/>
    <mergeCell ref="BF9:BK10"/>
    <mergeCell ref="Q10:R10"/>
    <mergeCell ref="S10:W10"/>
    <mergeCell ref="X10:AA10"/>
    <mergeCell ref="AB10:AC10"/>
    <mergeCell ref="AD10:AE10"/>
    <mergeCell ref="AF10:AI10"/>
    <mergeCell ref="AK10:AM13"/>
    <mergeCell ref="AN10:AO10"/>
    <mergeCell ref="AP10:AQ10"/>
    <mergeCell ref="AX10:BC11"/>
    <mergeCell ref="Q11:R11"/>
    <mergeCell ref="S11:W11"/>
    <mergeCell ref="X11:AA11"/>
    <mergeCell ref="AB11:AC11"/>
    <mergeCell ref="AD11:AE11"/>
    <mergeCell ref="AF11:AI11"/>
    <mergeCell ref="AN11:AO11"/>
    <mergeCell ref="AP11:AQ11"/>
    <mergeCell ref="BF11:BI11"/>
    <mergeCell ref="Q12:R12"/>
    <mergeCell ref="S12:W12"/>
    <mergeCell ref="X12:AA12"/>
    <mergeCell ref="Q9:R9"/>
    <mergeCell ref="S9:W9"/>
    <mergeCell ref="X9:AA9"/>
    <mergeCell ref="AB9:AC9"/>
    <mergeCell ref="AD9:AE9"/>
    <mergeCell ref="AF9:AI9"/>
    <mergeCell ref="AK9:AM9"/>
    <mergeCell ref="AN9:AO9"/>
    <mergeCell ref="AP9:AQ9"/>
    <mergeCell ref="X7:AA7"/>
    <mergeCell ref="AB7:AC7"/>
    <mergeCell ref="AD7:AE7"/>
    <mergeCell ref="AF7:AI7"/>
    <mergeCell ref="AK7:AM7"/>
    <mergeCell ref="AN7:AO7"/>
    <mergeCell ref="AP7:AQ7"/>
    <mergeCell ref="AU7:BC7"/>
    <mergeCell ref="Q8:R8"/>
    <mergeCell ref="S8:W8"/>
    <mergeCell ref="X8:AA8"/>
    <mergeCell ref="AB8:AC8"/>
    <mergeCell ref="AD8:AE8"/>
    <mergeCell ref="AF8:AI8"/>
    <mergeCell ref="AK8:AM8"/>
    <mergeCell ref="AN8:AO8"/>
    <mergeCell ref="AP8:AQ8"/>
    <mergeCell ref="AU8:BC8"/>
    <mergeCell ref="AU4:BD4"/>
    <mergeCell ref="L5:L8"/>
    <mergeCell ref="R5:S5"/>
    <mergeCell ref="T5:X5"/>
    <mergeCell ref="Z5:AA5"/>
    <mergeCell ref="AB5:AE5"/>
    <mergeCell ref="AF5:AG5"/>
    <mergeCell ref="AH5:AI5"/>
    <mergeCell ref="AK5:AL5"/>
    <mergeCell ref="AM5:AN5"/>
    <mergeCell ref="AO5:AP5"/>
    <mergeCell ref="AQ5:AR5"/>
    <mergeCell ref="AU5:BC5"/>
    <mergeCell ref="R6:S6"/>
    <mergeCell ref="T6:AA6"/>
    <mergeCell ref="AB6:AD6"/>
    <mergeCell ref="AE6:AI6"/>
    <mergeCell ref="AK6:AL6"/>
    <mergeCell ref="AM6:AN6"/>
    <mergeCell ref="AO6:AP6"/>
    <mergeCell ref="AQ6:AS6"/>
    <mergeCell ref="AU6:BC6"/>
    <mergeCell ref="Q7:R7"/>
    <mergeCell ref="S7:W7"/>
    <mergeCell ref="AU3:BC3"/>
    <mergeCell ref="R4:S4"/>
    <mergeCell ref="T4:U4"/>
    <mergeCell ref="W4:X4"/>
    <mergeCell ref="Z4:AA4"/>
    <mergeCell ref="AB4:AI4"/>
    <mergeCell ref="AK4:AL4"/>
    <mergeCell ref="AM4:AN4"/>
    <mergeCell ref="AO4:AP4"/>
    <mergeCell ref="AQ4:AS4"/>
    <mergeCell ref="R3:S3"/>
    <mergeCell ref="T3:X3"/>
    <mergeCell ref="Z3:AA3"/>
    <mergeCell ref="AB3:AE3"/>
    <mergeCell ref="AF3:AG3"/>
    <mergeCell ref="AH3:AI3"/>
    <mergeCell ref="AJ2:AJ36"/>
    <mergeCell ref="AK2:AL2"/>
    <mergeCell ref="AM2:AN2"/>
    <mergeCell ref="AO2:AP2"/>
    <mergeCell ref="AQ2:AS2"/>
    <mergeCell ref="AU2:BC2"/>
    <mergeCell ref="AK3:AL3"/>
    <mergeCell ref="AM3:AN3"/>
    <mergeCell ref="AO3:AP3"/>
    <mergeCell ref="AQ3:AS3"/>
    <mergeCell ref="L1:O1"/>
    <mergeCell ref="AK1:AS1"/>
    <mergeCell ref="Q2:Q6"/>
    <mergeCell ref="R2:S2"/>
    <mergeCell ref="T2:W2"/>
    <mergeCell ref="Y2:Y5"/>
    <mergeCell ref="Z2:AA2"/>
    <mergeCell ref="AB2:AE2"/>
    <mergeCell ref="AF2:AG2"/>
    <mergeCell ref="AH2:AI2"/>
  </mergeCells>
  <phoneticPr fontId="5" type="noConversion"/>
  <hyperlinks>
    <hyperlink ref="AW45" r:id="rId1" display="신라 Daum Cafe"/>
    <hyperlink ref="AX32:BB32" r:id="rId2" display="최신 파일 다운로드 →신라 Daum Café"/>
    <hyperlink ref="AZ34" r:id="rId3" display="신라 Daum Cafe"/>
    <hyperlink ref="AZ34:BC34" r:id="rId4" display="신라 Daum Café"/>
    <hyperlink ref="AX17:BC17" r:id="rId5" display="네이버 지도 → 부산 신라 기업사. 신라 스틸 판넬"/>
  </hyperlinks>
  <printOptions horizontalCentered="1" verticalCentered="1"/>
  <pageMargins left="0.31496062992125984" right="0.31496062992125984" top="0.19685039370078741" bottom="0.19685039370078741" header="0" footer="0"/>
  <pageSetup paperSize="11" orientation="landscape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T36"/>
  <sheetViews>
    <sheetView zoomScale="118" zoomScaleNormal="118" workbookViewId="0">
      <selection activeCell="S34" sqref="S34"/>
    </sheetView>
  </sheetViews>
  <sheetFormatPr defaultRowHeight="16.5"/>
  <cols>
    <col min="1" max="1" width="13.75" customWidth="1"/>
    <col min="6" max="6" width="12.25" customWidth="1"/>
    <col min="7" max="7" width="14.5" customWidth="1"/>
    <col min="8" max="8" width="9" customWidth="1"/>
    <col min="12" max="12" width="11.25" customWidth="1"/>
  </cols>
  <sheetData>
    <row r="26" spans="1:20" ht="22.5" customHeight="1">
      <c r="A26" s="1656" t="s">
        <v>515</v>
      </c>
      <c r="B26" s="1656"/>
      <c r="C26" s="1656"/>
      <c r="D26" s="1656"/>
      <c r="E26" s="1656"/>
      <c r="F26" s="1656"/>
      <c r="G26" s="1656" t="s">
        <v>516</v>
      </c>
      <c r="H26" s="1656"/>
      <c r="I26" s="1656"/>
      <c r="J26" s="1656"/>
      <c r="K26" s="1656"/>
      <c r="L26" s="1656"/>
      <c r="M26" s="1656" t="s">
        <v>517</v>
      </c>
      <c r="N26" s="1656"/>
      <c r="O26" s="1656"/>
      <c r="P26" s="1656"/>
      <c r="Q26" s="1656"/>
      <c r="R26" s="1656"/>
      <c r="S26" s="1656"/>
    </row>
    <row r="27" spans="1:20" ht="16.5" customHeight="1">
      <c r="I27" s="1324" t="s">
        <v>171</v>
      </c>
      <c r="J27" s="1324"/>
      <c r="K27" s="1324"/>
      <c r="L27" s="1324"/>
      <c r="M27" s="1324"/>
    </row>
    <row r="28" spans="1:20" ht="17.25" customHeight="1">
      <c r="A28" s="905" t="s">
        <v>518</v>
      </c>
      <c r="B28" s="1657" t="s">
        <v>519</v>
      </c>
      <c r="C28" s="1657"/>
      <c r="D28" s="1657"/>
      <c r="E28" s="1657" t="s">
        <v>520</v>
      </c>
      <c r="F28" s="1657"/>
      <c r="G28" s="1657"/>
      <c r="I28" s="1324"/>
      <c r="J28" s="1324"/>
      <c r="K28" s="1324"/>
      <c r="L28" s="1324"/>
      <c r="M28" s="1324"/>
    </row>
    <row r="29" spans="1:20" ht="17.25" customHeight="1">
      <c r="A29" s="903" t="s">
        <v>521</v>
      </c>
      <c r="B29" s="1652" t="s">
        <v>522</v>
      </c>
      <c r="C29" s="1652"/>
      <c r="D29" s="1652"/>
      <c r="E29" s="1654" t="s">
        <v>523</v>
      </c>
      <c r="F29" s="1654"/>
      <c r="G29" s="1654"/>
      <c r="I29" s="1277" t="s">
        <v>172</v>
      </c>
      <c r="J29" s="1277"/>
      <c r="K29" s="1277"/>
      <c r="L29" s="1277"/>
      <c r="N29" s="1277" t="s">
        <v>175</v>
      </c>
      <c r="O29" s="1277"/>
      <c r="P29" s="1277"/>
      <c r="Q29" s="1277"/>
    </row>
    <row r="30" spans="1:20" ht="17.25" customHeight="1">
      <c r="A30" s="903" t="s">
        <v>524</v>
      </c>
      <c r="B30" s="1652" t="s">
        <v>525</v>
      </c>
      <c r="C30" s="1652"/>
      <c r="D30" s="1652"/>
      <c r="E30" s="1654" t="s">
        <v>526</v>
      </c>
      <c r="F30" s="1654"/>
      <c r="G30" s="1654"/>
      <c r="I30" s="1277" t="s">
        <v>174</v>
      </c>
      <c r="J30" s="1277"/>
      <c r="K30" s="1277"/>
      <c r="L30" s="1277"/>
      <c r="N30" s="1277" t="s">
        <v>527</v>
      </c>
      <c r="O30" s="1277"/>
      <c r="P30" s="1277"/>
      <c r="Q30" s="1277"/>
    </row>
    <row r="31" spans="1:20" ht="31.5" customHeight="1">
      <c r="A31" s="903" t="s">
        <v>528</v>
      </c>
      <c r="B31" s="1652" t="s">
        <v>529</v>
      </c>
      <c r="C31" s="1652"/>
      <c r="D31" s="1652"/>
      <c r="E31" s="1652" t="s">
        <v>530</v>
      </c>
      <c r="F31" s="1652"/>
      <c r="G31" s="1652"/>
      <c r="N31" s="1653"/>
      <c r="O31" s="1653"/>
      <c r="P31" s="1653"/>
      <c r="Q31" s="1653"/>
      <c r="R31" s="1653"/>
    </row>
    <row r="32" spans="1:20" ht="17.25" customHeight="1">
      <c r="A32" s="903" t="s">
        <v>531</v>
      </c>
      <c r="B32" s="1652" t="s">
        <v>532</v>
      </c>
      <c r="C32" s="1652"/>
      <c r="D32" s="1652"/>
      <c r="E32" s="1654" t="s">
        <v>533</v>
      </c>
      <c r="F32" s="1654"/>
      <c r="G32" s="1654"/>
      <c r="I32" s="1308" t="s">
        <v>98</v>
      </c>
      <c r="J32" s="1308"/>
      <c r="K32" s="1308"/>
      <c r="L32" s="1308"/>
      <c r="N32" s="1655" t="s">
        <v>534</v>
      </c>
      <c r="O32" s="1655"/>
      <c r="P32" s="1655"/>
      <c r="Q32" s="1655"/>
      <c r="R32" s="1655"/>
      <c r="S32" s="1655"/>
      <c r="T32" s="1655"/>
    </row>
    <row r="33" spans="1:18" ht="17.25" customHeight="1">
      <c r="A33" s="724"/>
      <c r="B33" s="725"/>
      <c r="C33" s="725"/>
      <c r="D33" s="725"/>
      <c r="E33" s="726"/>
      <c r="F33" s="726"/>
      <c r="G33" s="726"/>
      <c r="I33" s="1282" t="s">
        <v>535</v>
      </c>
      <c r="J33" s="1282"/>
      <c r="K33" s="1282"/>
      <c r="L33" s="1282"/>
      <c r="N33" s="1647" t="s">
        <v>100</v>
      </c>
      <c r="O33" s="1647"/>
      <c r="P33" s="1647"/>
      <c r="Q33" s="1647"/>
      <c r="R33" s="1647"/>
    </row>
    <row r="34" spans="1:18">
      <c r="B34" s="1648" t="s">
        <v>516</v>
      </c>
      <c r="C34" s="1649"/>
      <c r="D34" s="1649"/>
      <c r="E34" s="1649"/>
      <c r="F34" s="1649"/>
      <c r="G34" s="1649"/>
      <c r="L34" s="1651" t="s">
        <v>515</v>
      </c>
      <c r="M34" s="1650"/>
      <c r="N34" s="1650"/>
      <c r="O34" s="1650"/>
      <c r="P34" s="1650"/>
      <c r="Q34" s="1650"/>
      <c r="R34" s="1650"/>
    </row>
    <row r="35" spans="1:18">
      <c r="B35" s="1650"/>
      <c r="C35" s="1650"/>
      <c r="D35" s="1650"/>
      <c r="E35" s="1650"/>
      <c r="F35" s="1650"/>
      <c r="G35" s="1650"/>
      <c r="L35" s="1650"/>
      <c r="M35" s="1650"/>
      <c r="N35" s="1650"/>
      <c r="O35" s="1650"/>
      <c r="P35" s="1650"/>
      <c r="Q35" s="1650"/>
      <c r="R35" s="1650"/>
    </row>
    <row r="36" spans="1:18">
      <c r="B36" s="1650"/>
      <c r="C36" s="1650"/>
      <c r="D36" s="1650"/>
      <c r="E36" s="1650"/>
      <c r="F36" s="1650"/>
      <c r="G36" s="1650"/>
    </row>
  </sheetData>
  <sheetProtection algorithmName="SHA-512" hashValue="ixpn5/m0JBJR86J5VPDRKq/dWxsj31T2kITJNAAy7y6TabZgzKwBDUdoMJVEx77Dc7Y8ZRct9CfqDCtvjFFvFg==" saltValue="7jbSayMyBdhmAh5r8AmaMQ==" spinCount="100000" sheet="1" objects="1" scenarios="1"/>
  <mergeCells count="25">
    <mergeCell ref="A26:F26"/>
    <mergeCell ref="G26:L26"/>
    <mergeCell ref="M26:S26"/>
    <mergeCell ref="I27:M28"/>
    <mergeCell ref="B28:D28"/>
    <mergeCell ref="E28:G28"/>
    <mergeCell ref="B29:D29"/>
    <mergeCell ref="E29:G29"/>
    <mergeCell ref="I29:L29"/>
    <mergeCell ref="N29:Q29"/>
    <mergeCell ref="B30:D30"/>
    <mergeCell ref="E30:G30"/>
    <mergeCell ref="I30:L30"/>
    <mergeCell ref="N30:Q30"/>
    <mergeCell ref="I33:L33"/>
    <mergeCell ref="N33:R33"/>
    <mergeCell ref="B34:G36"/>
    <mergeCell ref="L34:R35"/>
    <mergeCell ref="B31:D31"/>
    <mergeCell ref="E31:G31"/>
    <mergeCell ref="N31:R31"/>
    <mergeCell ref="B32:D32"/>
    <mergeCell ref="E32:G32"/>
    <mergeCell ref="I32:L32"/>
    <mergeCell ref="N32:T32"/>
  </mergeCells>
  <phoneticPr fontId="5" type="noConversion"/>
  <hyperlinks>
    <hyperlink ref="I32" r:id="rId1" display="신라 Daum Cafe"/>
    <hyperlink ref="I33:L33" r:id="rId2" display="Home Page : http://www.shillasteel.kr/index.php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V58"/>
  <sheetViews>
    <sheetView showGridLines="0" workbookViewId="0">
      <pane ySplit="7" topLeftCell="A8" activePane="bottomLeft" state="frozen"/>
      <selection activeCell="O21" sqref="O21"/>
      <selection pane="bottomLeft" activeCell="O21" sqref="O21"/>
    </sheetView>
  </sheetViews>
  <sheetFormatPr defaultColWidth="9" defaultRowHeight="16.5"/>
  <cols>
    <col min="1" max="1" width="1.5" style="1128" customWidth="1"/>
    <col min="2" max="2" width="9.875" style="1128" bestFit="1" customWidth="1"/>
    <col min="3" max="3" width="12.375" style="1128" bestFit="1" customWidth="1"/>
    <col min="4" max="5" width="14" style="1128" bestFit="1" customWidth="1"/>
    <col min="6" max="6" width="13.375" style="1128" customWidth="1"/>
    <col min="7" max="7" width="17" style="1128" customWidth="1"/>
    <col min="8" max="8" width="16.25" style="1128" customWidth="1"/>
    <col min="9" max="9" width="3.5" style="1128" customWidth="1"/>
    <col min="10" max="10" width="9.875" style="1128" bestFit="1" customWidth="1"/>
    <col min="11" max="11" width="11.25" style="1128" bestFit="1" customWidth="1"/>
    <col min="12" max="13" width="13.75" style="1128" bestFit="1" customWidth="1"/>
    <col min="14" max="14" width="13.5" style="1128" customWidth="1"/>
    <col min="15" max="15" width="16" style="1128" bestFit="1" customWidth="1"/>
    <col min="16" max="16" width="17.375" style="1128" customWidth="1"/>
    <col min="17" max="17" width="2.875" style="1128" customWidth="1"/>
    <col min="18" max="18" width="10.125" style="1128" bestFit="1" customWidth="1"/>
    <col min="19" max="19" width="18.875" style="1128" customWidth="1"/>
    <col min="20" max="16384" width="9" style="1128"/>
  </cols>
  <sheetData>
    <row r="1" spans="2:22" ht="28.5" customHeight="1">
      <c r="B1" s="1667"/>
      <c r="C1" s="1667"/>
      <c r="D1" s="1668" t="s">
        <v>543</v>
      </c>
      <c r="E1" s="1668"/>
      <c r="F1" s="1668"/>
      <c r="G1" s="1668"/>
      <c r="J1" s="1669" t="s">
        <v>544</v>
      </c>
      <c r="K1" s="1669"/>
      <c r="L1" s="1669"/>
      <c r="M1" s="1670" t="s">
        <v>545</v>
      </c>
      <c r="N1" s="1670"/>
      <c r="O1" s="1670"/>
      <c r="P1" s="1670"/>
      <c r="Q1" s="1670"/>
      <c r="R1" s="1670"/>
    </row>
    <row r="2" spans="2:22" ht="9" customHeight="1" thickBot="1"/>
    <row r="3" spans="2:22" ht="21" customHeight="1">
      <c r="B3" s="1671" t="s">
        <v>546</v>
      </c>
      <c r="C3" s="1672"/>
      <c r="D3" s="1129" t="s">
        <v>547</v>
      </c>
      <c r="E3" s="1130"/>
      <c r="F3" s="1131" t="s">
        <v>548</v>
      </c>
      <c r="G3" s="1210">
        <v>0.154</v>
      </c>
      <c r="H3" s="1659" t="s">
        <v>549</v>
      </c>
      <c r="I3" s="1660"/>
      <c r="J3" s="1671" t="s">
        <v>550</v>
      </c>
      <c r="K3" s="1672"/>
      <c r="L3" s="1129" t="s">
        <v>551</v>
      </c>
      <c r="M3" s="1130"/>
      <c r="N3" s="1131" t="s">
        <v>548</v>
      </c>
      <c r="O3" s="1210">
        <v>0.154</v>
      </c>
      <c r="P3" s="1661"/>
      <c r="Q3" s="1662"/>
      <c r="R3" s="1132" t="s">
        <v>552</v>
      </c>
      <c r="S3" s="1132"/>
      <c r="T3" s="1132"/>
      <c r="U3" s="1132"/>
      <c r="V3" s="1132"/>
    </row>
    <row r="4" spans="2:22" ht="21" customHeight="1">
      <c r="B4" s="1133" t="s">
        <v>553</v>
      </c>
      <c r="C4" s="1134"/>
      <c r="D4" s="1135" t="s">
        <v>554</v>
      </c>
      <c r="E4" s="1211">
        <v>3.5000000000000003E-2</v>
      </c>
      <c r="F4" s="1136" t="s">
        <v>555</v>
      </c>
      <c r="G4" s="1212"/>
      <c r="H4" s="1659" t="s">
        <v>556</v>
      </c>
      <c r="I4" s="1660"/>
      <c r="J4" s="1133" t="s">
        <v>553</v>
      </c>
      <c r="K4" s="1134"/>
      <c r="L4" s="1135" t="s">
        <v>554</v>
      </c>
      <c r="M4" s="1211">
        <v>3.5000000000000003E-2</v>
      </c>
      <c r="N4" s="1136" t="s">
        <v>555</v>
      </c>
      <c r="O4" s="1212"/>
      <c r="P4" s="1661"/>
      <c r="Q4" s="1662"/>
      <c r="R4" s="1663" t="s">
        <v>557</v>
      </c>
      <c r="S4" s="1663"/>
      <c r="T4" s="1663"/>
      <c r="U4" s="1663"/>
      <c r="V4" s="1663"/>
    </row>
    <row r="5" spans="2:22" ht="21" customHeight="1" thickBot="1">
      <c r="B5" s="1664">
        <f>IFERROR(E5,)</f>
        <v>0</v>
      </c>
      <c r="C5" s="1665"/>
      <c r="D5" s="1137" t="s">
        <v>558</v>
      </c>
      <c r="E5" s="1138">
        <f>IFERROR(VLOOKUP(C4, B7:H57, 7, FALSE),)</f>
        <v>0</v>
      </c>
      <c r="F5" s="1139" t="s">
        <v>559</v>
      </c>
      <c r="G5" s="1140" t="str">
        <f>IF($C$4="", "", E5-E3)</f>
        <v/>
      </c>
      <c r="H5" s="1659" t="s">
        <v>560</v>
      </c>
      <c r="I5" s="1660"/>
      <c r="J5" s="1664">
        <f>IFERROR(O5,)</f>
        <v>0</v>
      </c>
      <c r="K5" s="1665"/>
      <c r="L5" s="1141" t="s">
        <v>561</v>
      </c>
      <c r="M5" s="1142">
        <f>M3*12</f>
        <v>0</v>
      </c>
      <c r="N5" s="1136" t="s">
        <v>562</v>
      </c>
      <c r="O5" s="1235">
        <f>IFERROR(VLOOKUP(K4, J7:P57, 7, FALSE),)</f>
        <v>0</v>
      </c>
      <c r="P5" s="1661"/>
      <c r="Q5" s="1662"/>
      <c r="R5" s="1666" t="s">
        <v>563</v>
      </c>
      <c r="S5" s="1666"/>
      <c r="T5" s="1666"/>
      <c r="U5" s="1666"/>
      <c r="V5" s="1666"/>
    </row>
    <row r="6" spans="2:22" ht="21" customHeight="1" thickBot="1">
      <c r="D6" s="1143" t="s">
        <v>675</v>
      </c>
      <c r="E6" s="1144"/>
      <c r="F6" s="1143"/>
      <c r="G6" s="1143"/>
      <c r="H6" s="1143"/>
      <c r="J6" s="1145"/>
      <c r="K6" s="1146"/>
      <c r="L6" s="1147" t="s">
        <v>564</v>
      </c>
      <c r="M6" s="1148">
        <f>M5*K4</f>
        <v>0</v>
      </c>
      <c r="N6" s="1149" t="s">
        <v>559</v>
      </c>
      <c r="O6" s="1150">
        <f>IFERROR(VLOOKUP(K4, J7:P57, 6, FALSE),)</f>
        <v>0</v>
      </c>
      <c r="P6" s="1143"/>
      <c r="Q6" s="1143"/>
      <c r="R6" s="1658" t="s">
        <v>565</v>
      </c>
      <c r="S6" s="1658"/>
      <c r="T6" s="1658"/>
      <c r="U6" s="1658"/>
      <c r="V6" s="1658"/>
    </row>
    <row r="7" spans="2:22" ht="16.5" customHeight="1" thickTop="1" thickBot="1">
      <c r="B7" s="1151" t="s">
        <v>566</v>
      </c>
      <c r="C7" s="1152" t="s">
        <v>672</v>
      </c>
      <c r="D7" s="1152" t="s">
        <v>567</v>
      </c>
      <c r="E7" s="1153" t="s">
        <v>568</v>
      </c>
      <c r="F7" s="1153" t="s">
        <v>569</v>
      </c>
      <c r="G7" s="1154" t="s">
        <v>570</v>
      </c>
      <c r="H7" s="1155" t="s">
        <v>674</v>
      </c>
      <c r="J7" s="1156" t="s">
        <v>566</v>
      </c>
      <c r="K7" s="1157" t="s">
        <v>673</v>
      </c>
      <c r="L7" s="1157" t="s">
        <v>567</v>
      </c>
      <c r="M7" s="1158" t="s">
        <v>568</v>
      </c>
      <c r="N7" s="1158" t="s">
        <v>569</v>
      </c>
      <c r="O7" s="1159" t="s">
        <v>570</v>
      </c>
      <c r="P7" s="1160" t="s">
        <v>571</v>
      </c>
      <c r="Q7" s="1161"/>
    </row>
    <row r="8" spans="2:22" ht="16.5" customHeight="1" thickTop="1">
      <c r="B8" s="1162">
        <v>1</v>
      </c>
      <c r="C8" s="918" t="str">
        <f>IF($G$4="", "", EDATE($G$4, B8*12))</f>
        <v/>
      </c>
      <c r="D8" s="1163">
        <f t="shared" ref="D8:D57" si="0">$E$3*(1+$E$4)^B8</f>
        <v>0</v>
      </c>
      <c r="E8" s="1163">
        <f>D8-$E$3</f>
        <v>0</v>
      </c>
      <c r="F8" s="1164">
        <f>E8*$G$3</f>
        <v>0</v>
      </c>
      <c r="G8" s="1165">
        <f>E8-F8</f>
        <v>0</v>
      </c>
      <c r="H8" s="1213">
        <f>$E$3+G8</f>
        <v>0</v>
      </c>
      <c r="J8" s="1166">
        <v>1</v>
      </c>
      <c r="K8" s="1205" t="str">
        <f>IF($O$4="", "", EDATE($O$4, J8*12))</f>
        <v/>
      </c>
      <c r="L8" s="1163">
        <f>M3*12 + (M3*M4*6.5)</f>
        <v>0</v>
      </c>
      <c r="M8" s="1163">
        <f>L8 - ($M$3 * 12 * J8)</f>
        <v>0</v>
      </c>
      <c r="N8" s="1167">
        <f>M8*$O$3</f>
        <v>0</v>
      </c>
      <c r="O8" s="1221">
        <f>M8-N8</f>
        <v>0</v>
      </c>
      <c r="P8" s="1222">
        <f>L8-N8</f>
        <v>0</v>
      </c>
      <c r="Q8" s="1161"/>
    </row>
    <row r="9" spans="2:22" ht="16.5" customHeight="1">
      <c r="B9" s="1162">
        <v>2</v>
      </c>
      <c r="C9" s="918" t="str">
        <f t="shared" ref="C9:C57" si="1">IF($G$4="", "", EDATE($G$4, B9*12))</f>
        <v/>
      </c>
      <c r="D9" s="1163">
        <f t="shared" si="0"/>
        <v>0</v>
      </c>
      <c r="E9" s="1163">
        <f t="shared" ref="E9:E57" si="2">D9-$E$3</f>
        <v>0</v>
      </c>
      <c r="F9" s="1164">
        <f t="shared" ref="F9:F57" si="3">E9*$G$3</f>
        <v>0</v>
      </c>
      <c r="G9" s="1168">
        <f t="shared" ref="G9:G57" si="4">E9-F9</f>
        <v>0</v>
      </c>
      <c r="H9" s="1213">
        <f t="shared" ref="H9:H57" si="5">$E$3+G9</f>
        <v>0</v>
      </c>
      <c r="J9" s="1166">
        <v>2</v>
      </c>
      <c r="K9" s="1205" t="str">
        <f t="shared" ref="K9:K57" si="6">IF($O$4="", "", EDATE($O$4, J9*12))</f>
        <v/>
      </c>
      <c r="L9" s="1163">
        <f>(L8*(1+$M$4)) + ($M$3*12 + ($M$3*$M$4*6.5))</f>
        <v>0</v>
      </c>
      <c r="M9" s="1163">
        <f>L9 - ($M$3 * 12 * J9)</f>
        <v>0</v>
      </c>
      <c r="N9" s="1167">
        <f>M9*$O$3</f>
        <v>0</v>
      </c>
      <c r="O9" s="1221">
        <f>M9-N9</f>
        <v>0</v>
      </c>
      <c r="P9" s="1222">
        <f>L9-N9</f>
        <v>0</v>
      </c>
      <c r="Q9" s="1161"/>
    </row>
    <row r="10" spans="2:22" ht="16.5" customHeight="1">
      <c r="B10" s="1162">
        <v>3</v>
      </c>
      <c r="C10" s="918" t="str">
        <f t="shared" si="1"/>
        <v/>
      </c>
      <c r="D10" s="1163">
        <f t="shared" si="0"/>
        <v>0</v>
      </c>
      <c r="E10" s="1163">
        <f t="shared" si="2"/>
        <v>0</v>
      </c>
      <c r="F10" s="1164">
        <f t="shared" si="3"/>
        <v>0</v>
      </c>
      <c r="G10" s="1168">
        <f t="shared" si="4"/>
        <v>0</v>
      </c>
      <c r="H10" s="1213">
        <f t="shared" si="5"/>
        <v>0</v>
      </c>
      <c r="J10" s="1166">
        <v>3</v>
      </c>
      <c r="K10" s="1205" t="str">
        <f t="shared" si="6"/>
        <v/>
      </c>
      <c r="L10" s="1163">
        <f t="shared" ref="L10:L57" si="7">(L9*(1+$M$4)) + ($M$3*12 + ($M$3*$M$4*6.5))</f>
        <v>0</v>
      </c>
      <c r="M10" s="1163">
        <f t="shared" ref="M10:M57" si="8">L10 - ($M$3 * 12 * J10)</f>
        <v>0</v>
      </c>
      <c r="N10" s="1167">
        <f t="shared" ref="N10:N57" si="9">M10*$O$3</f>
        <v>0</v>
      </c>
      <c r="O10" s="1221">
        <f t="shared" ref="O10:O57" si="10">M10-N10</f>
        <v>0</v>
      </c>
      <c r="P10" s="1222">
        <f t="shared" ref="P10:P57" si="11">L10-N10</f>
        <v>0</v>
      </c>
      <c r="Q10" s="1161"/>
    </row>
    <row r="11" spans="2:22" ht="16.5" customHeight="1" thickBot="1">
      <c r="B11" s="1169">
        <v>4</v>
      </c>
      <c r="C11" s="919" t="str">
        <f t="shared" si="1"/>
        <v/>
      </c>
      <c r="D11" s="1170">
        <f t="shared" si="0"/>
        <v>0</v>
      </c>
      <c r="E11" s="1170">
        <f t="shared" si="2"/>
        <v>0</v>
      </c>
      <c r="F11" s="1171">
        <f t="shared" si="3"/>
        <v>0</v>
      </c>
      <c r="G11" s="1172">
        <f t="shared" si="4"/>
        <v>0</v>
      </c>
      <c r="H11" s="1214">
        <f t="shared" si="5"/>
        <v>0</v>
      </c>
      <c r="J11" s="1173">
        <v>4</v>
      </c>
      <c r="K11" s="1206" t="str">
        <f t="shared" si="6"/>
        <v/>
      </c>
      <c r="L11" s="1170">
        <f t="shared" si="7"/>
        <v>0</v>
      </c>
      <c r="M11" s="1170">
        <f t="shared" si="8"/>
        <v>0</v>
      </c>
      <c r="N11" s="1174">
        <f t="shared" si="9"/>
        <v>0</v>
      </c>
      <c r="O11" s="1223">
        <f t="shared" si="10"/>
        <v>0</v>
      </c>
      <c r="P11" s="1224">
        <f t="shared" si="11"/>
        <v>0</v>
      </c>
      <c r="Q11" s="1161"/>
    </row>
    <row r="12" spans="2:22" ht="16.5" customHeight="1" thickBot="1">
      <c r="B12" s="1175">
        <v>5</v>
      </c>
      <c r="C12" s="1202" t="str">
        <f t="shared" si="1"/>
        <v/>
      </c>
      <c r="D12" s="1176">
        <f t="shared" si="0"/>
        <v>0</v>
      </c>
      <c r="E12" s="1176">
        <f t="shared" si="2"/>
        <v>0</v>
      </c>
      <c r="F12" s="1177">
        <f t="shared" si="3"/>
        <v>0</v>
      </c>
      <c r="G12" s="1178">
        <f t="shared" si="4"/>
        <v>0</v>
      </c>
      <c r="H12" s="1215">
        <f t="shared" si="5"/>
        <v>0</v>
      </c>
      <c r="J12" s="1179">
        <v>5</v>
      </c>
      <c r="K12" s="1208" t="str">
        <f t="shared" si="6"/>
        <v/>
      </c>
      <c r="L12" s="1233">
        <f t="shared" si="7"/>
        <v>0</v>
      </c>
      <c r="M12" s="1233">
        <f t="shared" si="8"/>
        <v>0</v>
      </c>
      <c r="N12" s="1180">
        <f t="shared" si="9"/>
        <v>0</v>
      </c>
      <c r="O12" s="1225">
        <f t="shared" si="10"/>
        <v>0</v>
      </c>
      <c r="P12" s="1226">
        <f t="shared" si="11"/>
        <v>0</v>
      </c>
      <c r="Q12" s="1161"/>
    </row>
    <row r="13" spans="2:22" ht="16.5" customHeight="1">
      <c r="B13" s="1181">
        <v>6</v>
      </c>
      <c r="C13" s="920" t="str">
        <f t="shared" si="1"/>
        <v/>
      </c>
      <c r="D13" s="1182">
        <f t="shared" si="0"/>
        <v>0</v>
      </c>
      <c r="E13" s="1182">
        <f t="shared" si="2"/>
        <v>0</v>
      </c>
      <c r="F13" s="1183">
        <f t="shared" si="3"/>
        <v>0</v>
      </c>
      <c r="G13" s="1184">
        <f t="shared" si="4"/>
        <v>0</v>
      </c>
      <c r="H13" s="1216">
        <f t="shared" si="5"/>
        <v>0</v>
      </c>
      <c r="J13" s="1185">
        <v>6</v>
      </c>
      <c r="K13" s="1207" t="str">
        <f t="shared" si="6"/>
        <v/>
      </c>
      <c r="L13" s="1182">
        <f t="shared" si="7"/>
        <v>0</v>
      </c>
      <c r="M13" s="1182">
        <f t="shared" si="8"/>
        <v>0</v>
      </c>
      <c r="N13" s="1186">
        <f t="shared" si="9"/>
        <v>0</v>
      </c>
      <c r="O13" s="1227">
        <f t="shared" si="10"/>
        <v>0</v>
      </c>
      <c r="P13" s="1228">
        <f t="shared" si="11"/>
        <v>0</v>
      </c>
      <c r="Q13" s="1161"/>
    </row>
    <row r="14" spans="2:22" ht="16.5" customHeight="1">
      <c r="B14" s="1162">
        <v>7</v>
      </c>
      <c r="C14" s="918" t="str">
        <f t="shared" si="1"/>
        <v/>
      </c>
      <c r="D14" s="1163">
        <f t="shared" si="0"/>
        <v>0</v>
      </c>
      <c r="E14" s="1163">
        <f t="shared" si="2"/>
        <v>0</v>
      </c>
      <c r="F14" s="1164">
        <f t="shared" si="3"/>
        <v>0</v>
      </c>
      <c r="G14" s="1168">
        <f t="shared" si="4"/>
        <v>0</v>
      </c>
      <c r="H14" s="1213">
        <f t="shared" si="5"/>
        <v>0</v>
      </c>
      <c r="J14" s="1166">
        <v>7</v>
      </c>
      <c r="K14" s="1205" t="str">
        <f t="shared" si="6"/>
        <v/>
      </c>
      <c r="L14" s="1163">
        <f t="shared" si="7"/>
        <v>0</v>
      </c>
      <c r="M14" s="1163">
        <f t="shared" si="8"/>
        <v>0</v>
      </c>
      <c r="N14" s="1167">
        <f t="shared" si="9"/>
        <v>0</v>
      </c>
      <c r="O14" s="1221">
        <f t="shared" si="10"/>
        <v>0</v>
      </c>
      <c r="P14" s="1222">
        <f t="shared" si="11"/>
        <v>0</v>
      </c>
      <c r="Q14" s="1161"/>
    </row>
    <row r="15" spans="2:22" ht="16.5" customHeight="1">
      <c r="B15" s="1162">
        <v>8</v>
      </c>
      <c r="C15" s="918" t="str">
        <f t="shared" si="1"/>
        <v/>
      </c>
      <c r="D15" s="1163">
        <f t="shared" si="0"/>
        <v>0</v>
      </c>
      <c r="E15" s="1163">
        <f t="shared" si="2"/>
        <v>0</v>
      </c>
      <c r="F15" s="1164">
        <f t="shared" si="3"/>
        <v>0</v>
      </c>
      <c r="G15" s="1168">
        <f t="shared" si="4"/>
        <v>0</v>
      </c>
      <c r="H15" s="1213">
        <f t="shared" si="5"/>
        <v>0</v>
      </c>
      <c r="J15" s="1166">
        <v>8</v>
      </c>
      <c r="K15" s="1205" t="str">
        <f t="shared" si="6"/>
        <v/>
      </c>
      <c r="L15" s="1163">
        <f t="shared" si="7"/>
        <v>0</v>
      </c>
      <c r="M15" s="1163">
        <f t="shared" si="8"/>
        <v>0</v>
      </c>
      <c r="N15" s="1167">
        <f t="shared" si="9"/>
        <v>0</v>
      </c>
      <c r="O15" s="1221">
        <f t="shared" si="10"/>
        <v>0</v>
      </c>
      <c r="P15" s="1222">
        <f t="shared" si="11"/>
        <v>0</v>
      </c>
      <c r="Q15" s="1161"/>
    </row>
    <row r="16" spans="2:22" ht="16.5" customHeight="1" thickBot="1">
      <c r="B16" s="1169">
        <v>9</v>
      </c>
      <c r="C16" s="919" t="str">
        <f t="shared" si="1"/>
        <v/>
      </c>
      <c r="D16" s="1170">
        <f t="shared" si="0"/>
        <v>0</v>
      </c>
      <c r="E16" s="1170">
        <f t="shared" si="2"/>
        <v>0</v>
      </c>
      <c r="F16" s="1171">
        <f t="shared" si="3"/>
        <v>0</v>
      </c>
      <c r="G16" s="1172">
        <f t="shared" si="4"/>
        <v>0</v>
      </c>
      <c r="H16" s="1214">
        <f t="shared" si="5"/>
        <v>0</v>
      </c>
      <c r="J16" s="1173">
        <v>9</v>
      </c>
      <c r="K16" s="1206" t="str">
        <f t="shared" si="6"/>
        <v/>
      </c>
      <c r="L16" s="1170">
        <f t="shared" si="7"/>
        <v>0</v>
      </c>
      <c r="M16" s="1170">
        <f t="shared" si="8"/>
        <v>0</v>
      </c>
      <c r="N16" s="1174">
        <f t="shared" si="9"/>
        <v>0</v>
      </c>
      <c r="O16" s="1223">
        <f t="shared" si="10"/>
        <v>0</v>
      </c>
      <c r="P16" s="1224">
        <f t="shared" si="11"/>
        <v>0</v>
      </c>
      <c r="Q16" s="1161"/>
    </row>
    <row r="17" spans="2:17" ht="16.5" customHeight="1" thickBot="1">
      <c r="B17" s="1175">
        <v>10</v>
      </c>
      <c r="C17" s="1202" t="str">
        <f t="shared" si="1"/>
        <v/>
      </c>
      <c r="D17" s="1176">
        <f t="shared" si="0"/>
        <v>0</v>
      </c>
      <c r="E17" s="1176">
        <f t="shared" si="2"/>
        <v>0</v>
      </c>
      <c r="F17" s="1177">
        <f t="shared" si="3"/>
        <v>0</v>
      </c>
      <c r="G17" s="1178">
        <f t="shared" si="4"/>
        <v>0</v>
      </c>
      <c r="H17" s="1215">
        <f t="shared" si="5"/>
        <v>0</v>
      </c>
      <c r="J17" s="1179">
        <v>10</v>
      </c>
      <c r="K17" s="1208" t="str">
        <f t="shared" si="6"/>
        <v/>
      </c>
      <c r="L17" s="1233">
        <f t="shared" si="7"/>
        <v>0</v>
      </c>
      <c r="M17" s="1233">
        <f t="shared" si="8"/>
        <v>0</v>
      </c>
      <c r="N17" s="1180">
        <f t="shared" si="9"/>
        <v>0</v>
      </c>
      <c r="O17" s="1225">
        <f t="shared" si="10"/>
        <v>0</v>
      </c>
      <c r="P17" s="1226">
        <f t="shared" si="11"/>
        <v>0</v>
      </c>
      <c r="Q17" s="1161"/>
    </row>
    <row r="18" spans="2:17" ht="16.5" customHeight="1">
      <c r="B18" s="1181">
        <v>11</v>
      </c>
      <c r="C18" s="920" t="str">
        <f t="shared" si="1"/>
        <v/>
      </c>
      <c r="D18" s="1182">
        <f t="shared" si="0"/>
        <v>0</v>
      </c>
      <c r="E18" s="1182">
        <f t="shared" si="2"/>
        <v>0</v>
      </c>
      <c r="F18" s="1183">
        <f t="shared" si="3"/>
        <v>0</v>
      </c>
      <c r="G18" s="1184">
        <f t="shared" si="4"/>
        <v>0</v>
      </c>
      <c r="H18" s="1216">
        <f t="shared" si="5"/>
        <v>0</v>
      </c>
      <c r="J18" s="1185">
        <v>11</v>
      </c>
      <c r="K18" s="1207" t="str">
        <f t="shared" si="6"/>
        <v/>
      </c>
      <c r="L18" s="1182">
        <f t="shared" si="7"/>
        <v>0</v>
      </c>
      <c r="M18" s="1182">
        <f t="shared" si="8"/>
        <v>0</v>
      </c>
      <c r="N18" s="1186">
        <f t="shared" si="9"/>
        <v>0</v>
      </c>
      <c r="O18" s="1227">
        <f t="shared" si="10"/>
        <v>0</v>
      </c>
      <c r="P18" s="1228">
        <f t="shared" si="11"/>
        <v>0</v>
      </c>
      <c r="Q18" s="1161"/>
    </row>
    <row r="19" spans="2:17" ht="16.5" customHeight="1">
      <c r="B19" s="1162">
        <v>12</v>
      </c>
      <c r="C19" s="918" t="str">
        <f t="shared" si="1"/>
        <v/>
      </c>
      <c r="D19" s="1163">
        <f t="shared" si="0"/>
        <v>0</v>
      </c>
      <c r="E19" s="1163">
        <f t="shared" si="2"/>
        <v>0</v>
      </c>
      <c r="F19" s="1164">
        <f t="shared" si="3"/>
        <v>0</v>
      </c>
      <c r="G19" s="1168">
        <f t="shared" si="4"/>
        <v>0</v>
      </c>
      <c r="H19" s="1213">
        <f t="shared" si="5"/>
        <v>0</v>
      </c>
      <c r="J19" s="1166">
        <v>12</v>
      </c>
      <c r="K19" s="1205" t="str">
        <f t="shared" si="6"/>
        <v/>
      </c>
      <c r="L19" s="1163">
        <f t="shared" si="7"/>
        <v>0</v>
      </c>
      <c r="M19" s="1163">
        <f t="shared" si="8"/>
        <v>0</v>
      </c>
      <c r="N19" s="1167">
        <f t="shared" si="9"/>
        <v>0</v>
      </c>
      <c r="O19" s="1221">
        <f t="shared" si="10"/>
        <v>0</v>
      </c>
      <c r="P19" s="1222">
        <f t="shared" si="11"/>
        <v>0</v>
      </c>
      <c r="Q19" s="1161"/>
    </row>
    <row r="20" spans="2:17" ht="16.5" customHeight="1">
      <c r="B20" s="1162">
        <v>13</v>
      </c>
      <c r="C20" s="918" t="str">
        <f t="shared" si="1"/>
        <v/>
      </c>
      <c r="D20" s="1163">
        <f t="shared" si="0"/>
        <v>0</v>
      </c>
      <c r="E20" s="1163">
        <f t="shared" si="2"/>
        <v>0</v>
      </c>
      <c r="F20" s="1164">
        <f t="shared" si="3"/>
        <v>0</v>
      </c>
      <c r="G20" s="1168">
        <f t="shared" si="4"/>
        <v>0</v>
      </c>
      <c r="H20" s="1213">
        <f t="shared" si="5"/>
        <v>0</v>
      </c>
      <c r="J20" s="1166">
        <v>13</v>
      </c>
      <c r="K20" s="1205" t="str">
        <f t="shared" si="6"/>
        <v/>
      </c>
      <c r="L20" s="1163">
        <f t="shared" si="7"/>
        <v>0</v>
      </c>
      <c r="M20" s="1163">
        <f t="shared" si="8"/>
        <v>0</v>
      </c>
      <c r="N20" s="1167">
        <f t="shared" si="9"/>
        <v>0</v>
      </c>
      <c r="O20" s="1221">
        <f t="shared" si="10"/>
        <v>0</v>
      </c>
      <c r="P20" s="1222">
        <f t="shared" si="11"/>
        <v>0</v>
      </c>
      <c r="Q20" s="1161"/>
    </row>
    <row r="21" spans="2:17" ht="16.5" customHeight="1" thickBot="1">
      <c r="B21" s="1169">
        <v>14</v>
      </c>
      <c r="C21" s="919" t="str">
        <f t="shared" si="1"/>
        <v/>
      </c>
      <c r="D21" s="1170">
        <f t="shared" si="0"/>
        <v>0</v>
      </c>
      <c r="E21" s="1170">
        <f t="shared" si="2"/>
        <v>0</v>
      </c>
      <c r="F21" s="1171">
        <f t="shared" si="3"/>
        <v>0</v>
      </c>
      <c r="G21" s="1172">
        <f t="shared" si="4"/>
        <v>0</v>
      </c>
      <c r="H21" s="1214">
        <f t="shared" si="5"/>
        <v>0</v>
      </c>
      <c r="J21" s="1173">
        <v>14</v>
      </c>
      <c r="K21" s="1206" t="str">
        <f t="shared" si="6"/>
        <v/>
      </c>
      <c r="L21" s="1170">
        <f t="shared" si="7"/>
        <v>0</v>
      </c>
      <c r="M21" s="1170">
        <f t="shared" si="8"/>
        <v>0</v>
      </c>
      <c r="N21" s="1174">
        <f t="shared" si="9"/>
        <v>0</v>
      </c>
      <c r="O21" s="1223">
        <f t="shared" si="10"/>
        <v>0</v>
      </c>
      <c r="P21" s="1224">
        <f t="shared" si="11"/>
        <v>0</v>
      </c>
      <c r="Q21" s="1161"/>
    </row>
    <row r="22" spans="2:17" ht="16.5" customHeight="1" thickBot="1">
      <c r="B22" s="1175">
        <v>15</v>
      </c>
      <c r="C22" s="1202" t="str">
        <f t="shared" si="1"/>
        <v/>
      </c>
      <c r="D22" s="1176">
        <f t="shared" si="0"/>
        <v>0</v>
      </c>
      <c r="E22" s="1176">
        <f t="shared" si="2"/>
        <v>0</v>
      </c>
      <c r="F22" s="1177">
        <f t="shared" si="3"/>
        <v>0</v>
      </c>
      <c r="G22" s="1178">
        <f t="shared" si="4"/>
        <v>0</v>
      </c>
      <c r="H22" s="1215">
        <f t="shared" si="5"/>
        <v>0</v>
      </c>
      <c r="J22" s="1179">
        <v>15</v>
      </c>
      <c r="K22" s="1208" t="str">
        <f t="shared" si="6"/>
        <v/>
      </c>
      <c r="L22" s="1233">
        <f t="shared" si="7"/>
        <v>0</v>
      </c>
      <c r="M22" s="1233">
        <f t="shared" si="8"/>
        <v>0</v>
      </c>
      <c r="N22" s="1180">
        <f t="shared" si="9"/>
        <v>0</v>
      </c>
      <c r="O22" s="1225">
        <f t="shared" si="10"/>
        <v>0</v>
      </c>
      <c r="P22" s="1226">
        <f t="shared" si="11"/>
        <v>0</v>
      </c>
      <c r="Q22" s="1161"/>
    </row>
    <row r="23" spans="2:17" ht="16.5" customHeight="1">
      <c r="B23" s="1181">
        <v>16</v>
      </c>
      <c r="C23" s="920" t="str">
        <f t="shared" si="1"/>
        <v/>
      </c>
      <c r="D23" s="1182">
        <f t="shared" si="0"/>
        <v>0</v>
      </c>
      <c r="E23" s="1182">
        <f t="shared" si="2"/>
        <v>0</v>
      </c>
      <c r="F23" s="1183">
        <f t="shared" si="3"/>
        <v>0</v>
      </c>
      <c r="G23" s="1184">
        <f t="shared" si="4"/>
        <v>0</v>
      </c>
      <c r="H23" s="1216">
        <f t="shared" si="5"/>
        <v>0</v>
      </c>
      <c r="J23" s="1185">
        <v>16</v>
      </c>
      <c r="K23" s="1207" t="str">
        <f t="shared" si="6"/>
        <v/>
      </c>
      <c r="L23" s="1182">
        <f t="shared" si="7"/>
        <v>0</v>
      </c>
      <c r="M23" s="1182">
        <f t="shared" si="8"/>
        <v>0</v>
      </c>
      <c r="N23" s="1186">
        <f t="shared" si="9"/>
        <v>0</v>
      </c>
      <c r="O23" s="1227">
        <f t="shared" si="10"/>
        <v>0</v>
      </c>
      <c r="P23" s="1228">
        <f t="shared" si="11"/>
        <v>0</v>
      </c>
      <c r="Q23" s="1161"/>
    </row>
    <row r="24" spans="2:17" ht="16.5" customHeight="1">
      <c r="B24" s="1162">
        <v>17</v>
      </c>
      <c r="C24" s="918" t="str">
        <f t="shared" si="1"/>
        <v/>
      </c>
      <c r="D24" s="1163">
        <f t="shared" si="0"/>
        <v>0</v>
      </c>
      <c r="E24" s="1163">
        <f t="shared" si="2"/>
        <v>0</v>
      </c>
      <c r="F24" s="1164">
        <f t="shared" si="3"/>
        <v>0</v>
      </c>
      <c r="G24" s="1168">
        <f t="shared" si="4"/>
        <v>0</v>
      </c>
      <c r="H24" s="1213">
        <f t="shared" si="5"/>
        <v>0</v>
      </c>
      <c r="J24" s="1166">
        <v>17</v>
      </c>
      <c r="K24" s="1205" t="str">
        <f t="shared" si="6"/>
        <v/>
      </c>
      <c r="L24" s="1163">
        <f t="shared" si="7"/>
        <v>0</v>
      </c>
      <c r="M24" s="1163">
        <f t="shared" si="8"/>
        <v>0</v>
      </c>
      <c r="N24" s="1167">
        <f t="shared" si="9"/>
        <v>0</v>
      </c>
      <c r="O24" s="1221">
        <f t="shared" si="10"/>
        <v>0</v>
      </c>
      <c r="P24" s="1222">
        <f t="shared" si="11"/>
        <v>0</v>
      </c>
      <c r="Q24" s="1161"/>
    </row>
    <row r="25" spans="2:17" ht="16.5" customHeight="1">
      <c r="B25" s="1162">
        <v>18</v>
      </c>
      <c r="C25" s="918" t="str">
        <f t="shared" si="1"/>
        <v/>
      </c>
      <c r="D25" s="1163">
        <f t="shared" si="0"/>
        <v>0</v>
      </c>
      <c r="E25" s="1163">
        <f t="shared" si="2"/>
        <v>0</v>
      </c>
      <c r="F25" s="1164">
        <f t="shared" si="3"/>
        <v>0</v>
      </c>
      <c r="G25" s="1168">
        <f t="shared" si="4"/>
        <v>0</v>
      </c>
      <c r="H25" s="1213">
        <f t="shared" si="5"/>
        <v>0</v>
      </c>
      <c r="J25" s="1166">
        <v>18</v>
      </c>
      <c r="K25" s="1205" t="str">
        <f t="shared" si="6"/>
        <v/>
      </c>
      <c r="L25" s="1163">
        <f t="shared" si="7"/>
        <v>0</v>
      </c>
      <c r="M25" s="1163">
        <f t="shared" si="8"/>
        <v>0</v>
      </c>
      <c r="N25" s="1167">
        <f t="shared" si="9"/>
        <v>0</v>
      </c>
      <c r="O25" s="1221">
        <f t="shared" si="10"/>
        <v>0</v>
      </c>
      <c r="P25" s="1222">
        <f t="shared" si="11"/>
        <v>0</v>
      </c>
      <c r="Q25" s="1161"/>
    </row>
    <row r="26" spans="2:17" ht="16.5" customHeight="1" thickBot="1">
      <c r="B26" s="1169">
        <v>19</v>
      </c>
      <c r="C26" s="919" t="str">
        <f t="shared" si="1"/>
        <v/>
      </c>
      <c r="D26" s="1170">
        <f t="shared" si="0"/>
        <v>0</v>
      </c>
      <c r="E26" s="1170">
        <f t="shared" si="2"/>
        <v>0</v>
      </c>
      <c r="F26" s="1171">
        <f t="shared" si="3"/>
        <v>0</v>
      </c>
      <c r="G26" s="1172">
        <f t="shared" si="4"/>
        <v>0</v>
      </c>
      <c r="H26" s="1214">
        <f t="shared" si="5"/>
        <v>0</v>
      </c>
      <c r="J26" s="1173">
        <v>19</v>
      </c>
      <c r="K26" s="1206" t="str">
        <f t="shared" si="6"/>
        <v/>
      </c>
      <c r="L26" s="1170">
        <f t="shared" si="7"/>
        <v>0</v>
      </c>
      <c r="M26" s="1170">
        <f t="shared" si="8"/>
        <v>0</v>
      </c>
      <c r="N26" s="1174">
        <f t="shared" si="9"/>
        <v>0</v>
      </c>
      <c r="O26" s="1223">
        <f t="shared" si="10"/>
        <v>0</v>
      </c>
      <c r="P26" s="1224">
        <f t="shared" si="11"/>
        <v>0</v>
      </c>
      <c r="Q26" s="1161"/>
    </row>
    <row r="27" spans="2:17" ht="16.5" customHeight="1" thickBot="1">
      <c r="B27" s="1175">
        <v>20</v>
      </c>
      <c r="C27" s="1202" t="str">
        <f t="shared" si="1"/>
        <v/>
      </c>
      <c r="D27" s="1176">
        <f t="shared" si="0"/>
        <v>0</v>
      </c>
      <c r="E27" s="1176">
        <f t="shared" si="2"/>
        <v>0</v>
      </c>
      <c r="F27" s="1177">
        <f t="shared" si="3"/>
        <v>0</v>
      </c>
      <c r="G27" s="1187">
        <f t="shared" si="4"/>
        <v>0</v>
      </c>
      <c r="H27" s="1217">
        <f t="shared" si="5"/>
        <v>0</v>
      </c>
      <c r="J27" s="1179">
        <v>20</v>
      </c>
      <c r="K27" s="1208" t="str">
        <f t="shared" si="6"/>
        <v/>
      </c>
      <c r="L27" s="1233">
        <f t="shared" si="7"/>
        <v>0</v>
      </c>
      <c r="M27" s="1233">
        <f t="shared" si="8"/>
        <v>0</v>
      </c>
      <c r="N27" s="1180">
        <f t="shared" si="9"/>
        <v>0</v>
      </c>
      <c r="O27" s="1229">
        <f t="shared" si="10"/>
        <v>0</v>
      </c>
      <c r="P27" s="1230">
        <f t="shared" si="11"/>
        <v>0</v>
      </c>
      <c r="Q27" s="1161"/>
    </row>
    <row r="28" spans="2:17" ht="16.5" customHeight="1">
      <c r="B28" s="1181">
        <v>21</v>
      </c>
      <c r="C28" s="920" t="str">
        <f t="shared" si="1"/>
        <v/>
      </c>
      <c r="D28" s="1182">
        <f t="shared" si="0"/>
        <v>0</v>
      </c>
      <c r="E28" s="1182">
        <f t="shared" si="2"/>
        <v>0</v>
      </c>
      <c r="F28" s="1183">
        <f t="shared" si="3"/>
        <v>0</v>
      </c>
      <c r="G28" s="1184">
        <f t="shared" si="4"/>
        <v>0</v>
      </c>
      <c r="H28" s="1216">
        <f t="shared" si="5"/>
        <v>0</v>
      </c>
      <c r="J28" s="1185">
        <v>21</v>
      </c>
      <c r="K28" s="1207" t="str">
        <f t="shared" si="6"/>
        <v/>
      </c>
      <c r="L28" s="1182">
        <f t="shared" si="7"/>
        <v>0</v>
      </c>
      <c r="M28" s="1182">
        <f t="shared" si="8"/>
        <v>0</v>
      </c>
      <c r="N28" s="1186">
        <f t="shared" si="9"/>
        <v>0</v>
      </c>
      <c r="O28" s="1227">
        <f t="shared" si="10"/>
        <v>0</v>
      </c>
      <c r="P28" s="1228">
        <f t="shared" si="11"/>
        <v>0</v>
      </c>
      <c r="Q28" s="1161"/>
    </row>
    <row r="29" spans="2:17" ht="16.5" customHeight="1">
      <c r="B29" s="1162">
        <v>22</v>
      </c>
      <c r="C29" s="918" t="str">
        <f t="shared" si="1"/>
        <v/>
      </c>
      <c r="D29" s="1163">
        <f t="shared" si="0"/>
        <v>0</v>
      </c>
      <c r="E29" s="1163">
        <f t="shared" si="2"/>
        <v>0</v>
      </c>
      <c r="F29" s="1164">
        <f t="shared" si="3"/>
        <v>0</v>
      </c>
      <c r="G29" s="1168">
        <f t="shared" si="4"/>
        <v>0</v>
      </c>
      <c r="H29" s="1213">
        <f t="shared" si="5"/>
        <v>0</v>
      </c>
      <c r="J29" s="1166">
        <v>22</v>
      </c>
      <c r="K29" s="1205" t="str">
        <f t="shared" si="6"/>
        <v/>
      </c>
      <c r="L29" s="1163">
        <f t="shared" si="7"/>
        <v>0</v>
      </c>
      <c r="M29" s="1163">
        <f t="shared" si="8"/>
        <v>0</v>
      </c>
      <c r="N29" s="1167">
        <f t="shared" si="9"/>
        <v>0</v>
      </c>
      <c r="O29" s="1221">
        <f t="shared" si="10"/>
        <v>0</v>
      </c>
      <c r="P29" s="1222">
        <f t="shared" si="11"/>
        <v>0</v>
      </c>
      <c r="Q29" s="1161"/>
    </row>
    <row r="30" spans="2:17" ht="16.5" customHeight="1">
      <c r="B30" s="1162">
        <v>23</v>
      </c>
      <c r="C30" s="918" t="str">
        <f t="shared" si="1"/>
        <v/>
      </c>
      <c r="D30" s="1163">
        <f t="shared" si="0"/>
        <v>0</v>
      </c>
      <c r="E30" s="1163">
        <f t="shared" si="2"/>
        <v>0</v>
      </c>
      <c r="F30" s="1164">
        <f t="shared" si="3"/>
        <v>0</v>
      </c>
      <c r="G30" s="1168">
        <f t="shared" si="4"/>
        <v>0</v>
      </c>
      <c r="H30" s="1213">
        <f t="shared" si="5"/>
        <v>0</v>
      </c>
      <c r="J30" s="1166">
        <v>23</v>
      </c>
      <c r="K30" s="1205" t="str">
        <f t="shared" si="6"/>
        <v/>
      </c>
      <c r="L30" s="1163">
        <f t="shared" si="7"/>
        <v>0</v>
      </c>
      <c r="M30" s="1163">
        <f t="shared" si="8"/>
        <v>0</v>
      </c>
      <c r="N30" s="1167">
        <f t="shared" si="9"/>
        <v>0</v>
      </c>
      <c r="O30" s="1221">
        <f t="shared" si="10"/>
        <v>0</v>
      </c>
      <c r="P30" s="1222">
        <f t="shared" si="11"/>
        <v>0</v>
      </c>
      <c r="Q30" s="1161"/>
    </row>
    <row r="31" spans="2:17" ht="16.5" customHeight="1" thickBot="1">
      <c r="B31" s="1169">
        <v>24</v>
      </c>
      <c r="C31" s="919" t="str">
        <f t="shared" si="1"/>
        <v/>
      </c>
      <c r="D31" s="1170">
        <f t="shared" si="0"/>
        <v>0</v>
      </c>
      <c r="E31" s="1170">
        <f t="shared" si="2"/>
        <v>0</v>
      </c>
      <c r="F31" s="1171">
        <f t="shared" si="3"/>
        <v>0</v>
      </c>
      <c r="G31" s="1172">
        <f t="shared" si="4"/>
        <v>0</v>
      </c>
      <c r="H31" s="1214">
        <f t="shared" si="5"/>
        <v>0</v>
      </c>
      <c r="J31" s="1173">
        <v>24</v>
      </c>
      <c r="K31" s="1206" t="str">
        <f t="shared" si="6"/>
        <v/>
      </c>
      <c r="L31" s="1170">
        <f t="shared" si="7"/>
        <v>0</v>
      </c>
      <c r="M31" s="1170">
        <f t="shared" si="8"/>
        <v>0</v>
      </c>
      <c r="N31" s="1174">
        <f t="shared" si="9"/>
        <v>0</v>
      </c>
      <c r="O31" s="1223">
        <f t="shared" si="10"/>
        <v>0</v>
      </c>
      <c r="P31" s="1224">
        <f t="shared" si="11"/>
        <v>0</v>
      </c>
      <c r="Q31" s="1161"/>
    </row>
    <row r="32" spans="2:17" ht="16.5" customHeight="1" thickBot="1">
      <c r="B32" s="1175">
        <v>25</v>
      </c>
      <c r="C32" s="1202" t="str">
        <f t="shared" si="1"/>
        <v/>
      </c>
      <c r="D32" s="1176">
        <f t="shared" si="0"/>
        <v>0</v>
      </c>
      <c r="E32" s="1176">
        <f t="shared" si="2"/>
        <v>0</v>
      </c>
      <c r="F32" s="1177">
        <f t="shared" si="3"/>
        <v>0</v>
      </c>
      <c r="G32" s="1187">
        <f t="shared" si="4"/>
        <v>0</v>
      </c>
      <c r="H32" s="1217">
        <f t="shared" si="5"/>
        <v>0</v>
      </c>
      <c r="J32" s="1179">
        <v>25</v>
      </c>
      <c r="K32" s="1208" t="str">
        <f t="shared" si="6"/>
        <v/>
      </c>
      <c r="L32" s="1233">
        <f t="shared" si="7"/>
        <v>0</v>
      </c>
      <c r="M32" s="1233">
        <f t="shared" si="8"/>
        <v>0</v>
      </c>
      <c r="N32" s="1180">
        <f t="shared" si="9"/>
        <v>0</v>
      </c>
      <c r="O32" s="1229">
        <f t="shared" si="10"/>
        <v>0</v>
      </c>
      <c r="P32" s="1230">
        <f t="shared" si="11"/>
        <v>0</v>
      </c>
      <c r="Q32" s="1161"/>
    </row>
    <row r="33" spans="2:17">
      <c r="B33" s="1181">
        <v>26</v>
      </c>
      <c r="C33" s="920" t="str">
        <f t="shared" si="1"/>
        <v/>
      </c>
      <c r="D33" s="1182">
        <f t="shared" si="0"/>
        <v>0</v>
      </c>
      <c r="E33" s="1182">
        <f t="shared" si="2"/>
        <v>0</v>
      </c>
      <c r="F33" s="1183">
        <f t="shared" si="3"/>
        <v>0</v>
      </c>
      <c r="G33" s="1184">
        <f t="shared" si="4"/>
        <v>0</v>
      </c>
      <c r="H33" s="1216">
        <f t="shared" si="5"/>
        <v>0</v>
      </c>
      <c r="J33" s="1185">
        <v>26</v>
      </c>
      <c r="K33" s="1207" t="str">
        <f t="shared" si="6"/>
        <v/>
      </c>
      <c r="L33" s="1182">
        <f t="shared" si="7"/>
        <v>0</v>
      </c>
      <c r="M33" s="1182">
        <f t="shared" si="8"/>
        <v>0</v>
      </c>
      <c r="N33" s="1186">
        <f t="shared" si="9"/>
        <v>0</v>
      </c>
      <c r="O33" s="1227">
        <f t="shared" si="10"/>
        <v>0</v>
      </c>
      <c r="P33" s="1228">
        <f t="shared" si="11"/>
        <v>0</v>
      </c>
      <c r="Q33" s="1161"/>
    </row>
    <row r="34" spans="2:17">
      <c r="B34" s="1162">
        <v>27</v>
      </c>
      <c r="C34" s="918" t="str">
        <f t="shared" si="1"/>
        <v/>
      </c>
      <c r="D34" s="1163">
        <f t="shared" si="0"/>
        <v>0</v>
      </c>
      <c r="E34" s="1163">
        <f t="shared" si="2"/>
        <v>0</v>
      </c>
      <c r="F34" s="1164">
        <f t="shared" si="3"/>
        <v>0</v>
      </c>
      <c r="G34" s="1168">
        <f t="shared" si="4"/>
        <v>0</v>
      </c>
      <c r="H34" s="1213">
        <f t="shared" si="5"/>
        <v>0</v>
      </c>
      <c r="J34" s="1166">
        <v>27</v>
      </c>
      <c r="K34" s="1205" t="str">
        <f t="shared" si="6"/>
        <v/>
      </c>
      <c r="L34" s="1163">
        <f t="shared" si="7"/>
        <v>0</v>
      </c>
      <c r="M34" s="1163">
        <f t="shared" si="8"/>
        <v>0</v>
      </c>
      <c r="N34" s="1167">
        <f t="shared" si="9"/>
        <v>0</v>
      </c>
      <c r="O34" s="1221">
        <f t="shared" si="10"/>
        <v>0</v>
      </c>
      <c r="P34" s="1222">
        <f t="shared" si="11"/>
        <v>0</v>
      </c>
      <c r="Q34" s="1161"/>
    </row>
    <row r="35" spans="2:17">
      <c r="B35" s="1162">
        <v>28</v>
      </c>
      <c r="C35" s="918" t="str">
        <f t="shared" si="1"/>
        <v/>
      </c>
      <c r="D35" s="1163">
        <f t="shared" si="0"/>
        <v>0</v>
      </c>
      <c r="E35" s="1163">
        <f t="shared" si="2"/>
        <v>0</v>
      </c>
      <c r="F35" s="1164">
        <f t="shared" si="3"/>
        <v>0</v>
      </c>
      <c r="G35" s="1168">
        <f t="shared" si="4"/>
        <v>0</v>
      </c>
      <c r="H35" s="1213">
        <f t="shared" si="5"/>
        <v>0</v>
      </c>
      <c r="J35" s="1166">
        <v>28</v>
      </c>
      <c r="K35" s="1205" t="str">
        <f t="shared" si="6"/>
        <v/>
      </c>
      <c r="L35" s="1163">
        <f t="shared" si="7"/>
        <v>0</v>
      </c>
      <c r="M35" s="1163">
        <f t="shared" si="8"/>
        <v>0</v>
      </c>
      <c r="N35" s="1167">
        <f t="shared" si="9"/>
        <v>0</v>
      </c>
      <c r="O35" s="1221">
        <f t="shared" si="10"/>
        <v>0</v>
      </c>
      <c r="P35" s="1222">
        <f t="shared" si="11"/>
        <v>0</v>
      </c>
      <c r="Q35" s="1161"/>
    </row>
    <row r="36" spans="2:17" ht="17.25" thickBot="1">
      <c r="B36" s="1169">
        <v>29</v>
      </c>
      <c r="C36" s="919" t="str">
        <f t="shared" si="1"/>
        <v/>
      </c>
      <c r="D36" s="1170">
        <f t="shared" si="0"/>
        <v>0</v>
      </c>
      <c r="E36" s="1170">
        <f t="shared" si="2"/>
        <v>0</v>
      </c>
      <c r="F36" s="1171">
        <f t="shared" si="3"/>
        <v>0</v>
      </c>
      <c r="G36" s="1172">
        <f t="shared" si="4"/>
        <v>0</v>
      </c>
      <c r="H36" s="1214">
        <f t="shared" si="5"/>
        <v>0</v>
      </c>
      <c r="J36" s="1173">
        <v>29</v>
      </c>
      <c r="K36" s="1206" t="str">
        <f t="shared" si="6"/>
        <v/>
      </c>
      <c r="L36" s="1170">
        <f t="shared" si="7"/>
        <v>0</v>
      </c>
      <c r="M36" s="1170">
        <f t="shared" si="8"/>
        <v>0</v>
      </c>
      <c r="N36" s="1174">
        <f t="shared" si="9"/>
        <v>0</v>
      </c>
      <c r="O36" s="1223">
        <f t="shared" si="10"/>
        <v>0</v>
      </c>
      <c r="P36" s="1224">
        <f t="shared" si="11"/>
        <v>0</v>
      </c>
      <c r="Q36" s="1161"/>
    </row>
    <row r="37" spans="2:17" ht="17.25" thickBot="1">
      <c r="B37" s="1188">
        <v>30</v>
      </c>
      <c r="C37" s="1203" t="str">
        <f t="shared" si="1"/>
        <v/>
      </c>
      <c r="D37" s="1189">
        <f t="shared" si="0"/>
        <v>0</v>
      </c>
      <c r="E37" s="1189">
        <f t="shared" si="2"/>
        <v>0</v>
      </c>
      <c r="F37" s="1190">
        <f t="shared" si="3"/>
        <v>0</v>
      </c>
      <c r="G37" s="1191">
        <f t="shared" si="4"/>
        <v>0</v>
      </c>
      <c r="H37" s="1218">
        <f t="shared" si="5"/>
        <v>0</v>
      </c>
      <c r="J37" s="1179">
        <v>30</v>
      </c>
      <c r="K37" s="1208" t="str">
        <f t="shared" si="6"/>
        <v/>
      </c>
      <c r="L37" s="1233">
        <f t="shared" si="7"/>
        <v>0</v>
      </c>
      <c r="M37" s="1233">
        <f t="shared" si="8"/>
        <v>0</v>
      </c>
      <c r="N37" s="1180">
        <f t="shared" si="9"/>
        <v>0</v>
      </c>
      <c r="O37" s="1229">
        <f t="shared" si="10"/>
        <v>0</v>
      </c>
      <c r="P37" s="1230">
        <f t="shared" si="11"/>
        <v>0</v>
      </c>
      <c r="Q37" s="1161"/>
    </row>
    <row r="38" spans="2:17">
      <c r="B38" s="1181">
        <v>31</v>
      </c>
      <c r="C38" s="920" t="str">
        <f t="shared" si="1"/>
        <v/>
      </c>
      <c r="D38" s="1182">
        <f t="shared" si="0"/>
        <v>0</v>
      </c>
      <c r="E38" s="1182">
        <f t="shared" si="2"/>
        <v>0</v>
      </c>
      <c r="F38" s="1183">
        <f t="shared" si="3"/>
        <v>0</v>
      </c>
      <c r="G38" s="1184">
        <f t="shared" si="4"/>
        <v>0</v>
      </c>
      <c r="H38" s="1216">
        <f t="shared" si="5"/>
        <v>0</v>
      </c>
      <c r="J38" s="1185">
        <v>31</v>
      </c>
      <c r="K38" s="1207" t="str">
        <f t="shared" si="6"/>
        <v/>
      </c>
      <c r="L38" s="1182">
        <f t="shared" si="7"/>
        <v>0</v>
      </c>
      <c r="M38" s="1182">
        <f t="shared" si="8"/>
        <v>0</v>
      </c>
      <c r="N38" s="1186">
        <f t="shared" si="9"/>
        <v>0</v>
      </c>
      <c r="O38" s="1227">
        <f t="shared" si="10"/>
        <v>0</v>
      </c>
      <c r="P38" s="1228">
        <f t="shared" si="11"/>
        <v>0</v>
      </c>
      <c r="Q38" s="1161"/>
    </row>
    <row r="39" spans="2:17">
      <c r="B39" s="1162">
        <v>32</v>
      </c>
      <c r="C39" s="918" t="str">
        <f t="shared" si="1"/>
        <v/>
      </c>
      <c r="D39" s="1163">
        <f t="shared" si="0"/>
        <v>0</v>
      </c>
      <c r="E39" s="1163">
        <f t="shared" si="2"/>
        <v>0</v>
      </c>
      <c r="F39" s="1164">
        <f t="shared" si="3"/>
        <v>0</v>
      </c>
      <c r="G39" s="1168">
        <f t="shared" si="4"/>
        <v>0</v>
      </c>
      <c r="H39" s="1213">
        <f t="shared" si="5"/>
        <v>0</v>
      </c>
      <c r="J39" s="1166">
        <v>32</v>
      </c>
      <c r="K39" s="1205" t="str">
        <f t="shared" si="6"/>
        <v/>
      </c>
      <c r="L39" s="1163">
        <f t="shared" si="7"/>
        <v>0</v>
      </c>
      <c r="M39" s="1163">
        <f t="shared" si="8"/>
        <v>0</v>
      </c>
      <c r="N39" s="1167">
        <f t="shared" si="9"/>
        <v>0</v>
      </c>
      <c r="O39" s="1221">
        <f t="shared" si="10"/>
        <v>0</v>
      </c>
      <c r="P39" s="1222">
        <f t="shared" si="11"/>
        <v>0</v>
      </c>
      <c r="Q39" s="1161"/>
    </row>
    <row r="40" spans="2:17">
      <c r="B40" s="1162">
        <v>33</v>
      </c>
      <c r="C40" s="918" t="str">
        <f t="shared" si="1"/>
        <v/>
      </c>
      <c r="D40" s="1163">
        <f t="shared" si="0"/>
        <v>0</v>
      </c>
      <c r="E40" s="1163">
        <f t="shared" si="2"/>
        <v>0</v>
      </c>
      <c r="F40" s="1164">
        <f t="shared" si="3"/>
        <v>0</v>
      </c>
      <c r="G40" s="1168">
        <f t="shared" si="4"/>
        <v>0</v>
      </c>
      <c r="H40" s="1213">
        <f t="shared" si="5"/>
        <v>0</v>
      </c>
      <c r="J40" s="1166">
        <v>33</v>
      </c>
      <c r="K40" s="1205" t="str">
        <f t="shared" si="6"/>
        <v/>
      </c>
      <c r="L40" s="1163">
        <f t="shared" si="7"/>
        <v>0</v>
      </c>
      <c r="M40" s="1163">
        <f t="shared" si="8"/>
        <v>0</v>
      </c>
      <c r="N40" s="1167">
        <f t="shared" si="9"/>
        <v>0</v>
      </c>
      <c r="O40" s="1221">
        <f t="shared" si="10"/>
        <v>0</v>
      </c>
      <c r="P40" s="1222">
        <f t="shared" si="11"/>
        <v>0</v>
      </c>
      <c r="Q40" s="1161"/>
    </row>
    <row r="41" spans="2:17" ht="17.25" thickBot="1">
      <c r="B41" s="1169">
        <v>34</v>
      </c>
      <c r="C41" s="919" t="str">
        <f t="shared" si="1"/>
        <v/>
      </c>
      <c r="D41" s="1170">
        <f t="shared" si="0"/>
        <v>0</v>
      </c>
      <c r="E41" s="1170">
        <f t="shared" si="2"/>
        <v>0</v>
      </c>
      <c r="F41" s="1171">
        <f t="shared" si="3"/>
        <v>0</v>
      </c>
      <c r="G41" s="1172">
        <f t="shared" si="4"/>
        <v>0</v>
      </c>
      <c r="H41" s="1214">
        <f t="shared" si="5"/>
        <v>0</v>
      </c>
      <c r="J41" s="1173">
        <v>34</v>
      </c>
      <c r="K41" s="1206" t="str">
        <f t="shared" si="6"/>
        <v/>
      </c>
      <c r="L41" s="1170">
        <f t="shared" si="7"/>
        <v>0</v>
      </c>
      <c r="M41" s="1170">
        <f t="shared" si="8"/>
        <v>0</v>
      </c>
      <c r="N41" s="1174">
        <f t="shared" si="9"/>
        <v>0</v>
      </c>
      <c r="O41" s="1223">
        <f t="shared" si="10"/>
        <v>0</v>
      </c>
      <c r="P41" s="1224">
        <f t="shared" si="11"/>
        <v>0</v>
      </c>
      <c r="Q41" s="1161"/>
    </row>
    <row r="42" spans="2:17" ht="17.25" thickBot="1">
      <c r="B42" s="1192">
        <v>35</v>
      </c>
      <c r="C42" s="1202" t="str">
        <f t="shared" si="1"/>
        <v/>
      </c>
      <c r="D42" s="1193">
        <f t="shared" si="0"/>
        <v>0</v>
      </c>
      <c r="E42" s="1193">
        <f t="shared" si="2"/>
        <v>0</v>
      </c>
      <c r="F42" s="1194">
        <f t="shared" si="3"/>
        <v>0</v>
      </c>
      <c r="G42" s="1195">
        <f t="shared" si="4"/>
        <v>0</v>
      </c>
      <c r="H42" s="1217">
        <f t="shared" si="5"/>
        <v>0</v>
      </c>
      <c r="J42" s="1179">
        <v>35</v>
      </c>
      <c r="K42" s="1208" t="str">
        <f t="shared" si="6"/>
        <v/>
      </c>
      <c r="L42" s="1233">
        <f t="shared" si="7"/>
        <v>0</v>
      </c>
      <c r="M42" s="1233">
        <f t="shared" si="8"/>
        <v>0</v>
      </c>
      <c r="N42" s="1180">
        <f t="shared" si="9"/>
        <v>0</v>
      </c>
      <c r="O42" s="1229">
        <f t="shared" si="10"/>
        <v>0</v>
      </c>
      <c r="P42" s="1230">
        <f t="shared" si="11"/>
        <v>0</v>
      </c>
      <c r="Q42" s="1161"/>
    </row>
    <row r="43" spans="2:17">
      <c r="B43" s="1181">
        <v>36</v>
      </c>
      <c r="C43" s="920" t="str">
        <f t="shared" si="1"/>
        <v/>
      </c>
      <c r="D43" s="1182">
        <f t="shared" si="0"/>
        <v>0</v>
      </c>
      <c r="E43" s="1182">
        <f t="shared" si="2"/>
        <v>0</v>
      </c>
      <c r="F43" s="1183">
        <f t="shared" si="3"/>
        <v>0</v>
      </c>
      <c r="G43" s="1184">
        <f t="shared" si="4"/>
        <v>0</v>
      </c>
      <c r="H43" s="1216">
        <f t="shared" si="5"/>
        <v>0</v>
      </c>
      <c r="J43" s="1185">
        <v>36</v>
      </c>
      <c r="K43" s="1207" t="str">
        <f t="shared" si="6"/>
        <v/>
      </c>
      <c r="L43" s="1182">
        <f t="shared" si="7"/>
        <v>0</v>
      </c>
      <c r="M43" s="1182">
        <f t="shared" si="8"/>
        <v>0</v>
      </c>
      <c r="N43" s="1186">
        <f t="shared" si="9"/>
        <v>0</v>
      </c>
      <c r="O43" s="1227">
        <f t="shared" si="10"/>
        <v>0</v>
      </c>
      <c r="P43" s="1228">
        <f t="shared" si="11"/>
        <v>0</v>
      </c>
      <c r="Q43" s="1161"/>
    </row>
    <row r="44" spans="2:17">
      <c r="B44" s="1162">
        <v>37</v>
      </c>
      <c r="C44" s="918" t="str">
        <f t="shared" si="1"/>
        <v/>
      </c>
      <c r="D44" s="1163">
        <f t="shared" si="0"/>
        <v>0</v>
      </c>
      <c r="E44" s="1163">
        <f t="shared" si="2"/>
        <v>0</v>
      </c>
      <c r="F44" s="1164">
        <f t="shared" si="3"/>
        <v>0</v>
      </c>
      <c r="G44" s="1168">
        <f t="shared" si="4"/>
        <v>0</v>
      </c>
      <c r="H44" s="1213">
        <f t="shared" si="5"/>
        <v>0</v>
      </c>
      <c r="J44" s="1166">
        <v>37</v>
      </c>
      <c r="K44" s="1205" t="str">
        <f t="shared" si="6"/>
        <v/>
      </c>
      <c r="L44" s="1163">
        <f t="shared" si="7"/>
        <v>0</v>
      </c>
      <c r="M44" s="1163">
        <f t="shared" si="8"/>
        <v>0</v>
      </c>
      <c r="N44" s="1167">
        <f t="shared" si="9"/>
        <v>0</v>
      </c>
      <c r="O44" s="1221">
        <f t="shared" si="10"/>
        <v>0</v>
      </c>
      <c r="P44" s="1222">
        <f t="shared" si="11"/>
        <v>0</v>
      </c>
      <c r="Q44" s="1161"/>
    </row>
    <row r="45" spans="2:17">
      <c r="B45" s="1162">
        <v>38</v>
      </c>
      <c r="C45" s="918" t="str">
        <f t="shared" si="1"/>
        <v/>
      </c>
      <c r="D45" s="1163">
        <f t="shared" si="0"/>
        <v>0</v>
      </c>
      <c r="E45" s="1163">
        <f t="shared" si="2"/>
        <v>0</v>
      </c>
      <c r="F45" s="1164">
        <f t="shared" si="3"/>
        <v>0</v>
      </c>
      <c r="G45" s="1168">
        <f t="shared" si="4"/>
        <v>0</v>
      </c>
      <c r="H45" s="1213">
        <f t="shared" si="5"/>
        <v>0</v>
      </c>
      <c r="J45" s="1166">
        <v>38</v>
      </c>
      <c r="K45" s="1205" t="str">
        <f t="shared" si="6"/>
        <v/>
      </c>
      <c r="L45" s="1163">
        <f t="shared" si="7"/>
        <v>0</v>
      </c>
      <c r="M45" s="1163">
        <f t="shared" si="8"/>
        <v>0</v>
      </c>
      <c r="N45" s="1167">
        <f t="shared" si="9"/>
        <v>0</v>
      </c>
      <c r="O45" s="1221">
        <f t="shared" si="10"/>
        <v>0</v>
      </c>
      <c r="P45" s="1222">
        <f t="shared" si="11"/>
        <v>0</v>
      </c>
      <c r="Q45" s="1161"/>
    </row>
    <row r="46" spans="2:17" ht="17.25" thickBot="1">
      <c r="B46" s="1169">
        <v>39</v>
      </c>
      <c r="C46" s="919" t="str">
        <f t="shared" si="1"/>
        <v/>
      </c>
      <c r="D46" s="1170">
        <f t="shared" si="0"/>
        <v>0</v>
      </c>
      <c r="E46" s="1170">
        <f t="shared" si="2"/>
        <v>0</v>
      </c>
      <c r="F46" s="1171">
        <f t="shared" si="3"/>
        <v>0</v>
      </c>
      <c r="G46" s="1172">
        <f t="shared" si="4"/>
        <v>0</v>
      </c>
      <c r="H46" s="1214">
        <f t="shared" si="5"/>
        <v>0</v>
      </c>
      <c r="J46" s="1173">
        <v>39</v>
      </c>
      <c r="K46" s="1206" t="str">
        <f t="shared" si="6"/>
        <v/>
      </c>
      <c r="L46" s="1170">
        <f t="shared" si="7"/>
        <v>0</v>
      </c>
      <c r="M46" s="1170">
        <f t="shared" si="8"/>
        <v>0</v>
      </c>
      <c r="N46" s="1174">
        <f t="shared" si="9"/>
        <v>0</v>
      </c>
      <c r="O46" s="1223">
        <f t="shared" si="10"/>
        <v>0</v>
      </c>
      <c r="P46" s="1224">
        <f t="shared" si="11"/>
        <v>0</v>
      </c>
      <c r="Q46" s="1161"/>
    </row>
    <row r="47" spans="2:17" ht="17.25" thickBot="1">
      <c r="B47" s="1188">
        <v>40</v>
      </c>
      <c r="C47" s="1203" t="str">
        <f t="shared" si="1"/>
        <v/>
      </c>
      <c r="D47" s="1189">
        <f t="shared" si="0"/>
        <v>0</v>
      </c>
      <c r="E47" s="1189">
        <f t="shared" si="2"/>
        <v>0</v>
      </c>
      <c r="F47" s="1190">
        <f t="shared" si="3"/>
        <v>0</v>
      </c>
      <c r="G47" s="1191">
        <f t="shared" si="4"/>
        <v>0</v>
      </c>
      <c r="H47" s="1218">
        <f t="shared" si="5"/>
        <v>0</v>
      </c>
      <c r="J47" s="1179">
        <v>40</v>
      </c>
      <c r="K47" s="1208" t="str">
        <f t="shared" si="6"/>
        <v/>
      </c>
      <c r="L47" s="1233">
        <f t="shared" si="7"/>
        <v>0</v>
      </c>
      <c r="M47" s="1233">
        <f t="shared" si="8"/>
        <v>0</v>
      </c>
      <c r="N47" s="1180">
        <f t="shared" si="9"/>
        <v>0</v>
      </c>
      <c r="O47" s="1229">
        <f t="shared" si="10"/>
        <v>0</v>
      </c>
      <c r="P47" s="1230">
        <f t="shared" si="11"/>
        <v>0</v>
      </c>
      <c r="Q47" s="1161"/>
    </row>
    <row r="48" spans="2:17">
      <c r="B48" s="1181">
        <v>41</v>
      </c>
      <c r="C48" s="920" t="str">
        <f t="shared" si="1"/>
        <v/>
      </c>
      <c r="D48" s="1182">
        <f t="shared" si="0"/>
        <v>0</v>
      </c>
      <c r="E48" s="1182">
        <f t="shared" si="2"/>
        <v>0</v>
      </c>
      <c r="F48" s="1183">
        <f t="shared" si="3"/>
        <v>0</v>
      </c>
      <c r="G48" s="1184">
        <f t="shared" si="4"/>
        <v>0</v>
      </c>
      <c r="H48" s="1216">
        <f t="shared" si="5"/>
        <v>0</v>
      </c>
      <c r="J48" s="1185">
        <v>41</v>
      </c>
      <c r="K48" s="1207" t="str">
        <f t="shared" si="6"/>
        <v/>
      </c>
      <c r="L48" s="1182">
        <f t="shared" si="7"/>
        <v>0</v>
      </c>
      <c r="M48" s="1182">
        <f t="shared" si="8"/>
        <v>0</v>
      </c>
      <c r="N48" s="1186">
        <f t="shared" si="9"/>
        <v>0</v>
      </c>
      <c r="O48" s="1227">
        <f t="shared" si="10"/>
        <v>0</v>
      </c>
      <c r="P48" s="1228">
        <f t="shared" si="11"/>
        <v>0</v>
      </c>
      <c r="Q48" s="1161"/>
    </row>
    <row r="49" spans="2:17">
      <c r="B49" s="1162">
        <v>42</v>
      </c>
      <c r="C49" s="918" t="str">
        <f t="shared" si="1"/>
        <v/>
      </c>
      <c r="D49" s="1163">
        <f t="shared" si="0"/>
        <v>0</v>
      </c>
      <c r="E49" s="1163">
        <f t="shared" si="2"/>
        <v>0</v>
      </c>
      <c r="F49" s="1164">
        <f t="shared" si="3"/>
        <v>0</v>
      </c>
      <c r="G49" s="1168">
        <f t="shared" si="4"/>
        <v>0</v>
      </c>
      <c r="H49" s="1213">
        <f t="shared" si="5"/>
        <v>0</v>
      </c>
      <c r="J49" s="1166">
        <v>42</v>
      </c>
      <c r="K49" s="1205" t="str">
        <f t="shared" si="6"/>
        <v/>
      </c>
      <c r="L49" s="1163">
        <f t="shared" si="7"/>
        <v>0</v>
      </c>
      <c r="M49" s="1163">
        <f t="shared" si="8"/>
        <v>0</v>
      </c>
      <c r="N49" s="1167">
        <f t="shared" si="9"/>
        <v>0</v>
      </c>
      <c r="O49" s="1221">
        <f t="shared" si="10"/>
        <v>0</v>
      </c>
      <c r="P49" s="1222">
        <f t="shared" si="11"/>
        <v>0</v>
      </c>
      <c r="Q49" s="1161"/>
    </row>
    <row r="50" spans="2:17">
      <c r="B50" s="1162">
        <v>43</v>
      </c>
      <c r="C50" s="918" t="str">
        <f t="shared" si="1"/>
        <v/>
      </c>
      <c r="D50" s="1163">
        <f t="shared" si="0"/>
        <v>0</v>
      </c>
      <c r="E50" s="1163">
        <f t="shared" si="2"/>
        <v>0</v>
      </c>
      <c r="F50" s="1164">
        <f t="shared" si="3"/>
        <v>0</v>
      </c>
      <c r="G50" s="1168">
        <f t="shared" si="4"/>
        <v>0</v>
      </c>
      <c r="H50" s="1213">
        <f t="shared" si="5"/>
        <v>0</v>
      </c>
      <c r="J50" s="1166">
        <v>43</v>
      </c>
      <c r="K50" s="1205" t="str">
        <f t="shared" si="6"/>
        <v/>
      </c>
      <c r="L50" s="1163">
        <f t="shared" si="7"/>
        <v>0</v>
      </c>
      <c r="M50" s="1163">
        <f t="shared" si="8"/>
        <v>0</v>
      </c>
      <c r="N50" s="1167">
        <f t="shared" si="9"/>
        <v>0</v>
      </c>
      <c r="O50" s="1221">
        <f t="shared" si="10"/>
        <v>0</v>
      </c>
      <c r="P50" s="1222">
        <f t="shared" si="11"/>
        <v>0</v>
      </c>
      <c r="Q50" s="1161"/>
    </row>
    <row r="51" spans="2:17" ht="17.25" thickBot="1">
      <c r="B51" s="1169">
        <v>44</v>
      </c>
      <c r="C51" s="919" t="str">
        <f t="shared" si="1"/>
        <v/>
      </c>
      <c r="D51" s="1170">
        <f t="shared" si="0"/>
        <v>0</v>
      </c>
      <c r="E51" s="1170">
        <f t="shared" si="2"/>
        <v>0</v>
      </c>
      <c r="F51" s="1171">
        <f t="shared" si="3"/>
        <v>0</v>
      </c>
      <c r="G51" s="1172">
        <f t="shared" si="4"/>
        <v>0</v>
      </c>
      <c r="H51" s="1214">
        <f t="shared" si="5"/>
        <v>0</v>
      </c>
      <c r="J51" s="1173">
        <v>44</v>
      </c>
      <c r="K51" s="1206" t="str">
        <f t="shared" si="6"/>
        <v/>
      </c>
      <c r="L51" s="1170">
        <f t="shared" si="7"/>
        <v>0</v>
      </c>
      <c r="M51" s="1170">
        <f t="shared" si="8"/>
        <v>0</v>
      </c>
      <c r="N51" s="1174">
        <f t="shared" si="9"/>
        <v>0</v>
      </c>
      <c r="O51" s="1223">
        <f t="shared" si="10"/>
        <v>0</v>
      </c>
      <c r="P51" s="1224">
        <f t="shared" si="11"/>
        <v>0</v>
      </c>
      <c r="Q51" s="1161"/>
    </row>
    <row r="52" spans="2:17" ht="17.25" thickBot="1">
      <c r="B52" s="1192">
        <v>45</v>
      </c>
      <c r="C52" s="1202" t="str">
        <f t="shared" si="1"/>
        <v/>
      </c>
      <c r="D52" s="1193">
        <f t="shared" si="0"/>
        <v>0</v>
      </c>
      <c r="E52" s="1193">
        <f t="shared" si="2"/>
        <v>0</v>
      </c>
      <c r="F52" s="1194">
        <f t="shared" si="3"/>
        <v>0</v>
      </c>
      <c r="G52" s="1195">
        <f t="shared" si="4"/>
        <v>0</v>
      </c>
      <c r="H52" s="1217">
        <f t="shared" si="5"/>
        <v>0</v>
      </c>
      <c r="J52" s="1179">
        <v>45</v>
      </c>
      <c r="K52" s="1208" t="str">
        <f t="shared" si="6"/>
        <v/>
      </c>
      <c r="L52" s="1233">
        <f t="shared" si="7"/>
        <v>0</v>
      </c>
      <c r="M52" s="1233">
        <f t="shared" si="8"/>
        <v>0</v>
      </c>
      <c r="N52" s="1180">
        <f t="shared" si="9"/>
        <v>0</v>
      </c>
      <c r="O52" s="1229">
        <f t="shared" si="10"/>
        <v>0</v>
      </c>
      <c r="P52" s="1230">
        <f t="shared" si="11"/>
        <v>0</v>
      </c>
      <c r="Q52" s="1161"/>
    </row>
    <row r="53" spans="2:17">
      <c r="B53" s="1181">
        <v>46</v>
      </c>
      <c r="C53" s="920" t="str">
        <f t="shared" si="1"/>
        <v/>
      </c>
      <c r="D53" s="1182">
        <f t="shared" si="0"/>
        <v>0</v>
      </c>
      <c r="E53" s="1182">
        <f t="shared" si="2"/>
        <v>0</v>
      </c>
      <c r="F53" s="1183">
        <f t="shared" si="3"/>
        <v>0</v>
      </c>
      <c r="G53" s="1184">
        <f t="shared" si="4"/>
        <v>0</v>
      </c>
      <c r="H53" s="1216">
        <f t="shared" si="5"/>
        <v>0</v>
      </c>
      <c r="J53" s="1185">
        <v>46</v>
      </c>
      <c r="K53" s="1207" t="str">
        <f t="shared" si="6"/>
        <v/>
      </c>
      <c r="L53" s="1182">
        <f t="shared" si="7"/>
        <v>0</v>
      </c>
      <c r="M53" s="1182">
        <f t="shared" si="8"/>
        <v>0</v>
      </c>
      <c r="N53" s="1186">
        <f t="shared" si="9"/>
        <v>0</v>
      </c>
      <c r="O53" s="1227">
        <f t="shared" si="10"/>
        <v>0</v>
      </c>
      <c r="P53" s="1228">
        <f t="shared" si="11"/>
        <v>0</v>
      </c>
      <c r="Q53" s="1161"/>
    </row>
    <row r="54" spans="2:17">
      <c r="B54" s="1162">
        <v>47</v>
      </c>
      <c r="C54" s="918" t="str">
        <f t="shared" si="1"/>
        <v/>
      </c>
      <c r="D54" s="1163">
        <f t="shared" si="0"/>
        <v>0</v>
      </c>
      <c r="E54" s="1163">
        <f t="shared" si="2"/>
        <v>0</v>
      </c>
      <c r="F54" s="1164">
        <f t="shared" si="3"/>
        <v>0</v>
      </c>
      <c r="G54" s="1168">
        <f t="shared" si="4"/>
        <v>0</v>
      </c>
      <c r="H54" s="1213">
        <f t="shared" si="5"/>
        <v>0</v>
      </c>
      <c r="J54" s="1166">
        <v>47</v>
      </c>
      <c r="K54" s="1205" t="str">
        <f t="shared" si="6"/>
        <v/>
      </c>
      <c r="L54" s="1163">
        <f t="shared" si="7"/>
        <v>0</v>
      </c>
      <c r="M54" s="1163">
        <f t="shared" si="8"/>
        <v>0</v>
      </c>
      <c r="N54" s="1167">
        <f t="shared" si="9"/>
        <v>0</v>
      </c>
      <c r="O54" s="1221">
        <f t="shared" si="10"/>
        <v>0</v>
      </c>
      <c r="P54" s="1222">
        <f t="shared" si="11"/>
        <v>0</v>
      </c>
      <c r="Q54" s="1161"/>
    </row>
    <row r="55" spans="2:17">
      <c r="B55" s="1162">
        <v>48</v>
      </c>
      <c r="C55" s="918" t="str">
        <f t="shared" si="1"/>
        <v/>
      </c>
      <c r="D55" s="1163">
        <f t="shared" si="0"/>
        <v>0</v>
      </c>
      <c r="E55" s="1163">
        <f t="shared" si="2"/>
        <v>0</v>
      </c>
      <c r="F55" s="1164">
        <f t="shared" si="3"/>
        <v>0</v>
      </c>
      <c r="G55" s="1168">
        <f t="shared" si="4"/>
        <v>0</v>
      </c>
      <c r="H55" s="1213">
        <f t="shared" si="5"/>
        <v>0</v>
      </c>
      <c r="J55" s="1166">
        <v>48</v>
      </c>
      <c r="K55" s="1205" t="str">
        <f t="shared" si="6"/>
        <v/>
      </c>
      <c r="L55" s="1163">
        <f t="shared" si="7"/>
        <v>0</v>
      </c>
      <c r="M55" s="1163">
        <f t="shared" si="8"/>
        <v>0</v>
      </c>
      <c r="N55" s="1167">
        <f t="shared" si="9"/>
        <v>0</v>
      </c>
      <c r="O55" s="1221">
        <f t="shared" si="10"/>
        <v>0</v>
      </c>
      <c r="P55" s="1222">
        <f t="shared" si="11"/>
        <v>0</v>
      </c>
      <c r="Q55" s="1161"/>
    </row>
    <row r="56" spans="2:17" ht="17.25" thickBot="1">
      <c r="B56" s="1169">
        <v>49</v>
      </c>
      <c r="C56" s="919" t="str">
        <f t="shared" si="1"/>
        <v/>
      </c>
      <c r="D56" s="1170">
        <f t="shared" si="0"/>
        <v>0</v>
      </c>
      <c r="E56" s="1170">
        <f t="shared" si="2"/>
        <v>0</v>
      </c>
      <c r="F56" s="1171">
        <f t="shared" si="3"/>
        <v>0</v>
      </c>
      <c r="G56" s="1172">
        <f t="shared" si="4"/>
        <v>0</v>
      </c>
      <c r="H56" s="1214">
        <f t="shared" si="5"/>
        <v>0</v>
      </c>
      <c r="J56" s="1173">
        <v>49</v>
      </c>
      <c r="K56" s="1206" t="str">
        <f t="shared" si="6"/>
        <v/>
      </c>
      <c r="L56" s="1170">
        <f t="shared" si="7"/>
        <v>0</v>
      </c>
      <c r="M56" s="1170">
        <f t="shared" si="8"/>
        <v>0</v>
      </c>
      <c r="N56" s="1174">
        <f t="shared" si="9"/>
        <v>0</v>
      </c>
      <c r="O56" s="1223">
        <f t="shared" si="10"/>
        <v>0</v>
      </c>
      <c r="P56" s="1224">
        <f t="shared" si="11"/>
        <v>0</v>
      </c>
      <c r="Q56" s="1161"/>
    </row>
    <row r="57" spans="2:17" ht="17.25" thickBot="1">
      <c r="B57" s="1196">
        <v>50</v>
      </c>
      <c r="C57" s="1204" t="str">
        <f t="shared" si="1"/>
        <v/>
      </c>
      <c r="D57" s="1197">
        <f t="shared" si="0"/>
        <v>0</v>
      </c>
      <c r="E57" s="1197">
        <f t="shared" si="2"/>
        <v>0</v>
      </c>
      <c r="F57" s="1198">
        <f t="shared" si="3"/>
        <v>0</v>
      </c>
      <c r="G57" s="1199">
        <f t="shared" si="4"/>
        <v>0</v>
      </c>
      <c r="H57" s="1219">
        <f t="shared" si="5"/>
        <v>0</v>
      </c>
      <c r="J57" s="1200">
        <v>50</v>
      </c>
      <c r="K57" s="1209" t="str">
        <f t="shared" si="6"/>
        <v/>
      </c>
      <c r="L57" s="1234">
        <f t="shared" si="7"/>
        <v>0</v>
      </c>
      <c r="M57" s="1234">
        <f t="shared" si="8"/>
        <v>0</v>
      </c>
      <c r="N57" s="1201">
        <f t="shared" si="9"/>
        <v>0</v>
      </c>
      <c r="O57" s="1231">
        <f t="shared" si="10"/>
        <v>0</v>
      </c>
      <c r="P57" s="1232">
        <f t="shared" si="11"/>
        <v>0</v>
      </c>
      <c r="Q57" s="1161"/>
    </row>
    <row r="58" spans="2:17" ht="17.25" thickTop="1">
      <c r="H58" s="1220"/>
    </row>
  </sheetData>
  <sheetProtection algorithmName="SHA-512" hashValue="sQEFACxG5nx//u87LpCAaVUwv41kkz3vsT01aS1crx8ECBSN2pUVWb5Fvea9k8KWf+bLiROVW59704rTPXMrVw==" saltValue="nntNs/HCdQ1d2lZK5Jxfog==" spinCount="100000" sheet="1" objects="1" scenarios="1" formatColumns="0" formatRows="0" insertColumns="0"/>
  <mergeCells count="17">
    <mergeCell ref="B1:C1"/>
    <mergeCell ref="D1:G1"/>
    <mergeCell ref="J1:L1"/>
    <mergeCell ref="M1:R1"/>
    <mergeCell ref="B3:C3"/>
    <mergeCell ref="H3:I3"/>
    <mergeCell ref="J3:K3"/>
    <mergeCell ref="P3:Q3"/>
    <mergeCell ref="R6:V6"/>
    <mergeCell ref="H4:I4"/>
    <mergeCell ref="P4:Q4"/>
    <mergeCell ref="R4:V4"/>
    <mergeCell ref="B5:C5"/>
    <mergeCell ref="H5:I5"/>
    <mergeCell ref="J5:K5"/>
    <mergeCell ref="P5:Q5"/>
    <mergeCell ref="R5:V5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249"/>
  <sheetViews>
    <sheetView showGridLines="0" workbookViewId="0">
      <pane xSplit="2" ySplit="7" topLeftCell="C8" activePane="bottomRight" state="frozen"/>
      <selection activeCell="O21" sqref="O21"/>
      <selection pane="topRight" activeCell="O21" sqref="O21"/>
      <selection pane="bottomLeft" activeCell="O21" sqref="O21"/>
      <selection pane="bottomRight" activeCell="O21" sqref="O21"/>
    </sheetView>
  </sheetViews>
  <sheetFormatPr defaultColWidth="9" defaultRowHeight="16.5"/>
  <cols>
    <col min="1" max="1" width="1.875" style="921" customWidth="1"/>
    <col min="2" max="2" width="11" style="921" bestFit="1" customWidth="1"/>
    <col min="3" max="3" width="8.25" style="921" customWidth="1"/>
    <col min="4" max="5" width="15.5" style="921" customWidth="1"/>
    <col min="6" max="6" width="18" style="921" customWidth="1"/>
    <col min="7" max="7" width="15.5" style="921" customWidth="1"/>
    <col min="8" max="8" width="16.875" style="921" customWidth="1"/>
    <col min="9" max="9" width="18.25" style="921" customWidth="1"/>
    <col min="10" max="10" width="2.75" style="921" customWidth="1"/>
    <col min="11" max="16384" width="9" style="921"/>
  </cols>
  <sheetData>
    <row r="1" spans="2:10" ht="42" customHeight="1" thickBot="1">
      <c r="C1" s="1675" t="s">
        <v>572</v>
      </c>
      <c r="D1" s="1675"/>
      <c r="E1" s="1675"/>
      <c r="F1" s="1676" t="s">
        <v>573</v>
      </c>
      <c r="G1" s="1677"/>
      <c r="H1" s="1677"/>
      <c r="I1" s="1677"/>
    </row>
    <row r="2" spans="2:10" ht="18" thickBot="1">
      <c r="D2" s="1678" t="s">
        <v>574</v>
      </c>
      <c r="E2" s="1679"/>
      <c r="F2" s="922" t="s">
        <v>575</v>
      </c>
      <c r="G2" s="923"/>
      <c r="H2" s="1680" t="s">
        <v>576</v>
      </c>
      <c r="I2" s="1681"/>
    </row>
    <row r="3" spans="2:10" ht="17.25" customHeight="1" thickBot="1">
      <c r="D3" s="924" t="s">
        <v>577</v>
      </c>
      <c r="E3" s="925"/>
      <c r="F3" s="926" t="s">
        <v>578</v>
      </c>
      <c r="G3" s="927">
        <v>1.2E-2</v>
      </c>
      <c r="H3" s="928" t="s">
        <v>579</v>
      </c>
      <c r="I3" s="929" t="str">
        <f>IF($E$3="","",PMT($E$4/12,$E$5,-$E$3)*$E$5-$E$3)</f>
        <v/>
      </c>
    </row>
    <row r="4" spans="2:10" ht="17.25" customHeight="1" thickBot="1">
      <c r="D4" s="930" t="s">
        <v>580</v>
      </c>
      <c r="E4" s="931">
        <v>3.5000000000000003E-2</v>
      </c>
      <c r="F4" s="932" t="s">
        <v>581</v>
      </c>
      <c r="G4" s="933">
        <v>36</v>
      </c>
      <c r="H4" s="934" t="s">
        <v>582</v>
      </c>
      <c r="I4" s="935" t="str">
        <f>IF($E$3="", "",MAX(0,I3-SUM(G9:G248)-SUM(I9:I248)))</f>
        <v/>
      </c>
    </row>
    <row r="5" spans="2:10" ht="17.25" thickBot="1">
      <c r="D5" s="936" t="s">
        <v>583</v>
      </c>
      <c r="E5" s="937"/>
      <c r="F5" s="938" t="s">
        <v>584</v>
      </c>
      <c r="G5" s="939">
        <f>F249</f>
        <v>0</v>
      </c>
      <c r="H5" s="940" t="s">
        <v>585</v>
      </c>
      <c r="I5" s="941">
        <f>D249+F249+I249</f>
        <v>0</v>
      </c>
    </row>
    <row r="6" spans="2:10" ht="17.25" thickBot="1">
      <c r="C6" s="942"/>
      <c r="D6" s="1682" t="s">
        <v>586</v>
      </c>
      <c r="E6" s="1682"/>
      <c r="F6" s="1682"/>
      <c r="G6" s="1682"/>
      <c r="H6" s="1682"/>
      <c r="I6" s="1682"/>
    </row>
    <row r="7" spans="2:10" ht="36.75" customHeight="1" thickBot="1">
      <c r="B7" s="943" t="s">
        <v>587</v>
      </c>
      <c r="C7" s="944" t="s">
        <v>588</v>
      </c>
      <c r="D7" s="945" t="s">
        <v>589</v>
      </c>
      <c r="E7" s="945" t="s">
        <v>590</v>
      </c>
      <c r="F7" s="945" t="s">
        <v>591</v>
      </c>
      <c r="G7" s="945" t="s">
        <v>592</v>
      </c>
      <c r="H7" s="945" t="s">
        <v>593</v>
      </c>
      <c r="I7" s="946" t="s">
        <v>594</v>
      </c>
    </row>
    <row r="8" spans="2:10" ht="18" customHeight="1">
      <c r="B8" s="1683" t="s">
        <v>595</v>
      </c>
      <c r="C8" s="1684"/>
      <c r="D8" s="1684"/>
      <c r="E8" s="1684"/>
      <c r="F8" s="1684"/>
      <c r="G8" s="1685"/>
      <c r="H8" s="947">
        <f>E3</f>
        <v>0</v>
      </c>
      <c r="I8" s="948"/>
    </row>
    <row r="9" spans="2:10">
      <c r="B9" s="949" t="str">
        <f>IF($G$2="", "", EDATE(G2, 1))</f>
        <v/>
      </c>
      <c r="C9" s="950">
        <v>1</v>
      </c>
      <c r="D9" s="951" t="str">
        <f>IF(C9&gt;$E$5, "", ROUND(PMT($E$4/12, $E$5-C9+1, -H8), 0))</f>
        <v/>
      </c>
      <c r="E9" s="951" t="str">
        <f>IF(C9&gt;$E$5, "", D9 - G9)</f>
        <v/>
      </c>
      <c r="F9" s="952"/>
      <c r="G9" s="951" t="str">
        <f>IF(C9&gt;$E$5, "", H8 * ($E$4/12))</f>
        <v/>
      </c>
      <c r="H9" s="951" t="str">
        <f>IF(C9&gt;$E$5, "", MAX(0, H8 - E9 - F9))</f>
        <v/>
      </c>
      <c r="I9" s="953" t="str">
        <f>IF(AND(F9&gt;0, C9&lt;=$G$4), F9 * $G$3," ")</f>
        <v xml:space="preserve"> </v>
      </c>
    </row>
    <row r="10" spans="2:10">
      <c r="B10" s="949" t="str">
        <f>IF($G$2="", "", EDATE(B9, 1))</f>
        <v/>
      </c>
      <c r="C10" s="950">
        <v>2</v>
      </c>
      <c r="D10" s="951" t="str">
        <f t="shared" ref="D10:D73" si="0">IF(C10&gt;$E$5, "", ROUND(PMT($E$4/12, $E$5-C10+1, -H9), 0))</f>
        <v/>
      </c>
      <c r="E10" s="951" t="str">
        <f t="shared" ref="E10:E73" si="1">IF(C10&gt;$E$5, "", D10 - G10)</f>
        <v/>
      </c>
      <c r="F10" s="952"/>
      <c r="G10" s="951" t="str">
        <f t="shared" ref="G10:G73" si="2">IF(C10&gt;$E$5, "", H9 * ($E$4/12))</f>
        <v/>
      </c>
      <c r="H10" s="951" t="str">
        <f t="shared" ref="H10:H73" si="3">IF(C10&gt;$E$5, "", MAX(0, H9 - E10 - F10))</f>
        <v/>
      </c>
      <c r="I10" s="953" t="str">
        <f t="shared" ref="I10:I73" si="4">IF(AND(F10&gt;0, C10&lt;=$G$4), F10 * $G$3," ")</f>
        <v xml:space="preserve"> </v>
      </c>
    </row>
    <row r="11" spans="2:10">
      <c r="B11" s="949" t="str">
        <f t="shared" ref="B11:B74" si="5">IF($G$2="", "", EDATE(B10, 1))</f>
        <v/>
      </c>
      <c r="C11" s="950">
        <v>3</v>
      </c>
      <c r="D11" s="951" t="str">
        <f t="shared" si="0"/>
        <v/>
      </c>
      <c r="E11" s="951" t="str">
        <f t="shared" si="1"/>
        <v/>
      </c>
      <c r="F11" s="952"/>
      <c r="G11" s="951" t="str">
        <f t="shared" si="2"/>
        <v/>
      </c>
      <c r="H11" s="951" t="str">
        <f t="shared" si="3"/>
        <v/>
      </c>
      <c r="I11" s="953" t="str">
        <f t="shared" si="4"/>
        <v xml:space="preserve"> </v>
      </c>
      <c r="J11" s="954"/>
    </row>
    <row r="12" spans="2:10" ht="17.25" thickBot="1">
      <c r="B12" s="955" t="str">
        <f t="shared" si="5"/>
        <v/>
      </c>
      <c r="C12" s="956">
        <v>4</v>
      </c>
      <c r="D12" s="957" t="str">
        <f t="shared" si="0"/>
        <v/>
      </c>
      <c r="E12" s="957" t="str">
        <f t="shared" si="1"/>
        <v/>
      </c>
      <c r="F12" s="958"/>
      <c r="G12" s="957" t="str">
        <f t="shared" si="2"/>
        <v/>
      </c>
      <c r="H12" s="957" t="str">
        <f t="shared" si="3"/>
        <v/>
      </c>
      <c r="I12" s="959" t="str">
        <f t="shared" si="4"/>
        <v xml:space="preserve"> </v>
      </c>
      <c r="J12" s="942"/>
    </row>
    <row r="13" spans="2:10" ht="17.25" thickBot="1">
      <c r="B13" s="960" t="str">
        <f t="shared" si="5"/>
        <v/>
      </c>
      <c r="C13" s="961">
        <v>5</v>
      </c>
      <c r="D13" s="962" t="str">
        <f t="shared" si="0"/>
        <v/>
      </c>
      <c r="E13" s="962" t="str">
        <f t="shared" si="1"/>
        <v/>
      </c>
      <c r="F13" s="963"/>
      <c r="G13" s="962" t="str">
        <f t="shared" si="2"/>
        <v/>
      </c>
      <c r="H13" s="962" t="str">
        <f t="shared" si="3"/>
        <v/>
      </c>
      <c r="I13" s="964" t="str">
        <f t="shared" si="4"/>
        <v xml:space="preserve"> </v>
      </c>
      <c r="J13" s="942"/>
    </row>
    <row r="14" spans="2:10">
      <c r="B14" s="965" t="str">
        <f t="shared" si="5"/>
        <v/>
      </c>
      <c r="C14" s="966">
        <v>6</v>
      </c>
      <c r="D14" s="967" t="str">
        <f t="shared" si="0"/>
        <v/>
      </c>
      <c r="E14" s="967" t="str">
        <f t="shared" si="1"/>
        <v/>
      </c>
      <c r="F14" s="968"/>
      <c r="G14" s="967" t="str">
        <f t="shared" si="2"/>
        <v/>
      </c>
      <c r="H14" s="967" t="str">
        <f t="shared" si="3"/>
        <v/>
      </c>
      <c r="I14" s="969" t="str">
        <f t="shared" si="4"/>
        <v xml:space="preserve"> </v>
      </c>
    </row>
    <row r="15" spans="2:10">
      <c r="B15" s="949" t="str">
        <f t="shared" si="5"/>
        <v/>
      </c>
      <c r="C15" s="950">
        <v>7</v>
      </c>
      <c r="D15" s="951" t="str">
        <f t="shared" si="0"/>
        <v/>
      </c>
      <c r="E15" s="951" t="str">
        <f t="shared" si="1"/>
        <v/>
      </c>
      <c r="F15" s="952"/>
      <c r="G15" s="951" t="str">
        <f t="shared" si="2"/>
        <v/>
      </c>
      <c r="H15" s="951" t="str">
        <f t="shared" si="3"/>
        <v/>
      </c>
      <c r="I15" s="953" t="str">
        <f t="shared" si="4"/>
        <v xml:space="preserve"> </v>
      </c>
    </row>
    <row r="16" spans="2:10">
      <c r="B16" s="949" t="str">
        <f t="shared" si="5"/>
        <v/>
      </c>
      <c r="C16" s="950">
        <v>8</v>
      </c>
      <c r="D16" s="951" t="str">
        <f t="shared" si="0"/>
        <v/>
      </c>
      <c r="E16" s="951" t="str">
        <f t="shared" si="1"/>
        <v/>
      </c>
      <c r="F16" s="952"/>
      <c r="G16" s="951" t="str">
        <f t="shared" si="2"/>
        <v/>
      </c>
      <c r="H16" s="951" t="str">
        <f t="shared" si="3"/>
        <v/>
      </c>
      <c r="I16" s="953" t="str">
        <f t="shared" si="4"/>
        <v xml:space="preserve"> </v>
      </c>
    </row>
    <row r="17" spans="2:9" ht="17.25" thickBot="1">
      <c r="B17" s="955" t="str">
        <f t="shared" si="5"/>
        <v/>
      </c>
      <c r="C17" s="956">
        <v>9</v>
      </c>
      <c r="D17" s="957" t="str">
        <f t="shared" si="0"/>
        <v/>
      </c>
      <c r="E17" s="957" t="str">
        <f t="shared" si="1"/>
        <v/>
      </c>
      <c r="F17" s="958"/>
      <c r="G17" s="957" t="str">
        <f t="shared" si="2"/>
        <v/>
      </c>
      <c r="H17" s="957" t="str">
        <f t="shared" si="3"/>
        <v/>
      </c>
      <c r="I17" s="959" t="str">
        <f t="shared" si="4"/>
        <v xml:space="preserve"> </v>
      </c>
    </row>
    <row r="18" spans="2:9" ht="17.25" thickBot="1">
      <c r="B18" s="960" t="str">
        <f t="shared" si="5"/>
        <v/>
      </c>
      <c r="C18" s="961">
        <v>10</v>
      </c>
      <c r="D18" s="962" t="str">
        <f t="shared" si="0"/>
        <v/>
      </c>
      <c r="E18" s="962" t="str">
        <f t="shared" si="1"/>
        <v/>
      </c>
      <c r="F18" s="963"/>
      <c r="G18" s="962" t="str">
        <f t="shared" si="2"/>
        <v/>
      </c>
      <c r="H18" s="962" t="str">
        <f t="shared" si="3"/>
        <v/>
      </c>
      <c r="I18" s="964" t="str">
        <f t="shared" si="4"/>
        <v xml:space="preserve"> </v>
      </c>
    </row>
    <row r="19" spans="2:9">
      <c r="B19" s="965" t="str">
        <f t="shared" si="5"/>
        <v/>
      </c>
      <c r="C19" s="966">
        <v>11</v>
      </c>
      <c r="D19" s="967" t="str">
        <f t="shared" si="0"/>
        <v/>
      </c>
      <c r="E19" s="967" t="str">
        <f t="shared" si="1"/>
        <v/>
      </c>
      <c r="F19" s="968"/>
      <c r="G19" s="967" t="str">
        <f t="shared" si="2"/>
        <v/>
      </c>
      <c r="H19" s="967" t="str">
        <f t="shared" si="3"/>
        <v/>
      </c>
      <c r="I19" s="969" t="str">
        <f t="shared" si="4"/>
        <v xml:space="preserve"> </v>
      </c>
    </row>
    <row r="20" spans="2:9">
      <c r="B20" s="949" t="str">
        <f t="shared" si="5"/>
        <v/>
      </c>
      <c r="C20" s="950">
        <v>12</v>
      </c>
      <c r="D20" s="951" t="str">
        <f t="shared" si="0"/>
        <v/>
      </c>
      <c r="E20" s="951" t="str">
        <f t="shared" si="1"/>
        <v/>
      </c>
      <c r="F20" s="952"/>
      <c r="G20" s="951" t="str">
        <f t="shared" si="2"/>
        <v/>
      </c>
      <c r="H20" s="951" t="str">
        <f t="shared" si="3"/>
        <v/>
      </c>
      <c r="I20" s="953" t="str">
        <f t="shared" si="4"/>
        <v xml:space="preserve"> </v>
      </c>
    </row>
    <row r="21" spans="2:9">
      <c r="B21" s="949" t="str">
        <f t="shared" si="5"/>
        <v/>
      </c>
      <c r="C21" s="950">
        <v>13</v>
      </c>
      <c r="D21" s="951" t="str">
        <f t="shared" si="0"/>
        <v/>
      </c>
      <c r="E21" s="951" t="str">
        <f t="shared" si="1"/>
        <v/>
      </c>
      <c r="F21" s="952"/>
      <c r="G21" s="951" t="str">
        <f t="shared" si="2"/>
        <v/>
      </c>
      <c r="H21" s="951" t="str">
        <f t="shared" si="3"/>
        <v/>
      </c>
      <c r="I21" s="953" t="str">
        <f t="shared" si="4"/>
        <v xml:space="preserve"> </v>
      </c>
    </row>
    <row r="22" spans="2:9" ht="17.25" thickBot="1">
      <c r="B22" s="955" t="str">
        <f t="shared" si="5"/>
        <v/>
      </c>
      <c r="C22" s="956">
        <v>14</v>
      </c>
      <c r="D22" s="957" t="str">
        <f t="shared" si="0"/>
        <v/>
      </c>
      <c r="E22" s="957" t="str">
        <f t="shared" si="1"/>
        <v/>
      </c>
      <c r="F22" s="958"/>
      <c r="G22" s="957" t="str">
        <f t="shared" si="2"/>
        <v/>
      </c>
      <c r="H22" s="957" t="str">
        <f t="shared" si="3"/>
        <v/>
      </c>
      <c r="I22" s="959" t="str">
        <f t="shared" si="4"/>
        <v xml:space="preserve"> </v>
      </c>
    </row>
    <row r="23" spans="2:9" ht="17.25" thickBot="1">
      <c r="B23" s="960" t="str">
        <f t="shared" si="5"/>
        <v/>
      </c>
      <c r="C23" s="961">
        <v>15</v>
      </c>
      <c r="D23" s="962" t="str">
        <f t="shared" si="0"/>
        <v/>
      </c>
      <c r="E23" s="962" t="str">
        <f t="shared" si="1"/>
        <v/>
      </c>
      <c r="F23" s="963"/>
      <c r="G23" s="962" t="str">
        <f t="shared" si="2"/>
        <v/>
      </c>
      <c r="H23" s="962" t="str">
        <f t="shared" si="3"/>
        <v/>
      </c>
      <c r="I23" s="964" t="str">
        <f t="shared" si="4"/>
        <v xml:space="preserve"> </v>
      </c>
    </row>
    <row r="24" spans="2:9">
      <c r="B24" s="965" t="str">
        <f t="shared" si="5"/>
        <v/>
      </c>
      <c r="C24" s="966">
        <v>16</v>
      </c>
      <c r="D24" s="967" t="str">
        <f t="shared" si="0"/>
        <v/>
      </c>
      <c r="E24" s="967" t="str">
        <f t="shared" si="1"/>
        <v/>
      </c>
      <c r="F24" s="968"/>
      <c r="G24" s="967" t="str">
        <f t="shared" si="2"/>
        <v/>
      </c>
      <c r="H24" s="967" t="str">
        <f t="shared" si="3"/>
        <v/>
      </c>
      <c r="I24" s="969" t="str">
        <f t="shared" si="4"/>
        <v xml:space="preserve"> </v>
      </c>
    </row>
    <row r="25" spans="2:9">
      <c r="B25" s="949" t="str">
        <f t="shared" si="5"/>
        <v/>
      </c>
      <c r="C25" s="950">
        <v>17</v>
      </c>
      <c r="D25" s="951" t="str">
        <f t="shared" si="0"/>
        <v/>
      </c>
      <c r="E25" s="951" t="str">
        <f t="shared" si="1"/>
        <v/>
      </c>
      <c r="F25" s="952"/>
      <c r="G25" s="951" t="str">
        <f t="shared" si="2"/>
        <v/>
      </c>
      <c r="H25" s="951" t="str">
        <f t="shared" si="3"/>
        <v/>
      </c>
      <c r="I25" s="953" t="str">
        <f t="shared" si="4"/>
        <v xml:space="preserve"> </v>
      </c>
    </row>
    <row r="26" spans="2:9">
      <c r="B26" s="949" t="str">
        <f t="shared" si="5"/>
        <v/>
      </c>
      <c r="C26" s="950">
        <v>18</v>
      </c>
      <c r="D26" s="951" t="str">
        <f t="shared" si="0"/>
        <v/>
      </c>
      <c r="E26" s="951" t="str">
        <f t="shared" si="1"/>
        <v/>
      </c>
      <c r="F26" s="952"/>
      <c r="G26" s="951" t="str">
        <f t="shared" si="2"/>
        <v/>
      </c>
      <c r="H26" s="951" t="str">
        <f t="shared" si="3"/>
        <v/>
      </c>
      <c r="I26" s="953" t="str">
        <f t="shared" si="4"/>
        <v xml:space="preserve"> </v>
      </c>
    </row>
    <row r="27" spans="2:9" ht="17.25" thickBot="1">
      <c r="B27" s="955" t="str">
        <f t="shared" si="5"/>
        <v/>
      </c>
      <c r="C27" s="956">
        <v>19</v>
      </c>
      <c r="D27" s="957" t="str">
        <f t="shared" si="0"/>
        <v/>
      </c>
      <c r="E27" s="957" t="str">
        <f t="shared" si="1"/>
        <v/>
      </c>
      <c r="F27" s="958"/>
      <c r="G27" s="957" t="str">
        <f t="shared" si="2"/>
        <v/>
      </c>
      <c r="H27" s="957" t="str">
        <f t="shared" si="3"/>
        <v/>
      </c>
      <c r="I27" s="959" t="str">
        <f t="shared" si="4"/>
        <v xml:space="preserve"> </v>
      </c>
    </row>
    <row r="28" spans="2:9" ht="17.25" thickBot="1">
      <c r="B28" s="960" t="str">
        <f t="shared" si="5"/>
        <v/>
      </c>
      <c r="C28" s="961">
        <v>20</v>
      </c>
      <c r="D28" s="962" t="str">
        <f t="shared" si="0"/>
        <v/>
      </c>
      <c r="E28" s="962" t="str">
        <f t="shared" si="1"/>
        <v/>
      </c>
      <c r="F28" s="963"/>
      <c r="G28" s="962" t="str">
        <f t="shared" si="2"/>
        <v/>
      </c>
      <c r="H28" s="962" t="str">
        <f t="shared" si="3"/>
        <v/>
      </c>
      <c r="I28" s="964" t="str">
        <f t="shared" si="4"/>
        <v xml:space="preserve"> </v>
      </c>
    </row>
    <row r="29" spans="2:9">
      <c r="B29" s="965" t="str">
        <f t="shared" si="5"/>
        <v/>
      </c>
      <c r="C29" s="966">
        <v>21</v>
      </c>
      <c r="D29" s="967" t="str">
        <f t="shared" si="0"/>
        <v/>
      </c>
      <c r="E29" s="967" t="str">
        <f t="shared" si="1"/>
        <v/>
      </c>
      <c r="F29" s="968"/>
      <c r="G29" s="967" t="str">
        <f t="shared" si="2"/>
        <v/>
      </c>
      <c r="H29" s="967" t="str">
        <f t="shared" si="3"/>
        <v/>
      </c>
      <c r="I29" s="969" t="str">
        <f t="shared" si="4"/>
        <v xml:space="preserve"> </v>
      </c>
    </row>
    <row r="30" spans="2:9">
      <c r="B30" s="949" t="str">
        <f t="shared" si="5"/>
        <v/>
      </c>
      <c r="C30" s="950">
        <v>22</v>
      </c>
      <c r="D30" s="951" t="str">
        <f t="shared" si="0"/>
        <v/>
      </c>
      <c r="E30" s="951" t="str">
        <f t="shared" si="1"/>
        <v/>
      </c>
      <c r="F30" s="952"/>
      <c r="G30" s="951" t="str">
        <f t="shared" si="2"/>
        <v/>
      </c>
      <c r="H30" s="951" t="str">
        <f t="shared" si="3"/>
        <v/>
      </c>
      <c r="I30" s="953" t="str">
        <f t="shared" si="4"/>
        <v xml:space="preserve"> </v>
      </c>
    </row>
    <row r="31" spans="2:9">
      <c r="B31" s="949" t="str">
        <f t="shared" si="5"/>
        <v/>
      </c>
      <c r="C31" s="950">
        <v>23</v>
      </c>
      <c r="D31" s="951" t="str">
        <f t="shared" si="0"/>
        <v/>
      </c>
      <c r="E31" s="951" t="str">
        <f t="shared" si="1"/>
        <v/>
      </c>
      <c r="F31" s="952"/>
      <c r="G31" s="951" t="str">
        <f t="shared" si="2"/>
        <v/>
      </c>
      <c r="H31" s="951" t="str">
        <f t="shared" si="3"/>
        <v/>
      </c>
      <c r="I31" s="953" t="str">
        <f t="shared" si="4"/>
        <v xml:space="preserve"> </v>
      </c>
    </row>
    <row r="32" spans="2:9" ht="17.25" thickBot="1">
      <c r="B32" s="955" t="str">
        <f t="shared" si="5"/>
        <v/>
      </c>
      <c r="C32" s="956">
        <v>24</v>
      </c>
      <c r="D32" s="957" t="str">
        <f t="shared" si="0"/>
        <v/>
      </c>
      <c r="E32" s="957" t="str">
        <f t="shared" si="1"/>
        <v/>
      </c>
      <c r="F32" s="958"/>
      <c r="G32" s="957" t="str">
        <f t="shared" si="2"/>
        <v/>
      </c>
      <c r="H32" s="957" t="str">
        <f t="shared" si="3"/>
        <v/>
      </c>
      <c r="I32" s="959" t="str">
        <f t="shared" si="4"/>
        <v xml:space="preserve"> </v>
      </c>
    </row>
    <row r="33" spans="2:9" ht="17.25" thickBot="1">
      <c r="B33" s="960" t="str">
        <f t="shared" si="5"/>
        <v/>
      </c>
      <c r="C33" s="961">
        <v>25</v>
      </c>
      <c r="D33" s="962" t="str">
        <f t="shared" si="0"/>
        <v/>
      </c>
      <c r="E33" s="962" t="str">
        <f t="shared" si="1"/>
        <v/>
      </c>
      <c r="F33" s="963"/>
      <c r="G33" s="962" t="str">
        <f t="shared" si="2"/>
        <v/>
      </c>
      <c r="H33" s="962" t="str">
        <f t="shared" si="3"/>
        <v/>
      </c>
      <c r="I33" s="964" t="str">
        <f t="shared" si="4"/>
        <v xml:space="preserve"> </v>
      </c>
    </row>
    <row r="34" spans="2:9">
      <c r="B34" s="965" t="str">
        <f t="shared" si="5"/>
        <v/>
      </c>
      <c r="C34" s="966">
        <v>26</v>
      </c>
      <c r="D34" s="967" t="str">
        <f t="shared" si="0"/>
        <v/>
      </c>
      <c r="E34" s="967" t="str">
        <f t="shared" si="1"/>
        <v/>
      </c>
      <c r="F34" s="968"/>
      <c r="G34" s="967" t="str">
        <f t="shared" si="2"/>
        <v/>
      </c>
      <c r="H34" s="967" t="str">
        <f t="shared" si="3"/>
        <v/>
      </c>
      <c r="I34" s="969" t="str">
        <f t="shared" si="4"/>
        <v xml:space="preserve"> </v>
      </c>
    </row>
    <row r="35" spans="2:9">
      <c r="B35" s="949" t="str">
        <f t="shared" si="5"/>
        <v/>
      </c>
      <c r="C35" s="950">
        <v>27</v>
      </c>
      <c r="D35" s="951" t="str">
        <f t="shared" si="0"/>
        <v/>
      </c>
      <c r="E35" s="951" t="str">
        <f t="shared" si="1"/>
        <v/>
      </c>
      <c r="F35" s="952"/>
      <c r="G35" s="951" t="str">
        <f t="shared" si="2"/>
        <v/>
      </c>
      <c r="H35" s="951" t="str">
        <f t="shared" si="3"/>
        <v/>
      </c>
      <c r="I35" s="953" t="str">
        <f t="shared" si="4"/>
        <v xml:space="preserve"> </v>
      </c>
    </row>
    <row r="36" spans="2:9">
      <c r="B36" s="949" t="str">
        <f t="shared" si="5"/>
        <v/>
      </c>
      <c r="C36" s="950">
        <v>28</v>
      </c>
      <c r="D36" s="951" t="str">
        <f t="shared" si="0"/>
        <v/>
      </c>
      <c r="E36" s="951" t="str">
        <f t="shared" si="1"/>
        <v/>
      </c>
      <c r="F36" s="952"/>
      <c r="G36" s="951" t="str">
        <f t="shared" si="2"/>
        <v/>
      </c>
      <c r="H36" s="951" t="str">
        <f t="shared" si="3"/>
        <v/>
      </c>
      <c r="I36" s="953" t="str">
        <f t="shared" si="4"/>
        <v xml:space="preserve"> </v>
      </c>
    </row>
    <row r="37" spans="2:9" ht="17.25" thickBot="1">
      <c r="B37" s="955" t="str">
        <f t="shared" si="5"/>
        <v/>
      </c>
      <c r="C37" s="956">
        <v>29</v>
      </c>
      <c r="D37" s="957" t="str">
        <f t="shared" si="0"/>
        <v/>
      </c>
      <c r="E37" s="957" t="str">
        <f t="shared" si="1"/>
        <v/>
      </c>
      <c r="F37" s="958"/>
      <c r="G37" s="957" t="str">
        <f t="shared" si="2"/>
        <v/>
      </c>
      <c r="H37" s="957" t="str">
        <f t="shared" si="3"/>
        <v/>
      </c>
      <c r="I37" s="959" t="str">
        <f t="shared" si="4"/>
        <v xml:space="preserve"> </v>
      </c>
    </row>
    <row r="38" spans="2:9" ht="17.25" thickBot="1">
      <c r="B38" s="960" t="str">
        <f t="shared" si="5"/>
        <v/>
      </c>
      <c r="C38" s="961">
        <v>30</v>
      </c>
      <c r="D38" s="962" t="str">
        <f t="shared" si="0"/>
        <v/>
      </c>
      <c r="E38" s="962" t="str">
        <f t="shared" si="1"/>
        <v/>
      </c>
      <c r="F38" s="963"/>
      <c r="G38" s="962" t="str">
        <f t="shared" si="2"/>
        <v/>
      </c>
      <c r="H38" s="962" t="str">
        <f t="shared" si="3"/>
        <v/>
      </c>
      <c r="I38" s="964" t="str">
        <f t="shared" si="4"/>
        <v xml:space="preserve"> </v>
      </c>
    </row>
    <row r="39" spans="2:9">
      <c r="B39" s="965" t="str">
        <f t="shared" si="5"/>
        <v/>
      </c>
      <c r="C39" s="966">
        <v>31</v>
      </c>
      <c r="D39" s="967" t="str">
        <f t="shared" si="0"/>
        <v/>
      </c>
      <c r="E39" s="967" t="str">
        <f t="shared" si="1"/>
        <v/>
      </c>
      <c r="F39" s="968"/>
      <c r="G39" s="967" t="str">
        <f t="shared" si="2"/>
        <v/>
      </c>
      <c r="H39" s="967" t="str">
        <f t="shared" si="3"/>
        <v/>
      </c>
      <c r="I39" s="969" t="str">
        <f t="shared" si="4"/>
        <v xml:space="preserve"> </v>
      </c>
    </row>
    <row r="40" spans="2:9">
      <c r="B40" s="949" t="str">
        <f t="shared" si="5"/>
        <v/>
      </c>
      <c r="C40" s="950">
        <v>32</v>
      </c>
      <c r="D40" s="951" t="str">
        <f t="shared" si="0"/>
        <v/>
      </c>
      <c r="E40" s="951" t="str">
        <f t="shared" si="1"/>
        <v/>
      </c>
      <c r="F40" s="952"/>
      <c r="G40" s="951" t="str">
        <f t="shared" si="2"/>
        <v/>
      </c>
      <c r="H40" s="951" t="str">
        <f t="shared" si="3"/>
        <v/>
      </c>
      <c r="I40" s="953" t="str">
        <f t="shared" si="4"/>
        <v xml:space="preserve"> </v>
      </c>
    </row>
    <row r="41" spans="2:9">
      <c r="B41" s="949" t="str">
        <f t="shared" si="5"/>
        <v/>
      </c>
      <c r="C41" s="950">
        <v>33</v>
      </c>
      <c r="D41" s="951" t="str">
        <f t="shared" si="0"/>
        <v/>
      </c>
      <c r="E41" s="951" t="str">
        <f t="shared" si="1"/>
        <v/>
      </c>
      <c r="F41" s="952"/>
      <c r="G41" s="951" t="str">
        <f t="shared" si="2"/>
        <v/>
      </c>
      <c r="H41" s="951" t="str">
        <f t="shared" si="3"/>
        <v/>
      </c>
      <c r="I41" s="970" t="str">
        <f t="shared" si="4"/>
        <v xml:space="preserve"> </v>
      </c>
    </row>
    <row r="42" spans="2:9" ht="17.25" thickBot="1">
      <c r="B42" s="955" t="str">
        <f t="shared" si="5"/>
        <v/>
      </c>
      <c r="C42" s="956">
        <v>34</v>
      </c>
      <c r="D42" s="957" t="str">
        <f t="shared" si="0"/>
        <v/>
      </c>
      <c r="E42" s="957" t="str">
        <f t="shared" si="1"/>
        <v/>
      </c>
      <c r="F42" s="958"/>
      <c r="G42" s="957" t="str">
        <f t="shared" si="2"/>
        <v/>
      </c>
      <c r="H42" s="957" t="str">
        <f t="shared" si="3"/>
        <v/>
      </c>
      <c r="I42" s="971" t="str">
        <f t="shared" si="4"/>
        <v xml:space="preserve"> </v>
      </c>
    </row>
    <row r="43" spans="2:9" ht="17.25" thickBot="1">
      <c r="B43" s="960" t="str">
        <f t="shared" si="5"/>
        <v/>
      </c>
      <c r="C43" s="961">
        <v>35</v>
      </c>
      <c r="D43" s="962" t="str">
        <f t="shared" si="0"/>
        <v/>
      </c>
      <c r="E43" s="962" t="str">
        <f t="shared" si="1"/>
        <v/>
      </c>
      <c r="F43" s="963"/>
      <c r="G43" s="962" t="str">
        <f t="shared" si="2"/>
        <v/>
      </c>
      <c r="H43" s="962" t="str">
        <f t="shared" si="3"/>
        <v/>
      </c>
      <c r="I43" s="972" t="str">
        <f t="shared" si="4"/>
        <v xml:space="preserve"> </v>
      </c>
    </row>
    <row r="44" spans="2:9">
      <c r="B44" s="965" t="str">
        <f t="shared" si="5"/>
        <v/>
      </c>
      <c r="C44" s="966">
        <v>36</v>
      </c>
      <c r="D44" s="967" t="str">
        <f t="shared" si="0"/>
        <v/>
      </c>
      <c r="E44" s="967" t="str">
        <f t="shared" si="1"/>
        <v/>
      </c>
      <c r="F44" s="968"/>
      <c r="G44" s="967" t="str">
        <f t="shared" si="2"/>
        <v/>
      </c>
      <c r="H44" s="967" t="str">
        <f t="shared" si="3"/>
        <v/>
      </c>
      <c r="I44" s="973" t="str">
        <f t="shared" si="4"/>
        <v xml:space="preserve"> </v>
      </c>
    </row>
    <row r="45" spans="2:9">
      <c r="B45" s="949" t="str">
        <f t="shared" si="5"/>
        <v/>
      </c>
      <c r="C45" s="950">
        <v>37</v>
      </c>
      <c r="D45" s="951" t="str">
        <f t="shared" si="0"/>
        <v/>
      </c>
      <c r="E45" s="951" t="str">
        <f t="shared" si="1"/>
        <v/>
      </c>
      <c r="F45" s="952"/>
      <c r="G45" s="951" t="str">
        <f t="shared" si="2"/>
        <v/>
      </c>
      <c r="H45" s="951" t="str">
        <f t="shared" si="3"/>
        <v/>
      </c>
      <c r="I45" s="970" t="str">
        <f t="shared" si="4"/>
        <v xml:space="preserve"> </v>
      </c>
    </row>
    <row r="46" spans="2:9">
      <c r="B46" s="949" t="str">
        <f t="shared" si="5"/>
        <v/>
      </c>
      <c r="C46" s="950">
        <v>38</v>
      </c>
      <c r="D46" s="951" t="str">
        <f t="shared" si="0"/>
        <v/>
      </c>
      <c r="E46" s="951" t="str">
        <f t="shared" si="1"/>
        <v/>
      </c>
      <c r="F46" s="952"/>
      <c r="G46" s="951" t="str">
        <f t="shared" si="2"/>
        <v/>
      </c>
      <c r="H46" s="951" t="str">
        <f t="shared" si="3"/>
        <v/>
      </c>
      <c r="I46" s="970" t="str">
        <f t="shared" si="4"/>
        <v xml:space="preserve"> </v>
      </c>
    </row>
    <row r="47" spans="2:9" ht="17.25" thickBot="1">
      <c r="B47" s="955" t="str">
        <f t="shared" si="5"/>
        <v/>
      </c>
      <c r="C47" s="956">
        <v>39</v>
      </c>
      <c r="D47" s="957" t="str">
        <f t="shared" si="0"/>
        <v/>
      </c>
      <c r="E47" s="957" t="str">
        <f t="shared" si="1"/>
        <v/>
      </c>
      <c r="F47" s="958"/>
      <c r="G47" s="957" t="str">
        <f t="shared" si="2"/>
        <v/>
      </c>
      <c r="H47" s="957" t="str">
        <f t="shared" si="3"/>
        <v/>
      </c>
      <c r="I47" s="971" t="str">
        <f t="shared" si="4"/>
        <v xml:space="preserve"> </v>
      </c>
    </row>
    <row r="48" spans="2:9" ht="17.25" thickBot="1">
      <c r="B48" s="960" t="str">
        <f t="shared" si="5"/>
        <v/>
      </c>
      <c r="C48" s="961">
        <v>40</v>
      </c>
      <c r="D48" s="962" t="str">
        <f t="shared" si="0"/>
        <v/>
      </c>
      <c r="E48" s="962" t="str">
        <f t="shared" si="1"/>
        <v/>
      </c>
      <c r="F48" s="963"/>
      <c r="G48" s="962" t="str">
        <f t="shared" si="2"/>
        <v/>
      </c>
      <c r="H48" s="962" t="str">
        <f t="shared" si="3"/>
        <v/>
      </c>
      <c r="I48" s="972" t="str">
        <f t="shared" si="4"/>
        <v xml:space="preserve"> </v>
      </c>
    </row>
    <row r="49" spans="2:9">
      <c r="B49" s="965" t="str">
        <f t="shared" si="5"/>
        <v/>
      </c>
      <c r="C49" s="966">
        <v>41</v>
      </c>
      <c r="D49" s="967" t="str">
        <f t="shared" si="0"/>
        <v/>
      </c>
      <c r="E49" s="967" t="str">
        <f t="shared" si="1"/>
        <v/>
      </c>
      <c r="F49" s="968"/>
      <c r="G49" s="967" t="str">
        <f t="shared" si="2"/>
        <v/>
      </c>
      <c r="H49" s="967" t="str">
        <f t="shared" si="3"/>
        <v/>
      </c>
      <c r="I49" s="973" t="str">
        <f t="shared" si="4"/>
        <v xml:space="preserve"> </v>
      </c>
    </row>
    <row r="50" spans="2:9">
      <c r="B50" s="949" t="str">
        <f t="shared" si="5"/>
        <v/>
      </c>
      <c r="C50" s="950">
        <v>42</v>
      </c>
      <c r="D50" s="951" t="str">
        <f t="shared" si="0"/>
        <v/>
      </c>
      <c r="E50" s="951" t="str">
        <f t="shared" si="1"/>
        <v/>
      </c>
      <c r="F50" s="952"/>
      <c r="G50" s="951" t="str">
        <f t="shared" si="2"/>
        <v/>
      </c>
      <c r="H50" s="951" t="str">
        <f t="shared" si="3"/>
        <v/>
      </c>
      <c r="I50" s="970" t="str">
        <f t="shared" si="4"/>
        <v xml:space="preserve"> </v>
      </c>
    </row>
    <row r="51" spans="2:9">
      <c r="B51" s="949" t="str">
        <f t="shared" si="5"/>
        <v/>
      </c>
      <c r="C51" s="950">
        <v>43</v>
      </c>
      <c r="D51" s="951" t="str">
        <f t="shared" si="0"/>
        <v/>
      </c>
      <c r="E51" s="951" t="str">
        <f t="shared" si="1"/>
        <v/>
      </c>
      <c r="F51" s="952"/>
      <c r="G51" s="951" t="str">
        <f t="shared" si="2"/>
        <v/>
      </c>
      <c r="H51" s="951" t="str">
        <f t="shared" si="3"/>
        <v/>
      </c>
      <c r="I51" s="970" t="str">
        <f t="shared" si="4"/>
        <v xml:space="preserve"> </v>
      </c>
    </row>
    <row r="52" spans="2:9" ht="17.25" thickBot="1">
      <c r="B52" s="955" t="str">
        <f t="shared" si="5"/>
        <v/>
      </c>
      <c r="C52" s="956">
        <v>44</v>
      </c>
      <c r="D52" s="957" t="str">
        <f t="shared" si="0"/>
        <v/>
      </c>
      <c r="E52" s="957" t="str">
        <f t="shared" si="1"/>
        <v/>
      </c>
      <c r="F52" s="958"/>
      <c r="G52" s="957" t="str">
        <f t="shared" si="2"/>
        <v/>
      </c>
      <c r="H52" s="957" t="str">
        <f t="shared" si="3"/>
        <v/>
      </c>
      <c r="I52" s="971" t="str">
        <f t="shared" si="4"/>
        <v xml:space="preserve"> </v>
      </c>
    </row>
    <row r="53" spans="2:9" ht="17.25" thickBot="1">
      <c r="B53" s="960" t="str">
        <f t="shared" si="5"/>
        <v/>
      </c>
      <c r="C53" s="961">
        <v>45</v>
      </c>
      <c r="D53" s="962" t="str">
        <f t="shared" si="0"/>
        <v/>
      </c>
      <c r="E53" s="962" t="str">
        <f t="shared" si="1"/>
        <v/>
      </c>
      <c r="F53" s="963"/>
      <c r="G53" s="962" t="str">
        <f t="shared" si="2"/>
        <v/>
      </c>
      <c r="H53" s="962" t="str">
        <f t="shared" si="3"/>
        <v/>
      </c>
      <c r="I53" s="972" t="str">
        <f t="shared" si="4"/>
        <v xml:space="preserve"> </v>
      </c>
    </row>
    <row r="54" spans="2:9">
      <c r="B54" s="965" t="str">
        <f t="shared" si="5"/>
        <v/>
      </c>
      <c r="C54" s="966">
        <v>46</v>
      </c>
      <c r="D54" s="967" t="str">
        <f t="shared" si="0"/>
        <v/>
      </c>
      <c r="E54" s="967" t="str">
        <f t="shared" si="1"/>
        <v/>
      </c>
      <c r="F54" s="968"/>
      <c r="G54" s="967" t="str">
        <f t="shared" si="2"/>
        <v/>
      </c>
      <c r="H54" s="967" t="str">
        <f t="shared" si="3"/>
        <v/>
      </c>
      <c r="I54" s="973" t="str">
        <f t="shared" si="4"/>
        <v xml:space="preserve"> </v>
      </c>
    </row>
    <row r="55" spans="2:9">
      <c r="B55" s="949" t="str">
        <f t="shared" si="5"/>
        <v/>
      </c>
      <c r="C55" s="950">
        <v>47</v>
      </c>
      <c r="D55" s="951" t="str">
        <f t="shared" si="0"/>
        <v/>
      </c>
      <c r="E55" s="951" t="str">
        <f t="shared" si="1"/>
        <v/>
      </c>
      <c r="F55" s="952"/>
      <c r="G55" s="951" t="str">
        <f t="shared" si="2"/>
        <v/>
      </c>
      <c r="H55" s="951" t="str">
        <f t="shared" si="3"/>
        <v/>
      </c>
      <c r="I55" s="970" t="str">
        <f t="shared" si="4"/>
        <v xml:space="preserve"> </v>
      </c>
    </row>
    <row r="56" spans="2:9">
      <c r="B56" s="949" t="str">
        <f t="shared" si="5"/>
        <v/>
      </c>
      <c r="C56" s="950">
        <v>48</v>
      </c>
      <c r="D56" s="951" t="str">
        <f t="shared" si="0"/>
        <v/>
      </c>
      <c r="E56" s="951" t="str">
        <f t="shared" si="1"/>
        <v/>
      </c>
      <c r="F56" s="952"/>
      <c r="G56" s="951" t="str">
        <f t="shared" si="2"/>
        <v/>
      </c>
      <c r="H56" s="951" t="str">
        <f t="shared" si="3"/>
        <v/>
      </c>
      <c r="I56" s="970" t="str">
        <f t="shared" si="4"/>
        <v xml:space="preserve"> </v>
      </c>
    </row>
    <row r="57" spans="2:9" ht="17.25" thickBot="1">
      <c r="B57" s="955" t="str">
        <f t="shared" si="5"/>
        <v/>
      </c>
      <c r="C57" s="956">
        <v>49</v>
      </c>
      <c r="D57" s="957" t="str">
        <f t="shared" si="0"/>
        <v/>
      </c>
      <c r="E57" s="957" t="str">
        <f t="shared" si="1"/>
        <v/>
      </c>
      <c r="F57" s="958"/>
      <c r="G57" s="957" t="str">
        <f t="shared" si="2"/>
        <v/>
      </c>
      <c r="H57" s="957" t="str">
        <f t="shared" si="3"/>
        <v/>
      </c>
      <c r="I57" s="971" t="str">
        <f t="shared" si="4"/>
        <v xml:space="preserve"> </v>
      </c>
    </row>
    <row r="58" spans="2:9" ht="17.25" thickBot="1">
      <c r="B58" s="960" t="str">
        <f t="shared" si="5"/>
        <v/>
      </c>
      <c r="C58" s="961">
        <v>50</v>
      </c>
      <c r="D58" s="962" t="str">
        <f t="shared" si="0"/>
        <v/>
      </c>
      <c r="E58" s="962" t="str">
        <f t="shared" si="1"/>
        <v/>
      </c>
      <c r="F58" s="963"/>
      <c r="G58" s="962" t="str">
        <f t="shared" si="2"/>
        <v/>
      </c>
      <c r="H58" s="962" t="str">
        <f t="shared" si="3"/>
        <v/>
      </c>
      <c r="I58" s="972" t="str">
        <f t="shared" si="4"/>
        <v xml:space="preserve"> </v>
      </c>
    </row>
    <row r="59" spans="2:9">
      <c r="B59" s="965" t="str">
        <f t="shared" si="5"/>
        <v/>
      </c>
      <c r="C59" s="966">
        <v>51</v>
      </c>
      <c r="D59" s="967" t="str">
        <f t="shared" si="0"/>
        <v/>
      </c>
      <c r="E59" s="967" t="str">
        <f t="shared" si="1"/>
        <v/>
      </c>
      <c r="F59" s="968"/>
      <c r="G59" s="967" t="str">
        <f t="shared" si="2"/>
        <v/>
      </c>
      <c r="H59" s="967" t="str">
        <f t="shared" si="3"/>
        <v/>
      </c>
      <c r="I59" s="973" t="str">
        <f t="shared" si="4"/>
        <v xml:space="preserve"> </v>
      </c>
    </row>
    <row r="60" spans="2:9">
      <c r="B60" s="949" t="str">
        <f t="shared" si="5"/>
        <v/>
      </c>
      <c r="C60" s="950">
        <v>52</v>
      </c>
      <c r="D60" s="951" t="str">
        <f t="shared" si="0"/>
        <v/>
      </c>
      <c r="E60" s="951" t="str">
        <f t="shared" si="1"/>
        <v/>
      </c>
      <c r="F60" s="952"/>
      <c r="G60" s="951" t="str">
        <f t="shared" si="2"/>
        <v/>
      </c>
      <c r="H60" s="951" t="str">
        <f t="shared" si="3"/>
        <v/>
      </c>
      <c r="I60" s="970" t="str">
        <f t="shared" si="4"/>
        <v xml:space="preserve"> </v>
      </c>
    </row>
    <row r="61" spans="2:9">
      <c r="B61" s="949" t="str">
        <f t="shared" si="5"/>
        <v/>
      </c>
      <c r="C61" s="950">
        <v>53</v>
      </c>
      <c r="D61" s="951" t="str">
        <f t="shared" si="0"/>
        <v/>
      </c>
      <c r="E61" s="951" t="str">
        <f t="shared" si="1"/>
        <v/>
      </c>
      <c r="F61" s="952"/>
      <c r="G61" s="951" t="str">
        <f t="shared" si="2"/>
        <v/>
      </c>
      <c r="H61" s="951" t="str">
        <f t="shared" si="3"/>
        <v/>
      </c>
      <c r="I61" s="970" t="str">
        <f t="shared" si="4"/>
        <v xml:space="preserve"> </v>
      </c>
    </row>
    <row r="62" spans="2:9" ht="17.25" thickBot="1">
      <c r="B62" s="955" t="str">
        <f t="shared" si="5"/>
        <v/>
      </c>
      <c r="C62" s="956">
        <v>54</v>
      </c>
      <c r="D62" s="957" t="str">
        <f t="shared" si="0"/>
        <v/>
      </c>
      <c r="E62" s="957" t="str">
        <f t="shared" si="1"/>
        <v/>
      </c>
      <c r="F62" s="958"/>
      <c r="G62" s="957" t="str">
        <f t="shared" si="2"/>
        <v/>
      </c>
      <c r="H62" s="957" t="str">
        <f t="shared" si="3"/>
        <v/>
      </c>
      <c r="I62" s="971" t="str">
        <f t="shared" si="4"/>
        <v xml:space="preserve"> </v>
      </c>
    </row>
    <row r="63" spans="2:9" ht="17.25" thickBot="1">
      <c r="B63" s="974" t="str">
        <f t="shared" si="5"/>
        <v/>
      </c>
      <c r="C63" s="975">
        <v>55</v>
      </c>
      <c r="D63" s="976" t="str">
        <f t="shared" si="0"/>
        <v/>
      </c>
      <c r="E63" s="976" t="str">
        <f t="shared" si="1"/>
        <v/>
      </c>
      <c r="F63" s="977"/>
      <c r="G63" s="976" t="str">
        <f t="shared" si="2"/>
        <v/>
      </c>
      <c r="H63" s="976" t="str">
        <f t="shared" si="3"/>
        <v/>
      </c>
      <c r="I63" s="978" t="str">
        <f t="shared" si="4"/>
        <v xml:space="preserve"> </v>
      </c>
    </row>
    <row r="64" spans="2:9">
      <c r="B64" s="965" t="str">
        <f t="shared" si="5"/>
        <v/>
      </c>
      <c r="C64" s="966">
        <v>56</v>
      </c>
      <c r="D64" s="967" t="str">
        <f t="shared" si="0"/>
        <v/>
      </c>
      <c r="E64" s="967" t="str">
        <f t="shared" si="1"/>
        <v/>
      </c>
      <c r="F64" s="968"/>
      <c r="G64" s="967" t="str">
        <f t="shared" si="2"/>
        <v/>
      </c>
      <c r="H64" s="967" t="str">
        <f t="shared" si="3"/>
        <v/>
      </c>
      <c r="I64" s="973" t="str">
        <f t="shared" si="4"/>
        <v xml:space="preserve"> </v>
      </c>
    </row>
    <row r="65" spans="2:9">
      <c r="B65" s="949" t="str">
        <f t="shared" si="5"/>
        <v/>
      </c>
      <c r="C65" s="950">
        <v>57</v>
      </c>
      <c r="D65" s="951" t="str">
        <f t="shared" si="0"/>
        <v/>
      </c>
      <c r="E65" s="951" t="str">
        <f t="shared" si="1"/>
        <v/>
      </c>
      <c r="F65" s="952"/>
      <c r="G65" s="951" t="str">
        <f t="shared" si="2"/>
        <v/>
      </c>
      <c r="H65" s="951" t="str">
        <f t="shared" si="3"/>
        <v/>
      </c>
      <c r="I65" s="970" t="str">
        <f t="shared" si="4"/>
        <v xml:space="preserve"> </v>
      </c>
    </row>
    <row r="66" spans="2:9">
      <c r="B66" s="949" t="str">
        <f t="shared" si="5"/>
        <v/>
      </c>
      <c r="C66" s="950">
        <v>58</v>
      </c>
      <c r="D66" s="951" t="str">
        <f t="shared" si="0"/>
        <v/>
      </c>
      <c r="E66" s="951" t="str">
        <f t="shared" si="1"/>
        <v/>
      </c>
      <c r="F66" s="952"/>
      <c r="G66" s="951" t="str">
        <f t="shared" si="2"/>
        <v/>
      </c>
      <c r="H66" s="951" t="str">
        <f t="shared" si="3"/>
        <v/>
      </c>
      <c r="I66" s="970" t="str">
        <f t="shared" si="4"/>
        <v xml:space="preserve"> </v>
      </c>
    </row>
    <row r="67" spans="2:9" ht="17.25" thickBot="1">
      <c r="B67" s="955" t="str">
        <f t="shared" si="5"/>
        <v/>
      </c>
      <c r="C67" s="956">
        <v>59</v>
      </c>
      <c r="D67" s="957" t="str">
        <f t="shared" si="0"/>
        <v/>
      </c>
      <c r="E67" s="957" t="str">
        <f t="shared" si="1"/>
        <v/>
      </c>
      <c r="F67" s="958"/>
      <c r="G67" s="957" t="str">
        <f t="shared" si="2"/>
        <v/>
      </c>
      <c r="H67" s="957" t="str">
        <f t="shared" si="3"/>
        <v/>
      </c>
      <c r="I67" s="971" t="str">
        <f t="shared" si="4"/>
        <v xml:space="preserve"> </v>
      </c>
    </row>
    <row r="68" spans="2:9" ht="17.25" thickBot="1">
      <c r="B68" s="974" t="str">
        <f t="shared" si="5"/>
        <v/>
      </c>
      <c r="C68" s="975">
        <v>60</v>
      </c>
      <c r="D68" s="976" t="str">
        <f t="shared" si="0"/>
        <v/>
      </c>
      <c r="E68" s="976" t="str">
        <f t="shared" si="1"/>
        <v/>
      </c>
      <c r="F68" s="977"/>
      <c r="G68" s="976" t="str">
        <f t="shared" si="2"/>
        <v/>
      </c>
      <c r="H68" s="976" t="str">
        <f t="shared" si="3"/>
        <v/>
      </c>
      <c r="I68" s="978" t="str">
        <f t="shared" si="4"/>
        <v xml:space="preserve"> </v>
      </c>
    </row>
    <row r="69" spans="2:9">
      <c r="B69" s="965" t="str">
        <f t="shared" si="5"/>
        <v/>
      </c>
      <c r="C69" s="966">
        <v>61</v>
      </c>
      <c r="D69" s="967" t="str">
        <f t="shared" si="0"/>
        <v/>
      </c>
      <c r="E69" s="967" t="str">
        <f t="shared" si="1"/>
        <v/>
      </c>
      <c r="F69" s="968"/>
      <c r="G69" s="967" t="str">
        <f t="shared" si="2"/>
        <v/>
      </c>
      <c r="H69" s="967" t="str">
        <f t="shared" si="3"/>
        <v/>
      </c>
      <c r="I69" s="973" t="str">
        <f t="shared" si="4"/>
        <v xml:space="preserve"> </v>
      </c>
    </row>
    <row r="70" spans="2:9">
      <c r="B70" s="949" t="str">
        <f t="shared" si="5"/>
        <v/>
      </c>
      <c r="C70" s="950">
        <v>62</v>
      </c>
      <c r="D70" s="951" t="str">
        <f t="shared" si="0"/>
        <v/>
      </c>
      <c r="E70" s="951" t="str">
        <f t="shared" si="1"/>
        <v/>
      </c>
      <c r="F70" s="952"/>
      <c r="G70" s="951" t="str">
        <f t="shared" si="2"/>
        <v/>
      </c>
      <c r="H70" s="951" t="str">
        <f t="shared" si="3"/>
        <v/>
      </c>
      <c r="I70" s="970" t="str">
        <f t="shared" si="4"/>
        <v xml:space="preserve"> </v>
      </c>
    </row>
    <row r="71" spans="2:9">
      <c r="B71" s="949" t="str">
        <f t="shared" si="5"/>
        <v/>
      </c>
      <c r="C71" s="950">
        <v>63</v>
      </c>
      <c r="D71" s="951" t="str">
        <f t="shared" si="0"/>
        <v/>
      </c>
      <c r="E71" s="951" t="str">
        <f t="shared" si="1"/>
        <v/>
      </c>
      <c r="F71" s="952"/>
      <c r="G71" s="951" t="str">
        <f t="shared" si="2"/>
        <v/>
      </c>
      <c r="H71" s="951" t="str">
        <f t="shared" si="3"/>
        <v/>
      </c>
      <c r="I71" s="970" t="str">
        <f t="shared" si="4"/>
        <v xml:space="preserve"> </v>
      </c>
    </row>
    <row r="72" spans="2:9" ht="17.25" thickBot="1">
      <c r="B72" s="955" t="str">
        <f t="shared" si="5"/>
        <v/>
      </c>
      <c r="C72" s="956">
        <v>64</v>
      </c>
      <c r="D72" s="957" t="str">
        <f t="shared" si="0"/>
        <v/>
      </c>
      <c r="E72" s="957" t="str">
        <f t="shared" si="1"/>
        <v/>
      </c>
      <c r="F72" s="958"/>
      <c r="G72" s="957" t="str">
        <f t="shared" si="2"/>
        <v/>
      </c>
      <c r="H72" s="957" t="str">
        <f t="shared" si="3"/>
        <v/>
      </c>
      <c r="I72" s="971" t="str">
        <f t="shared" si="4"/>
        <v xml:space="preserve"> </v>
      </c>
    </row>
    <row r="73" spans="2:9" ht="17.25" thickBot="1">
      <c r="B73" s="974" t="str">
        <f t="shared" si="5"/>
        <v/>
      </c>
      <c r="C73" s="975">
        <v>65</v>
      </c>
      <c r="D73" s="976" t="str">
        <f t="shared" si="0"/>
        <v/>
      </c>
      <c r="E73" s="976" t="str">
        <f t="shared" si="1"/>
        <v/>
      </c>
      <c r="F73" s="977"/>
      <c r="G73" s="976" t="str">
        <f t="shared" si="2"/>
        <v/>
      </c>
      <c r="H73" s="976" t="str">
        <f t="shared" si="3"/>
        <v/>
      </c>
      <c r="I73" s="978" t="str">
        <f t="shared" si="4"/>
        <v xml:space="preserve"> </v>
      </c>
    </row>
    <row r="74" spans="2:9">
      <c r="B74" s="965" t="str">
        <f t="shared" si="5"/>
        <v/>
      </c>
      <c r="C74" s="966">
        <v>66</v>
      </c>
      <c r="D74" s="967" t="str">
        <f t="shared" ref="D74:D137" si="6">IF(C74&gt;$E$5, "", ROUND(PMT($E$4/12, $E$5-C74+1, -H73), 0))</f>
        <v/>
      </c>
      <c r="E74" s="967" t="str">
        <f t="shared" ref="E74:E137" si="7">IF(C74&gt;$E$5, "", D74 - G74)</f>
        <v/>
      </c>
      <c r="F74" s="968"/>
      <c r="G74" s="967" t="str">
        <f t="shared" ref="G74:G137" si="8">IF(C74&gt;$E$5, "", H73 * ($E$4/12))</f>
        <v/>
      </c>
      <c r="H74" s="967" t="str">
        <f t="shared" ref="H74:H137" si="9">IF(C74&gt;$E$5, "", MAX(0, H73 - E74 - F74))</f>
        <v/>
      </c>
      <c r="I74" s="973" t="str">
        <f t="shared" ref="I74:I137" si="10">IF(AND(F74&gt;0, C74&lt;=$G$4), F74 * $G$3," ")</f>
        <v xml:space="preserve"> </v>
      </c>
    </row>
    <row r="75" spans="2:9">
      <c r="B75" s="949" t="str">
        <f t="shared" ref="B75:B138" si="11">IF($G$2="", "", EDATE(B74, 1))</f>
        <v/>
      </c>
      <c r="C75" s="950">
        <v>67</v>
      </c>
      <c r="D75" s="951" t="str">
        <f t="shared" si="6"/>
        <v/>
      </c>
      <c r="E75" s="951" t="str">
        <f t="shared" si="7"/>
        <v/>
      </c>
      <c r="F75" s="952"/>
      <c r="G75" s="951" t="str">
        <f t="shared" si="8"/>
        <v/>
      </c>
      <c r="H75" s="951" t="str">
        <f t="shared" si="9"/>
        <v/>
      </c>
      <c r="I75" s="970" t="str">
        <f t="shared" si="10"/>
        <v xml:space="preserve"> </v>
      </c>
    </row>
    <row r="76" spans="2:9">
      <c r="B76" s="949" t="str">
        <f t="shared" si="11"/>
        <v/>
      </c>
      <c r="C76" s="950">
        <v>68</v>
      </c>
      <c r="D76" s="951" t="str">
        <f t="shared" si="6"/>
        <v/>
      </c>
      <c r="E76" s="951" t="str">
        <f t="shared" si="7"/>
        <v/>
      </c>
      <c r="F76" s="952"/>
      <c r="G76" s="951" t="str">
        <f t="shared" si="8"/>
        <v/>
      </c>
      <c r="H76" s="951" t="str">
        <f t="shared" si="9"/>
        <v/>
      </c>
      <c r="I76" s="970" t="str">
        <f t="shared" si="10"/>
        <v xml:space="preserve"> </v>
      </c>
    </row>
    <row r="77" spans="2:9" ht="17.25" thickBot="1">
      <c r="B77" s="955" t="str">
        <f t="shared" si="11"/>
        <v/>
      </c>
      <c r="C77" s="956">
        <v>69</v>
      </c>
      <c r="D77" s="957" t="str">
        <f t="shared" si="6"/>
        <v/>
      </c>
      <c r="E77" s="957" t="str">
        <f t="shared" si="7"/>
        <v/>
      </c>
      <c r="F77" s="958"/>
      <c r="G77" s="957" t="str">
        <f t="shared" si="8"/>
        <v/>
      </c>
      <c r="H77" s="957" t="str">
        <f t="shared" si="9"/>
        <v/>
      </c>
      <c r="I77" s="971" t="str">
        <f t="shared" si="10"/>
        <v xml:space="preserve"> </v>
      </c>
    </row>
    <row r="78" spans="2:9" ht="17.25" thickBot="1">
      <c r="B78" s="974" t="str">
        <f t="shared" si="11"/>
        <v/>
      </c>
      <c r="C78" s="975">
        <v>70</v>
      </c>
      <c r="D78" s="976" t="str">
        <f t="shared" si="6"/>
        <v/>
      </c>
      <c r="E78" s="976" t="str">
        <f t="shared" si="7"/>
        <v/>
      </c>
      <c r="F78" s="977"/>
      <c r="G78" s="976" t="str">
        <f t="shared" si="8"/>
        <v/>
      </c>
      <c r="H78" s="976" t="str">
        <f t="shared" si="9"/>
        <v/>
      </c>
      <c r="I78" s="978" t="str">
        <f t="shared" si="10"/>
        <v xml:space="preserve"> </v>
      </c>
    </row>
    <row r="79" spans="2:9">
      <c r="B79" s="965" t="str">
        <f t="shared" si="11"/>
        <v/>
      </c>
      <c r="C79" s="966">
        <v>71</v>
      </c>
      <c r="D79" s="967" t="str">
        <f t="shared" si="6"/>
        <v/>
      </c>
      <c r="E79" s="967" t="str">
        <f t="shared" si="7"/>
        <v/>
      </c>
      <c r="F79" s="968"/>
      <c r="G79" s="967" t="str">
        <f t="shared" si="8"/>
        <v/>
      </c>
      <c r="H79" s="967" t="str">
        <f t="shared" si="9"/>
        <v/>
      </c>
      <c r="I79" s="973" t="str">
        <f t="shared" si="10"/>
        <v xml:space="preserve"> </v>
      </c>
    </row>
    <row r="80" spans="2:9">
      <c r="B80" s="949" t="str">
        <f t="shared" si="11"/>
        <v/>
      </c>
      <c r="C80" s="950">
        <v>72</v>
      </c>
      <c r="D80" s="951" t="str">
        <f t="shared" si="6"/>
        <v/>
      </c>
      <c r="E80" s="951" t="str">
        <f t="shared" si="7"/>
        <v/>
      </c>
      <c r="F80" s="952"/>
      <c r="G80" s="951" t="str">
        <f t="shared" si="8"/>
        <v/>
      </c>
      <c r="H80" s="951" t="str">
        <f t="shared" si="9"/>
        <v/>
      </c>
      <c r="I80" s="970" t="str">
        <f t="shared" si="10"/>
        <v xml:space="preserve"> </v>
      </c>
    </row>
    <row r="81" spans="2:9">
      <c r="B81" s="949" t="str">
        <f t="shared" si="11"/>
        <v/>
      </c>
      <c r="C81" s="950">
        <v>73</v>
      </c>
      <c r="D81" s="951" t="str">
        <f t="shared" si="6"/>
        <v/>
      </c>
      <c r="E81" s="951" t="str">
        <f t="shared" si="7"/>
        <v/>
      </c>
      <c r="F81" s="952"/>
      <c r="G81" s="951" t="str">
        <f t="shared" si="8"/>
        <v/>
      </c>
      <c r="H81" s="951" t="str">
        <f t="shared" si="9"/>
        <v/>
      </c>
      <c r="I81" s="970" t="str">
        <f t="shared" si="10"/>
        <v xml:space="preserve"> </v>
      </c>
    </row>
    <row r="82" spans="2:9" ht="17.25" thickBot="1">
      <c r="B82" s="955" t="str">
        <f t="shared" si="11"/>
        <v/>
      </c>
      <c r="C82" s="956">
        <v>74</v>
      </c>
      <c r="D82" s="957" t="str">
        <f t="shared" si="6"/>
        <v/>
      </c>
      <c r="E82" s="957" t="str">
        <f t="shared" si="7"/>
        <v/>
      </c>
      <c r="F82" s="958"/>
      <c r="G82" s="957" t="str">
        <f t="shared" si="8"/>
        <v/>
      </c>
      <c r="H82" s="957" t="str">
        <f t="shared" si="9"/>
        <v/>
      </c>
      <c r="I82" s="971" t="str">
        <f t="shared" si="10"/>
        <v xml:space="preserve"> </v>
      </c>
    </row>
    <row r="83" spans="2:9" ht="17.25" thickBot="1">
      <c r="B83" s="974" t="str">
        <f t="shared" si="11"/>
        <v/>
      </c>
      <c r="C83" s="975">
        <v>75</v>
      </c>
      <c r="D83" s="976" t="str">
        <f t="shared" si="6"/>
        <v/>
      </c>
      <c r="E83" s="976" t="str">
        <f t="shared" si="7"/>
        <v/>
      </c>
      <c r="F83" s="977"/>
      <c r="G83" s="976" t="str">
        <f t="shared" si="8"/>
        <v/>
      </c>
      <c r="H83" s="976" t="str">
        <f t="shared" si="9"/>
        <v/>
      </c>
      <c r="I83" s="978" t="str">
        <f t="shared" si="10"/>
        <v xml:space="preserve"> </v>
      </c>
    </row>
    <row r="84" spans="2:9">
      <c r="B84" s="965" t="str">
        <f t="shared" si="11"/>
        <v/>
      </c>
      <c r="C84" s="966">
        <v>76</v>
      </c>
      <c r="D84" s="967" t="str">
        <f t="shared" si="6"/>
        <v/>
      </c>
      <c r="E84" s="967" t="str">
        <f t="shared" si="7"/>
        <v/>
      </c>
      <c r="F84" s="968"/>
      <c r="G84" s="967" t="str">
        <f t="shared" si="8"/>
        <v/>
      </c>
      <c r="H84" s="967" t="str">
        <f t="shared" si="9"/>
        <v/>
      </c>
      <c r="I84" s="973" t="str">
        <f t="shared" si="10"/>
        <v xml:space="preserve"> </v>
      </c>
    </row>
    <row r="85" spans="2:9">
      <c r="B85" s="949" t="str">
        <f t="shared" si="11"/>
        <v/>
      </c>
      <c r="C85" s="950">
        <v>77</v>
      </c>
      <c r="D85" s="951" t="str">
        <f t="shared" si="6"/>
        <v/>
      </c>
      <c r="E85" s="951" t="str">
        <f t="shared" si="7"/>
        <v/>
      </c>
      <c r="F85" s="952"/>
      <c r="G85" s="951" t="str">
        <f t="shared" si="8"/>
        <v/>
      </c>
      <c r="H85" s="951" t="str">
        <f t="shared" si="9"/>
        <v/>
      </c>
      <c r="I85" s="970" t="str">
        <f t="shared" si="10"/>
        <v xml:space="preserve"> </v>
      </c>
    </row>
    <row r="86" spans="2:9">
      <c r="B86" s="949" t="str">
        <f t="shared" si="11"/>
        <v/>
      </c>
      <c r="C86" s="950">
        <v>78</v>
      </c>
      <c r="D86" s="951" t="str">
        <f t="shared" si="6"/>
        <v/>
      </c>
      <c r="E86" s="951" t="str">
        <f t="shared" si="7"/>
        <v/>
      </c>
      <c r="F86" s="952"/>
      <c r="G86" s="951" t="str">
        <f t="shared" si="8"/>
        <v/>
      </c>
      <c r="H86" s="951" t="str">
        <f t="shared" si="9"/>
        <v/>
      </c>
      <c r="I86" s="970" t="str">
        <f t="shared" si="10"/>
        <v xml:space="preserve"> </v>
      </c>
    </row>
    <row r="87" spans="2:9" ht="17.25" thickBot="1">
      <c r="B87" s="955" t="str">
        <f t="shared" si="11"/>
        <v/>
      </c>
      <c r="C87" s="956">
        <v>79</v>
      </c>
      <c r="D87" s="957" t="str">
        <f t="shared" si="6"/>
        <v/>
      </c>
      <c r="E87" s="957" t="str">
        <f t="shared" si="7"/>
        <v/>
      </c>
      <c r="F87" s="958"/>
      <c r="G87" s="957" t="str">
        <f t="shared" si="8"/>
        <v/>
      </c>
      <c r="H87" s="957" t="str">
        <f t="shared" si="9"/>
        <v/>
      </c>
      <c r="I87" s="971" t="str">
        <f t="shared" si="10"/>
        <v xml:space="preserve"> </v>
      </c>
    </row>
    <row r="88" spans="2:9" ht="17.25" thickBot="1">
      <c r="B88" s="974" t="str">
        <f t="shared" si="11"/>
        <v/>
      </c>
      <c r="C88" s="975">
        <v>80</v>
      </c>
      <c r="D88" s="976" t="str">
        <f t="shared" si="6"/>
        <v/>
      </c>
      <c r="E88" s="976" t="str">
        <f t="shared" si="7"/>
        <v/>
      </c>
      <c r="F88" s="977"/>
      <c r="G88" s="976" t="str">
        <f t="shared" si="8"/>
        <v/>
      </c>
      <c r="H88" s="976" t="str">
        <f t="shared" si="9"/>
        <v/>
      </c>
      <c r="I88" s="978" t="str">
        <f t="shared" si="10"/>
        <v xml:space="preserve"> </v>
      </c>
    </row>
    <row r="89" spans="2:9">
      <c r="B89" s="965" t="str">
        <f t="shared" si="11"/>
        <v/>
      </c>
      <c r="C89" s="966">
        <v>81</v>
      </c>
      <c r="D89" s="967" t="str">
        <f t="shared" si="6"/>
        <v/>
      </c>
      <c r="E89" s="967" t="str">
        <f t="shared" si="7"/>
        <v/>
      </c>
      <c r="F89" s="968"/>
      <c r="G89" s="967" t="str">
        <f t="shared" si="8"/>
        <v/>
      </c>
      <c r="H89" s="967" t="str">
        <f t="shared" si="9"/>
        <v/>
      </c>
      <c r="I89" s="973" t="str">
        <f t="shared" si="10"/>
        <v xml:space="preserve"> </v>
      </c>
    </row>
    <row r="90" spans="2:9">
      <c r="B90" s="949" t="str">
        <f t="shared" si="11"/>
        <v/>
      </c>
      <c r="C90" s="950">
        <v>82</v>
      </c>
      <c r="D90" s="951" t="str">
        <f t="shared" si="6"/>
        <v/>
      </c>
      <c r="E90" s="951" t="str">
        <f t="shared" si="7"/>
        <v/>
      </c>
      <c r="F90" s="952"/>
      <c r="G90" s="951" t="str">
        <f t="shared" si="8"/>
        <v/>
      </c>
      <c r="H90" s="951" t="str">
        <f t="shared" si="9"/>
        <v/>
      </c>
      <c r="I90" s="970" t="str">
        <f t="shared" si="10"/>
        <v xml:space="preserve"> </v>
      </c>
    </row>
    <row r="91" spans="2:9">
      <c r="B91" s="949" t="str">
        <f t="shared" si="11"/>
        <v/>
      </c>
      <c r="C91" s="950">
        <v>83</v>
      </c>
      <c r="D91" s="951" t="str">
        <f t="shared" si="6"/>
        <v/>
      </c>
      <c r="E91" s="951" t="str">
        <f t="shared" si="7"/>
        <v/>
      </c>
      <c r="F91" s="952"/>
      <c r="G91" s="951" t="str">
        <f t="shared" si="8"/>
        <v/>
      </c>
      <c r="H91" s="951" t="str">
        <f t="shared" si="9"/>
        <v/>
      </c>
      <c r="I91" s="970" t="str">
        <f t="shared" si="10"/>
        <v xml:space="preserve"> </v>
      </c>
    </row>
    <row r="92" spans="2:9" ht="17.25" thickBot="1">
      <c r="B92" s="955" t="str">
        <f t="shared" si="11"/>
        <v/>
      </c>
      <c r="C92" s="956">
        <v>84</v>
      </c>
      <c r="D92" s="957" t="str">
        <f t="shared" si="6"/>
        <v/>
      </c>
      <c r="E92" s="957" t="str">
        <f t="shared" si="7"/>
        <v/>
      </c>
      <c r="F92" s="958"/>
      <c r="G92" s="957" t="str">
        <f t="shared" si="8"/>
        <v/>
      </c>
      <c r="H92" s="957" t="str">
        <f t="shared" si="9"/>
        <v/>
      </c>
      <c r="I92" s="971" t="str">
        <f t="shared" si="10"/>
        <v xml:space="preserve"> </v>
      </c>
    </row>
    <row r="93" spans="2:9" ht="17.25" thickBot="1">
      <c r="B93" s="974" t="str">
        <f t="shared" si="11"/>
        <v/>
      </c>
      <c r="C93" s="975">
        <v>85</v>
      </c>
      <c r="D93" s="976" t="str">
        <f t="shared" si="6"/>
        <v/>
      </c>
      <c r="E93" s="976" t="str">
        <f t="shared" si="7"/>
        <v/>
      </c>
      <c r="F93" s="977"/>
      <c r="G93" s="976" t="str">
        <f t="shared" si="8"/>
        <v/>
      </c>
      <c r="H93" s="976" t="str">
        <f t="shared" si="9"/>
        <v/>
      </c>
      <c r="I93" s="978" t="str">
        <f t="shared" si="10"/>
        <v xml:space="preserve"> </v>
      </c>
    </row>
    <row r="94" spans="2:9">
      <c r="B94" s="965" t="str">
        <f t="shared" si="11"/>
        <v/>
      </c>
      <c r="C94" s="966">
        <v>86</v>
      </c>
      <c r="D94" s="967" t="str">
        <f t="shared" si="6"/>
        <v/>
      </c>
      <c r="E94" s="967" t="str">
        <f t="shared" si="7"/>
        <v/>
      </c>
      <c r="F94" s="968"/>
      <c r="G94" s="967" t="str">
        <f t="shared" si="8"/>
        <v/>
      </c>
      <c r="H94" s="967" t="str">
        <f t="shared" si="9"/>
        <v/>
      </c>
      <c r="I94" s="973" t="str">
        <f t="shared" si="10"/>
        <v xml:space="preserve"> </v>
      </c>
    </row>
    <row r="95" spans="2:9">
      <c r="B95" s="949" t="str">
        <f t="shared" si="11"/>
        <v/>
      </c>
      <c r="C95" s="950">
        <v>87</v>
      </c>
      <c r="D95" s="951" t="str">
        <f t="shared" si="6"/>
        <v/>
      </c>
      <c r="E95" s="951" t="str">
        <f t="shared" si="7"/>
        <v/>
      </c>
      <c r="F95" s="952"/>
      <c r="G95" s="951" t="str">
        <f t="shared" si="8"/>
        <v/>
      </c>
      <c r="H95" s="951" t="str">
        <f t="shared" si="9"/>
        <v/>
      </c>
      <c r="I95" s="970" t="str">
        <f t="shared" si="10"/>
        <v xml:space="preserve"> </v>
      </c>
    </row>
    <row r="96" spans="2:9">
      <c r="B96" s="949" t="str">
        <f t="shared" si="11"/>
        <v/>
      </c>
      <c r="C96" s="950">
        <v>88</v>
      </c>
      <c r="D96" s="951" t="str">
        <f t="shared" si="6"/>
        <v/>
      </c>
      <c r="E96" s="951" t="str">
        <f t="shared" si="7"/>
        <v/>
      </c>
      <c r="F96" s="952"/>
      <c r="G96" s="951" t="str">
        <f t="shared" si="8"/>
        <v/>
      </c>
      <c r="H96" s="951" t="str">
        <f t="shared" si="9"/>
        <v/>
      </c>
      <c r="I96" s="970" t="str">
        <f t="shared" si="10"/>
        <v xml:space="preserve"> </v>
      </c>
    </row>
    <row r="97" spans="2:9" ht="17.25" thickBot="1">
      <c r="B97" s="955" t="str">
        <f t="shared" si="11"/>
        <v/>
      </c>
      <c r="C97" s="956">
        <v>89</v>
      </c>
      <c r="D97" s="957" t="str">
        <f t="shared" si="6"/>
        <v/>
      </c>
      <c r="E97" s="957" t="str">
        <f t="shared" si="7"/>
        <v/>
      </c>
      <c r="F97" s="958"/>
      <c r="G97" s="957" t="str">
        <f t="shared" si="8"/>
        <v/>
      </c>
      <c r="H97" s="957" t="str">
        <f t="shared" si="9"/>
        <v/>
      </c>
      <c r="I97" s="971" t="str">
        <f t="shared" si="10"/>
        <v xml:space="preserve"> </v>
      </c>
    </row>
    <row r="98" spans="2:9" ht="17.25" thickBot="1">
      <c r="B98" s="974" t="str">
        <f t="shared" si="11"/>
        <v/>
      </c>
      <c r="C98" s="975">
        <v>90</v>
      </c>
      <c r="D98" s="976" t="str">
        <f t="shared" si="6"/>
        <v/>
      </c>
      <c r="E98" s="976" t="str">
        <f t="shared" si="7"/>
        <v/>
      </c>
      <c r="F98" s="977"/>
      <c r="G98" s="976" t="str">
        <f t="shared" si="8"/>
        <v/>
      </c>
      <c r="H98" s="976" t="str">
        <f t="shared" si="9"/>
        <v/>
      </c>
      <c r="I98" s="978" t="str">
        <f t="shared" si="10"/>
        <v xml:space="preserve"> </v>
      </c>
    </row>
    <row r="99" spans="2:9">
      <c r="B99" s="965" t="str">
        <f t="shared" si="11"/>
        <v/>
      </c>
      <c r="C99" s="966">
        <v>91</v>
      </c>
      <c r="D99" s="967" t="str">
        <f t="shared" si="6"/>
        <v/>
      </c>
      <c r="E99" s="967" t="str">
        <f t="shared" si="7"/>
        <v/>
      </c>
      <c r="F99" s="968"/>
      <c r="G99" s="967" t="str">
        <f t="shared" si="8"/>
        <v/>
      </c>
      <c r="H99" s="967" t="str">
        <f t="shared" si="9"/>
        <v/>
      </c>
      <c r="I99" s="973" t="str">
        <f t="shared" si="10"/>
        <v xml:space="preserve"> </v>
      </c>
    </row>
    <row r="100" spans="2:9">
      <c r="B100" s="949" t="str">
        <f t="shared" si="11"/>
        <v/>
      </c>
      <c r="C100" s="950">
        <v>92</v>
      </c>
      <c r="D100" s="951" t="str">
        <f t="shared" si="6"/>
        <v/>
      </c>
      <c r="E100" s="951" t="str">
        <f t="shared" si="7"/>
        <v/>
      </c>
      <c r="F100" s="952"/>
      <c r="G100" s="951" t="str">
        <f t="shared" si="8"/>
        <v/>
      </c>
      <c r="H100" s="951" t="str">
        <f t="shared" si="9"/>
        <v/>
      </c>
      <c r="I100" s="970" t="str">
        <f t="shared" si="10"/>
        <v xml:space="preserve"> </v>
      </c>
    </row>
    <row r="101" spans="2:9">
      <c r="B101" s="949" t="str">
        <f t="shared" si="11"/>
        <v/>
      </c>
      <c r="C101" s="950">
        <v>93</v>
      </c>
      <c r="D101" s="951" t="str">
        <f t="shared" si="6"/>
        <v/>
      </c>
      <c r="E101" s="951" t="str">
        <f t="shared" si="7"/>
        <v/>
      </c>
      <c r="F101" s="952"/>
      <c r="G101" s="951" t="str">
        <f t="shared" si="8"/>
        <v/>
      </c>
      <c r="H101" s="951" t="str">
        <f t="shared" si="9"/>
        <v/>
      </c>
      <c r="I101" s="970" t="str">
        <f t="shared" si="10"/>
        <v xml:space="preserve"> </v>
      </c>
    </row>
    <row r="102" spans="2:9" ht="17.25" thickBot="1">
      <c r="B102" s="955" t="str">
        <f t="shared" si="11"/>
        <v/>
      </c>
      <c r="C102" s="956">
        <v>94</v>
      </c>
      <c r="D102" s="957" t="str">
        <f t="shared" si="6"/>
        <v/>
      </c>
      <c r="E102" s="957" t="str">
        <f t="shared" si="7"/>
        <v/>
      </c>
      <c r="F102" s="958"/>
      <c r="G102" s="957" t="str">
        <f t="shared" si="8"/>
        <v/>
      </c>
      <c r="H102" s="957" t="str">
        <f t="shared" si="9"/>
        <v/>
      </c>
      <c r="I102" s="971" t="str">
        <f t="shared" si="10"/>
        <v xml:space="preserve"> </v>
      </c>
    </row>
    <row r="103" spans="2:9" ht="17.25" thickBot="1">
      <c r="B103" s="974" t="str">
        <f t="shared" si="11"/>
        <v/>
      </c>
      <c r="C103" s="975">
        <v>95</v>
      </c>
      <c r="D103" s="976" t="str">
        <f t="shared" si="6"/>
        <v/>
      </c>
      <c r="E103" s="976" t="str">
        <f t="shared" si="7"/>
        <v/>
      </c>
      <c r="F103" s="977"/>
      <c r="G103" s="976" t="str">
        <f t="shared" si="8"/>
        <v/>
      </c>
      <c r="H103" s="976" t="str">
        <f t="shared" si="9"/>
        <v/>
      </c>
      <c r="I103" s="978" t="str">
        <f t="shared" si="10"/>
        <v xml:space="preserve"> </v>
      </c>
    </row>
    <row r="104" spans="2:9">
      <c r="B104" s="965" t="str">
        <f t="shared" si="11"/>
        <v/>
      </c>
      <c r="C104" s="966">
        <v>96</v>
      </c>
      <c r="D104" s="967" t="str">
        <f t="shared" si="6"/>
        <v/>
      </c>
      <c r="E104" s="967" t="str">
        <f t="shared" si="7"/>
        <v/>
      </c>
      <c r="F104" s="968"/>
      <c r="G104" s="967" t="str">
        <f t="shared" si="8"/>
        <v/>
      </c>
      <c r="H104" s="967" t="str">
        <f t="shared" si="9"/>
        <v/>
      </c>
      <c r="I104" s="973" t="str">
        <f t="shared" si="10"/>
        <v xml:space="preserve"> </v>
      </c>
    </row>
    <row r="105" spans="2:9">
      <c r="B105" s="949" t="str">
        <f t="shared" si="11"/>
        <v/>
      </c>
      <c r="C105" s="950">
        <v>97</v>
      </c>
      <c r="D105" s="951" t="str">
        <f t="shared" si="6"/>
        <v/>
      </c>
      <c r="E105" s="951" t="str">
        <f t="shared" si="7"/>
        <v/>
      </c>
      <c r="F105" s="952"/>
      <c r="G105" s="951" t="str">
        <f t="shared" si="8"/>
        <v/>
      </c>
      <c r="H105" s="951" t="str">
        <f t="shared" si="9"/>
        <v/>
      </c>
      <c r="I105" s="970" t="str">
        <f t="shared" si="10"/>
        <v xml:space="preserve"> </v>
      </c>
    </row>
    <row r="106" spans="2:9">
      <c r="B106" s="949" t="str">
        <f t="shared" si="11"/>
        <v/>
      </c>
      <c r="C106" s="950">
        <v>98</v>
      </c>
      <c r="D106" s="951" t="str">
        <f t="shared" si="6"/>
        <v/>
      </c>
      <c r="E106" s="951" t="str">
        <f t="shared" si="7"/>
        <v/>
      </c>
      <c r="F106" s="952"/>
      <c r="G106" s="951" t="str">
        <f t="shared" si="8"/>
        <v/>
      </c>
      <c r="H106" s="951" t="str">
        <f t="shared" si="9"/>
        <v/>
      </c>
      <c r="I106" s="970" t="str">
        <f t="shared" si="10"/>
        <v xml:space="preserve"> </v>
      </c>
    </row>
    <row r="107" spans="2:9" ht="17.25" thickBot="1">
      <c r="B107" s="955" t="str">
        <f t="shared" si="11"/>
        <v/>
      </c>
      <c r="C107" s="956">
        <v>99</v>
      </c>
      <c r="D107" s="957" t="str">
        <f t="shared" si="6"/>
        <v/>
      </c>
      <c r="E107" s="957" t="str">
        <f t="shared" si="7"/>
        <v/>
      </c>
      <c r="F107" s="958"/>
      <c r="G107" s="957" t="str">
        <f t="shared" si="8"/>
        <v/>
      </c>
      <c r="H107" s="957" t="str">
        <f t="shared" si="9"/>
        <v/>
      </c>
      <c r="I107" s="971" t="str">
        <f t="shared" si="10"/>
        <v xml:space="preserve"> </v>
      </c>
    </row>
    <row r="108" spans="2:9" ht="17.25" thickBot="1">
      <c r="B108" s="974" t="str">
        <f t="shared" si="11"/>
        <v/>
      </c>
      <c r="C108" s="975">
        <v>100</v>
      </c>
      <c r="D108" s="976" t="str">
        <f t="shared" si="6"/>
        <v/>
      </c>
      <c r="E108" s="976" t="str">
        <f t="shared" si="7"/>
        <v/>
      </c>
      <c r="F108" s="977"/>
      <c r="G108" s="976" t="str">
        <f t="shared" si="8"/>
        <v/>
      </c>
      <c r="H108" s="976" t="str">
        <f t="shared" si="9"/>
        <v/>
      </c>
      <c r="I108" s="978" t="str">
        <f t="shared" si="10"/>
        <v xml:space="preserve"> </v>
      </c>
    </row>
    <row r="109" spans="2:9">
      <c r="B109" s="965" t="str">
        <f t="shared" si="11"/>
        <v/>
      </c>
      <c r="C109" s="966">
        <v>101</v>
      </c>
      <c r="D109" s="967" t="str">
        <f t="shared" si="6"/>
        <v/>
      </c>
      <c r="E109" s="967" t="str">
        <f t="shared" si="7"/>
        <v/>
      </c>
      <c r="F109" s="968"/>
      <c r="G109" s="967" t="str">
        <f t="shared" si="8"/>
        <v/>
      </c>
      <c r="H109" s="967" t="str">
        <f t="shared" si="9"/>
        <v/>
      </c>
      <c r="I109" s="973" t="str">
        <f t="shared" si="10"/>
        <v xml:space="preserve"> </v>
      </c>
    </row>
    <row r="110" spans="2:9">
      <c r="B110" s="949" t="str">
        <f t="shared" si="11"/>
        <v/>
      </c>
      <c r="C110" s="950">
        <v>102</v>
      </c>
      <c r="D110" s="951" t="str">
        <f t="shared" si="6"/>
        <v/>
      </c>
      <c r="E110" s="951" t="str">
        <f t="shared" si="7"/>
        <v/>
      </c>
      <c r="F110" s="952"/>
      <c r="G110" s="951" t="str">
        <f t="shared" si="8"/>
        <v/>
      </c>
      <c r="H110" s="951" t="str">
        <f t="shared" si="9"/>
        <v/>
      </c>
      <c r="I110" s="970" t="str">
        <f t="shared" si="10"/>
        <v xml:space="preserve"> </v>
      </c>
    </row>
    <row r="111" spans="2:9">
      <c r="B111" s="949" t="str">
        <f t="shared" si="11"/>
        <v/>
      </c>
      <c r="C111" s="950">
        <v>103</v>
      </c>
      <c r="D111" s="951" t="str">
        <f t="shared" si="6"/>
        <v/>
      </c>
      <c r="E111" s="951" t="str">
        <f t="shared" si="7"/>
        <v/>
      </c>
      <c r="F111" s="952"/>
      <c r="G111" s="951" t="str">
        <f t="shared" si="8"/>
        <v/>
      </c>
      <c r="H111" s="951" t="str">
        <f t="shared" si="9"/>
        <v/>
      </c>
      <c r="I111" s="970" t="str">
        <f t="shared" si="10"/>
        <v xml:space="preserve"> </v>
      </c>
    </row>
    <row r="112" spans="2:9">
      <c r="B112" s="949" t="str">
        <f t="shared" si="11"/>
        <v/>
      </c>
      <c r="C112" s="950">
        <v>104</v>
      </c>
      <c r="D112" s="951" t="str">
        <f t="shared" si="6"/>
        <v/>
      </c>
      <c r="E112" s="951" t="str">
        <f t="shared" si="7"/>
        <v/>
      </c>
      <c r="F112" s="952"/>
      <c r="G112" s="951" t="str">
        <f t="shared" si="8"/>
        <v/>
      </c>
      <c r="H112" s="951" t="str">
        <f t="shared" si="9"/>
        <v/>
      </c>
      <c r="I112" s="970" t="str">
        <f t="shared" si="10"/>
        <v xml:space="preserve"> </v>
      </c>
    </row>
    <row r="113" spans="2:9">
      <c r="B113" s="949" t="str">
        <f t="shared" si="11"/>
        <v/>
      </c>
      <c r="C113" s="950">
        <v>105</v>
      </c>
      <c r="D113" s="951" t="str">
        <f t="shared" si="6"/>
        <v/>
      </c>
      <c r="E113" s="951" t="str">
        <f t="shared" si="7"/>
        <v/>
      </c>
      <c r="F113" s="952"/>
      <c r="G113" s="951" t="str">
        <f t="shared" si="8"/>
        <v/>
      </c>
      <c r="H113" s="951" t="str">
        <f t="shared" si="9"/>
        <v/>
      </c>
      <c r="I113" s="970" t="str">
        <f t="shared" si="10"/>
        <v xml:space="preserve"> </v>
      </c>
    </row>
    <row r="114" spans="2:9">
      <c r="B114" s="949" t="str">
        <f t="shared" si="11"/>
        <v/>
      </c>
      <c r="C114" s="950">
        <v>106</v>
      </c>
      <c r="D114" s="951" t="str">
        <f t="shared" si="6"/>
        <v/>
      </c>
      <c r="E114" s="951" t="str">
        <f t="shared" si="7"/>
        <v/>
      </c>
      <c r="F114" s="952"/>
      <c r="G114" s="951" t="str">
        <f t="shared" si="8"/>
        <v/>
      </c>
      <c r="H114" s="951" t="str">
        <f t="shared" si="9"/>
        <v/>
      </c>
      <c r="I114" s="970" t="str">
        <f t="shared" si="10"/>
        <v xml:space="preserve"> </v>
      </c>
    </row>
    <row r="115" spans="2:9">
      <c r="B115" s="949" t="str">
        <f t="shared" si="11"/>
        <v/>
      </c>
      <c r="C115" s="950">
        <v>107</v>
      </c>
      <c r="D115" s="951" t="str">
        <f t="shared" si="6"/>
        <v/>
      </c>
      <c r="E115" s="951" t="str">
        <f t="shared" si="7"/>
        <v/>
      </c>
      <c r="F115" s="952"/>
      <c r="G115" s="951" t="str">
        <f t="shared" si="8"/>
        <v/>
      </c>
      <c r="H115" s="951" t="str">
        <f t="shared" si="9"/>
        <v/>
      </c>
      <c r="I115" s="970" t="str">
        <f t="shared" si="10"/>
        <v xml:space="preserve"> </v>
      </c>
    </row>
    <row r="116" spans="2:9">
      <c r="B116" s="949" t="str">
        <f t="shared" si="11"/>
        <v/>
      </c>
      <c r="C116" s="950">
        <v>108</v>
      </c>
      <c r="D116" s="951" t="str">
        <f t="shared" si="6"/>
        <v/>
      </c>
      <c r="E116" s="951" t="str">
        <f t="shared" si="7"/>
        <v/>
      </c>
      <c r="F116" s="952"/>
      <c r="G116" s="951" t="str">
        <f t="shared" si="8"/>
        <v/>
      </c>
      <c r="H116" s="951" t="str">
        <f t="shared" si="9"/>
        <v/>
      </c>
      <c r="I116" s="970" t="str">
        <f t="shared" si="10"/>
        <v xml:space="preserve"> </v>
      </c>
    </row>
    <row r="117" spans="2:9">
      <c r="B117" s="949" t="str">
        <f t="shared" si="11"/>
        <v/>
      </c>
      <c r="C117" s="950">
        <v>109</v>
      </c>
      <c r="D117" s="951" t="str">
        <f t="shared" si="6"/>
        <v/>
      </c>
      <c r="E117" s="951" t="str">
        <f t="shared" si="7"/>
        <v/>
      </c>
      <c r="F117" s="952"/>
      <c r="G117" s="951" t="str">
        <f t="shared" si="8"/>
        <v/>
      </c>
      <c r="H117" s="951" t="str">
        <f t="shared" si="9"/>
        <v/>
      </c>
      <c r="I117" s="970" t="str">
        <f t="shared" si="10"/>
        <v xml:space="preserve"> </v>
      </c>
    </row>
    <row r="118" spans="2:9">
      <c r="B118" s="979" t="str">
        <f t="shared" si="11"/>
        <v/>
      </c>
      <c r="C118" s="980">
        <v>110</v>
      </c>
      <c r="D118" s="981" t="str">
        <f t="shared" si="6"/>
        <v/>
      </c>
      <c r="E118" s="981" t="str">
        <f t="shared" si="7"/>
        <v/>
      </c>
      <c r="F118" s="982"/>
      <c r="G118" s="981" t="str">
        <f t="shared" si="8"/>
        <v/>
      </c>
      <c r="H118" s="981" t="str">
        <f t="shared" si="9"/>
        <v/>
      </c>
      <c r="I118" s="983" t="str">
        <f t="shared" si="10"/>
        <v xml:space="preserve"> </v>
      </c>
    </row>
    <row r="119" spans="2:9">
      <c r="B119" s="949" t="str">
        <f t="shared" si="11"/>
        <v/>
      </c>
      <c r="C119" s="950">
        <v>111</v>
      </c>
      <c r="D119" s="951" t="str">
        <f t="shared" si="6"/>
        <v/>
      </c>
      <c r="E119" s="951" t="str">
        <f t="shared" si="7"/>
        <v/>
      </c>
      <c r="F119" s="952"/>
      <c r="G119" s="951" t="str">
        <f t="shared" si="8"/>
        <v/>
      </c>
      <c r="H119" s="951" t="str">
        <f t="shared" si="9"/>
        <v/>
      </c>
      <c r="I119" s="970" t="str">
        <f t="shared" si="10"/>
        <v xml:space="preserve"> </v>
      </c>
    </row>
    <row r="120" spans="2:9">
      <c r="B120" s="949" t="str">
        <f t="shared" si="11"/>
        <v/>
      </c>
      <c r="C120" s="950">
        <v>112</v>
      </c>
      <c r="D120" s="951" t="str">
        <f t="shared" si="6"/>
        <v/>
      </c>
      <c r="E120" s="951" t="str">
        <f t="shared" si="7"/>
        <v/>
      </c>
      <c r="F120" s="952"/>
      <c r="G120" s="951" t="str">
        <f t="shared" si="8"/>
        <v/>
      </c>
      <c r="H120" s="951" t="str">
        <f t="shared" si="9"/>
        <v/>
      </c>
      <c r="I120" s="970" t="str">
        <f t="shared" si="10"/>
        <v xml:space="preserve"> </v>
      </c>
    </row>
    <row r="121" spans="2:9">
      <c r="B121" s="949" t="str">
        <f t="shared" si="11"/>
        <v/>
      </c>
      <c r="C121" s="950">
        <v>113</v>
      </c>
      <c r="D121" s="951" t="str">
        <f t="shared" si="6"/>
        <v/>
      </c>
      <c r="E121" s="951" t="str">
        <f t="shared" si="7"/>
        <v/>
      </c>
      <c r="F121" s="952"/>
      <c r="G121" s="951" t="str">
        <f t="shared" si="8"/>
        <v/>
      </c>
      <c r="H121" s="951" t="str">
        <f t="shared" si="9"/>
        <v/>
      </c>
      <c r="I121" s="970" t="str">
        <f t="shared" si="10"/>
        <v xml:space="preserve"> </v>
      </c>
    </row>
    <row r="122" spans="2:9">
      <c r="B122" s="949" t="str">
        <f t="shared" si="11"/>
        <v/>
      </c>
      <c r="C122" s="950">
        <v>114</v>
      </c>
      <c r="D122" s="951" t="str">
        <f t="shared" si="6"/>
        <v/>
      </c>
      <c r="E122" s="951" t="str">
        <f t="shared" si="7"/>
        <v/>
      </c>
      <c r="F122" s="952"/>
      <c r="G122" s="951" t="str">
        <f t="shared" si="8"/>
        <v/>
      </c>
      <c r="H122" s="951" t="str">
        <f t="shared" si="9"/>
        <v/>
      </c>
      <c r="I122" s="970" t="str">
        <f t="shared" si="10"/>
        <v xml:space="preserve"> </v>
      </c>
    </row>
    <row r="123" spans="2:9">
      <c r="B123" s="949" t="str">
        <f t="shared" si="11"/>
        <v/>
      </c>
      <c r="C123" s="950">
        <v>115</v>
      </c>
      <c r="D123" s="951" t="str">
        <f t="shared" si="6"/>
        <v/>
      </c>
      <c r="E123" s="951" t="str">
        <f t="shared" si="7"/>
        <v/>
      </c>
      <c r="F123" s="952"/>
      <c r="G123" s="951" t="str">
        <f t="shared" si="8"/>
        <v/>
      </c>
      <c r="H123" s="951" t="str">
        <f t="shared" si="9"/>
        <v/>
      </c>
      <c r="I123" s="970" t="str">
        <f t="shared" si="10"/>
        <v xml:space="preserve"> </v>
      </c>
    </row>
    <row r="124" spans="2:9">
      <c r="B124" s="949" t="str">
        <f t="shared" si="11"/>
        <v/>
      </c>
      <c r="C124" s="950">
        <v>116</v>
      </c>
      <c r="D124" s="951" t="str">
        <f t="shared" si="6"/>
        <v/>
      </c>
      <c r="E124" s="951" t="str">
        <f t="shared" si="7"/>
        <v/>
      </c>
      <c r="F124" s="952"/>
      <c r="G124" s="951" t="str">
        <f t="shared" si="8"/>
        <v/>
      </c>
      <c r="H124" s="951" t="str">
        <f t="shared" si="9"/>
        <v/>
      </c>
      <c r="I124" s="970" t="str">
        <f t="shared" si="10"/>
        <v xml:space="preserve"> </v>
      </c>
    </row>
    <row r="125" spans="2:9">
      <c r="B125" s="949" t="str">
        <f t="shared" si="11"/>
        <v/>
      </c>
      <c r="C125" s="950">
        <v>117</v>
      </c>
      <c r="D125" s="951" t="str">
        <f t="shared" si="6"/>
        <v/>
      </c>
      <c r="E125" s="951" t="str">
        <f t="shared" si="7"/>
        <v/>
      </c>
      <c r="F125" s="952"/>
      <c r="G125" s="951" t="str">
        <f t="shared" si="8"/>
        <v/>
      </c>
      <c r="H125" s="951" t="str">
        <f t="shared" si="9"/>
        <v/>
      </c>
      <c r="I125" s="970" t="str">
        <f t="shared" si="10"/>
        <v xml:space="preserve"> </v>
      </c>
    </row>
    <row r="126" spans="2:9">
      <c r="B126" s="949" t="str">
        <f t="shared" si="11"/>
        <v/>
      </c>
      <c r="C126" s="950">
        <v>118</v>
      </c>
      <c r="D126" s="951" t="str">
        <f t="shared" si="6"/>
        <v/>
      </c>
      <c r="E126" s="951" t="str">
        <f t="shared" si="7"/>
        <v/>
      </c>
      <c r="F126" s="952"/>
      <c r="G126" s="951" t="str">
        <f t="shared" si="8"/>
        <v/>
      </c>
      <c r="H126" s="951" t="str">
        <f t="shared" si="9"/>
        <v/>
      </c>
      <c r="I126" s="970" t="str">
        <f t="shared" si="10"/>
        <v xml:space="preserve"> </v>
      </c>
    </row>
    <row r="127" spans="2:9">
      <c r="B127" s="949" t="str">
        <f t="shared" si="11"/>
        <v/>
      </c>
      <c r="C127" s="950">
        <v>119</v>
      </c>
      <c r="D127" s="951" t="str">
        <f t="shared" si="6"/>
        <v/>
      </c>
      <c r="E127" s="951" t="str">
        <f t="shared" si="7"/>
        <v/>
      </c>
      <c r="F127" s="952"/>
      <c r="G127" s="951" t="str">
        <f t="shared" si="8"/>
        <v/>
      </c>
      <c r="H127" s="951" t="str">
        <f t="shared" si="9"/>
        <v/>
      </c>
      <c r="I127" s="970" t="str">
        <f t="shared" si="10"/>
        <v xml:space="preserve"> </v>
      </c>
    </row>
    <row r="128" spans="2:9">
      <c r="B128" s="979" t="str">
        <f t="shared" si="11"/>
        <v/>
      </c>
      <c r="C128" s="980">
        <v>120</v>
      </c>
      <c r="D128" s="981" t="str">
        <f t="shared" si="6"/>
        <v/>
      </c>
      <c r="E128" s="981" t="str">
        <f t="shared" si="7"/>
        <v/>
      </c>
      <c r="F128" s="982"/>
      <c r="G128" s="981" t="str">
        <f t="shared" si="8"/>
        <v/>
      </c>
      <c r="H128" s="981" t="str">
        <f t="shared" si="9"/>
        <v/>
      </c>
      <c r="I128" s="983" t="str">
        <f t="shared" si="10"/>
        <v xml:space="preserve"> </v>
      </c>
    </row>
    <row r="129" spans="2:9">
      <c r="B129" s="949" t="str">
        <f t="shared" si="11"/>
        <v/>
      </c>
      <c r="C129" s="950">
        <v>121</v>
      </c>
      <c r="D129" s="951" t="str">
        <f t="shared" si="6"/>
        <v/>
      </c>
      <c r="E129" s="951" t="str">
        <f t="shared" si="7"/>
        <v/>
      </c>
      <c r="F129" s="952"/>
      <c r="G129" s="951" t="str">
        <f t="shared" si="8"/>
        <v/>
      </c>
      <c r="H129" s="951" t="str">
        <f t="shared" si="9"/>
        <v/>
      </c>
      <c r="I129" s="970" t="str">
        <f t="shared" si="10"/>
        <v xml:space="preserve"> </v>
      </c>
    </row>
    <row r="130" spans="2:9">
      <c r="B130" s="949" t="str">
        <f t="shared" si="11"/>
        <v/>
      </c>
      <c r="C130" s="950">
        <v>122</v>
      </c>
      <c r="D130" s="951" t="str">
        <f t="shared" si="6"/>
        <v/>
      </c>
      <c r="E130" s="951" t="str">
        <f t="shared" si="7"/>
        <v/>
      </c>
      <c r="F130" s="952"/>
      <c r="G130" s="951" t="str">
        <f t="shared" si="8"/>
        <v/>
      </c>
      <c r="H130" s="951" t="str">
        <f t="shared" si="9"/>
        <v/>
      </c>
      <c r="I130" s="970" t="str">
        <f t="shared" si="10"/>
        <v xml:space="preserve"> </v>
      </c>
    </row>
    <row r="131" spans="2:9">
      <c r="B131" s="949" t="str">
        <f t="shared" si="11"/>
        <v/>
      </c>
      <c r="C131" s="950">
        <v>123</v>
      </c>
      <c r="D131" s="951" t="str">
        <f t="shared" si="6"/>
        <v/>
      </c>
      <c r="E131" s="951" t="str">
        <f t="shared" si="7"/>
        <v/>
      </c>
      <c r="F131" s="952"/>
      <c r="G131" s="951" t="str">
        <f t="shared" si="8"/>
        <v/>
      </c>
      <c r="H131" s="951" t="str">
        <f t="shared" si="9"/>
        <v/>
      </c>
      <c r="I131" s="970" t="str">
        <f t="shared" si="10"/>
        <v xml:space="preserve"> </v>
      </c>
    </row>
    <row r="132" spans="2:9">
      <c r="B132" s="949" t="str">
        <f t="shared" si="11"/>
        <v/>
      </c>
      <c r="C132" s="950">
        <v>124</v>
      </c>
      <c r="D132" s="951" t="str">
        <f t="shared" si="6"/>
        <v/>
      </c>
      <c r="E132" s="951" t="str">
        <f t="shared" si="7"/>
        <v/>
      </c>
      <c r="F132" s="952"/>
      <c r="G132" s="951" t="str">
        <f t="shared" si="8"/>
        <v/>
      </c>
      <c r="H132" s="951" t="str">
        <f t="shared" si="9"/>
        <v/>
      </c>
      <c r="I132" s="970" t="str">
        <f t="shared" si="10"/>
        <v xml:space="preserve"> </v>
      </c>
    </row>
    <row r="133" spans="2:9">
      <c r="B133" s="949" t="str">
        <f t="shared" si="11"/>
        <v/>
      </c>
      <c r="C133" s="950">
        <v>125</v>
      </c>
      <c r="D133" s="951" t="str">
        <f t="shared" si="6"/>
        <v/>
      </c>
      <c r="E133" s="951" t="str">
        <f t="shared" si="7"/>
        <v/>
      </c>
      <c r="F133" s="952"/>
      <c r="G133" s="951" t="str">
        <f t="shared" si="8"/>
        <v/>
      </c>
      <c r="H133" s="951" t="str">
        <f t="shared" si="9"/>
        <v/>
      </c>
      <c r="I133" s="970" t="str">
        <f t="shared" si="10"/>
        <v xml:space="preserve"> </v>
      </c>
    </row>
    <row r="134" spans="2:9">
      <c r="B134" s="949" t="str">
        <f t="shared" si="11"/>
        <v/>
      </c>
      <c r="C134" s="950">
        <v>126</v>
      </c>
      <c r="D134" s="951" t="str">
        <f t="shared" si="6"/>
        <v/>
      </c>
      <c r="E134" s="951" t="str">
        <f t="shared" si="7"/>
        <v/>
      </c>
      <c r="F134" s="952"/>
      <c r="G134" s="951" t="str">
        <f t="shared" si="8"/>
        <v/>
      </c>
      <c r="H134" s="951" t="str">
        <f t="shared" si="9"/>
        <v/>
      </c>
      <c r="I134" s="970" t="str">
        <f t="shared" si="10"/>
        <v xml:space="preserve"> </v>
      </c>
    </row>
    <row r="135" spans="2:9">
      <c r="B135" s="949" t="str">
        <f t="shared" si="11"/>
        <v/>
      </c>
      <c r="C135" s="950">
        <v>127</v>
      </c>
      <c r="D135" s="951" t="str">
        <f t="shared" si="6"/>
        <v/>
      </c>
      <c r="E135" s="951" t="str">
        <f t="shared" si="7"/>
        <v/>
      </c>
      <c r="F135" s="952"/>
      <c r="G135" s="951" t="str">
        <f t="shared" si="8"/>
        <v/>
      </c>
      <c r="H135" s="951" t="str">
        <f t="shared" si="9"/>
        <v/>
      </c>
      <c r="I135" s="970" t="str">
        <f t="shared" si="10"/>
        <v xml:space="preserve"> </v>
      </c>
    </row>
    <row r="136" spans="2:9">
      <c r="B136" s="949" t="str">
        <f t="shared" si="11"/>
        <v/>
      </c>
      <c r="C136" s="950">
        <v>128</v>
      </c>
      <c r="D136" s="951" t="str">
        <f t="shared" si="6"/>
        <v/>
      </c>
      <c r="E136" s="951" t="str">
        <f t="shared" si="7"/>
        <v/>
      </c>
      <c r="F136" s="952"/>
      <c r="G136" s="951" t="str">
        <f t="shared" si="8"/>
        <v/>
      </c>
      <c r="H136" s="951" t="str">
        <f t="shared" si="9"/>
        <v/>
      </c>
      <c r="I136" s="970" t="str">
        <f t="shared" si="10"/>
        <v xml:space="preserve"> </v>
      </c>
    </row>
    <row r="137" spans="2:9">
      <c r="B137" s="949" t="str">
        <f t="shared" si="11"/>
        <v/>
      </c>
      <c r="C137" s="950">
        <v>129</v>
      </c>
      <c r="D137" s="951" t="str">
        <f t="shared" si="6"/>
        <v/>
      </c>
      <c r="E137" s="951" t="str">
        <f t="shared" si="7"/>
        <v/>
      </c>
      <c r="F137" s="952"/>
      <c r="G137" s="951" t="str">
        <f t="shared" si="8"/>
        <v/>
      </c>
      <c r="H137" s="951" t="str">
        <f t="shared" si="9"/>
        <v/>
      </c>
      <c r="I137" s="970" t="str">
        <f t="shared" si="10"/>
        <v xml:space="preserve"> </v>
      </c>
    </row>
    <row r="138" spans="2:9">
      <c r="B138" s="979" t="str">
        <f t="shared" si="11"/>
        <v/>
      </c>
      <c r="C138" s="980">
        <v>130</v>
      </c>
      <c r="D138" s="981" t="str">
        <f t="shared" ref="D138:D201" si="12">IF(C138&gt;$E$5, "", ROUND(PMT($E$4/12, $E$5-C138+1, -H137), 0))</f>
        <v/>
      </c>
      <c r="E138" s="981" t="str">
        <f t="shared" ref="E138:E201" si="13">IF(C138&gt;$E$5, "", D138 - G138)</f>
        <v/>
      </c>
      <c r="F138" s="982"/>
      <c r="G138" s="981" t="str">
        <f t="shared" ref="G138:G201" si="14">IF(C138&gt;$E$5, "", H137 * ($E$4/12))</f>
        <v/>
      </c>
      <c r="H138" s="981" t="str">
        <f t="shared" ref="H138:H201" si="15">IF(C138&gt;$E$5, "", MAX(0, H137 - E138 - F138))</f>
        <v/>
      </c>
      <c r="I138" s="983" t="str">
        <f t="shared" ref="I138:I201" si="16">IF(AND(F138&gt;0, C138&lt;=$G$4), F138 * $G$3," ")</f>
        <v xml:space="preserve"> </v>
      </c>
    </row>
    <row r="139" spans="2:9">
      <c r="B139" s="949" t="str">
        <f t="shared" ref="B139:B202" si="17">IF($G$2="", "", EDATE(B138, 1))</f>
        <v/>
      </c>
      <c r="C139" s="950">
        <v>131</v>
      </c>
      <c r="D139" s="951" t="str">
        <f t="shared" si="12"/>
        <v/>
      </c>
      <c r="E139" s="951" t="str">
        <f t="shared" si="13"/>
        <v/>
      </c>
      <c r="F139" s="952"/>
      <c r="G139" s="951" t="str">
        <f t="shared" si="14"/>
        <v/>
      </c>
      <c r="H139" s="951" t="str">
        <f t="shared" si="15"/>
        <v/>
      </c>
      <c r="I139" s="970" t="str">
        <f t="shared" si="16"/>
        <v xml:space="preserve"> </v>
      </c>
    </row>
    <row r="140" spans="2:9">
      <c r="B140" s="949" t="str">
        <f t="shared" si="17"/>
        <v/>
      </c>
      <c r="C140" s="950">
        <v>132</v>
      </c>
      <c r="D140" s="951" t="str">
        <f t="shared" si="12"/>
        <v/>
      </c>
      <c r="E140" s="951" t="str">
        <f t="shared" si="13"/>
        <v/>
      </c>
      <c r="F140" s="952"/>
      <c r="G140" s="951" t="str">
        <f t="shared" si="14"/>
        <v/>
      </c>
      <c r="H140" s="951" t="str">
        <f t="shared" si="15"/>
        <v/>
      </c>
      <c r="I140" s="970" t="str">
        <f t="shared" si="16"/>
        <v xml:space="preserve"> </v>
      </c>
    </row>
    <row r="141" spans="2:9">
      <c r="B141" s="949" t="str">
        <f t="shared" si="17"/>
        <v/>
      </c>
      <c r="C141" s="950">
        <v>133</v>
      </c>
      <c r="D141" s="951" t="str">
        <f t="shared" si="12"/>
        <v/>
      </c>
      <c r="E141" s="951" t="str">
        <f t="shared" si="13"/>
        <v/>
      </c>
      <c r="F141" s="952"/>
      <c r="G141" s="951" t="str">
        <f t="shared" si="14"/>
        <v/>
      </c>
      <c r="H141" s="951" t="str">
        <f t="shared" si="15"/>
        <v/>
      </c>
      <c r="I141" s="970" t="str">
        <f t="shared" si="16"/>
        <v xml:space="preserve"> </v>
      </c>
    </row>
    <row r="142" spans="2:9">
      <c r="B142" s="949" t="str">
        <f t="shared" si="17"/>
        <v/>
      </c>
      <c r="C142" s="950">
        <v>134</v>
      </c>
      <c r="D142" s="951" t="str">
        <f t="shared" si="12"/>
        <v/>
      </c>
      <c r="E142" s="951" t="str">
        <f t="shared" si="13"/>
        <v/>
      </c>
      <c r="F142" s="952"/>
      <c r="G142" s="951" t="str">
        <f t="shared" si="14"/>
        <v/>
      </c>
      <c r="H142" s="951" t="str">
        <f t="shared" si="15"/>
        <v/>
      </c>
      <c r="I142" s="970" t="str">
        <f t="shared" si="16"/>
        <v xml:space="preserve"> </v>
      </c>
    </row>
    <row r="143" spans="2:9">
      <c r="B143" s="949" t="str">
        <f t="shared" si="17"/>
        <v/>
      </c>
      <c r="C143" s="950">
        <v>135</v>
      </c>
      <c r="D143" s="951" t="str">
        <f t="shared" si="12"/>
        <v/>
      </c>
      <c r="E143" s="951" t="str">
        <f t="shared" si="13"/>
        <v/>
      </c>
      <c r="F143" s="952"/>
      <c r="G143" s="951" t="str">
        <f t="shared" si="14"/>
        <v/>
      </c>
      <c r="H143" s="951" t="str">
        <f t="shared" si="15"/>
        <v/>
      </c>
      <c r="I143" s="970" t="str">
        <f t="shared" si="16"/>
        <v xml:space="preserve"> </v>
      </c>
    </row>
    <row r="144" spans="2:9">
      <c r="B144" s="949" t="str">
        <f t="shared" si="17"/>
        <v/>
      </c>
      <c r="C144" s="950">
        <v>136</v>
      </c>
      <c r="D144" s="951" t="str">
        <f t="shared" si="12"/>
        <v/>
      </c>
      <c r="E144" s="951" t="str">
        <f t="shared" si="13"/>
        <v/>
      </c>
      <c r="F144" s="952"/>
      <c r="G144" s="951" t="str">
        <f t="shared" si="14"/>
        <v/>
      </c>
      <c r="H144" s="951" t="str">
        <f t="shared" si="15"/>
        <v/>
      </c>
      <c r="I144" s="970" t="str">
        <f t="shared" si="16"/>
        <v xml:space="preserve"> </v>
      </c>
    </row>
    <row r="145" spans="2:9">
      <c r="B145" s="949" t="str">
        <f t="shared" si="17"/>
        <v/>
      </c>
      <c r="C145" s="950">
        <v>137</v>
      </c>
      <c r="D145" s="951" t="str">
        <f t="shared" si="12"/>
        <v/>
      </c>
      <c r="E145" s="951" t="str">
        <f t="shared" si="13"/>
        <v/>
      </c>
      <c r="F145" s="952"/>
      <c r="G145" s="951" t="str">
        <f t="shared" si="14"/>
        <v/>
      </c>
      <c r="H145" s="951" t="str">
        <f t="shared" si="15"/>
        <v/>
      </c>
      <c r="I145" s="970" t="str">
        <f t="shared" si="16"/>
        <v xml:space="preserve"> </v>
      </c>
    </row>
    <row r="146" spans="2:9">
      <c r="B146" s="949" t="str">
        <f t="shared" si="17"/>
        <v/>
      </c>
      <c r="C146" s="950">
        <v>138</v>
      </c>
      <c r="D146" s="951" t="str">
        <f t="shared" si="12"/>
        <v/>
      </c>
      <c r="E146" s="951" t="str">
        <f t="shared" si="13"/>
        <v/>
      </c>
      <c r="F146" s="952"/>
      <c r="G146" s="951" t="str">
        <f t="shared" si="14"/>
        <v/>
      </c>
      <c r="H146" s="951" t="str">
        <f t="shared" si="15"/>
        <v/>
      </c>
      <c r="I146" s="970" t="str">
        <f t="shared" si="16"/>
        <v xml:space="preserve"> </v>
      </c>
    </row>
    <row r="147" spans="2:9">
      <c r="B147" s="949" t="str">
        <f t="shared" si="17"/>
        <v/>
      </c>
      <c r="C147" s="950">
        <v>139</v>
      </c>
      <c r="D147" s="951" t="str">
        <f t="shared" si="12"/>
        <v/>
      </c>
      <c r="E147" s="951" t="str">
        <f t="shared" si="13"/>
        <v/>
      </c>
      <c r="F147" s="952"/>
      <c r="G147" s="951" t="str">
        <f t="shared" si="14"/>
        <v/>
      </c>
      <c r="H147" s="951" t="str">
        <f t="shared" si="15"/>
        <v/>
      </c>
      <c r="I147" s="970" t="str">
        <f t="shared" si="16"/>
        <v xml:space="preserve"> </v>
      </c>
    </row>
    <row r="148" spans="2:9">
      <c r="B148" s="979" t="str">
        <f t="shared" si="17"/>
        <v/>
      </c>
      <c r="C148" s="980">
        <v>140</v>
      </c>
      <c r="D148" s="981" t="str">
        <f t="shared" si="12"/>
        <v/>
      </c>
      <c r="E148" s="981" t="str">
        <f t="shared" si="13"/>
        <v/>
      </c>
      <c r="F148" s="982"/>
      <c r="G148" s="981" t="str">
        <f t="shared" si="14"/>
        <v/>
      </c>
      <c r="H148" s="981" t="str">
        <f t="shared" si="15"/>
        <v/>
      </c>
      <c r="I148" s="983" t="str">
        <f t="shared" si="16"/>
        <v xml:space="preserve"> </v>
      </c>
    </row>
    <row r="149" spans="2:9">
      <c r="B149" s="949" t="str">
        <f t="shared" si="17"/>
        <v/>
      </c>
      <c r="C149" s="950">
        <v>141</v>
      </c>
      <c r="D149" s="951" t="str">
        <f t="shared" si="12"/>
        <v/>
      </c>
      <c r="E149" s="951" t="str">
        <f t="shared" si="13"/>
        <v/>
      </c>
      <c r="F149" s="952"/>
      <c r="G149" s="951" t="str">
        <f t="shared" si="14"/>
        <v/>
      </c>
      <c r="H149" s="951" t="str">
        <f t="shared" si="15"/>
        <v/>
      </c>
      <c r="I149" s="970" t="str">
        <f t="shared" si="16"/>
        <v xml:space="preserve"> </v>
      </c>
    </row>
    <row r="150" spans="2:9">
      <c r="B150" s="949" t="str">
        <f t="shared" si="17"/>
        <v/>
      </c>
      <c r="C150" s="950">
        <v>142</v>
      </c>
      <c r="D150" s="951" t="str">
        <f t="shared" si="12"/>
        <v/>
      </c>
      <c r="E150" s="951" t="str">
        <f t="shared" si="13"/>
        <v/>
      </c>
      <c r="F150" s="952"/>
      <c r="G150" s="951" t="str">
        <f t="shared" si="14"/>
        <v/>
      </c>
      <c r="H150" s="951" t="str">
        <f t="shared" si="15"/>
        <v/>
      </c>
      <c r="I150" s="970" t="str">
        <f t="shared" si="16"/>
        <v xml:space="preserve"> </v>
      </c>
    </row>
    <row r="151" spans="2:9">
      <c r="B151" s="949" t="str">
        <f t="shared" si="17"/>
        <v/>
      </c>
      <c r="C151" s="950">
        <v>143</v>
      </c>
      <c r="D151" s="951" t="str">
        <f t="shared" si="12"/>
        <v/>
      </c>
      <c r="E151" s="951" t="str">
        <f t="shared" si="13"/>
        <v/>
      </c>
      <c r="F151" s="952"/>
      <c r="G151" s="951" t="str">
        <f t="shared" si="14"/>
        <v/>
      </c>
      <c r="H151" s="951" t="str">
        <f t="shared" si="15"/>
        <v/>
      </c>
      <c r="I151" s="970" t="str">
        <f t="shared" si="16"/>
        <v xml:space="preserve"> </v>
      </c>
    </row>
    <row r="152" spans="2:9">
      <c r="B152" s="949" t="str">
        <f t="shared" si="17"/>
        <v/>
      </c>
      <c r="C152" s="950">
        <v>144</v>
      </c>
      <c r="D152" s="951" t="str">
        <f t="shared" si="12"/>
        <v/>
      </c>
      <c r="E152" s="951" t="str">
        <f t="shared" si="13"/>
        <v/>
      </c>
      <c r="F152" s="952"/>
      <c r="G152" s="951" t="str">
        <f t="shared" si="14"/>
        <v/>
      </c>
      <c r="H152" s="951" t="str">
        <f t="shared" si="15"/>
        <v/>
      </c>
      <c r="I152" s="970" t="str">
        <f t="shared" si="16"/>
        <v xml:space="preserve"> </v>
      </c>
    </row>
    <row r="153" spans="2:9">
      <c r="B153" s="949" t="str">
        <f t="shared" si="17"/>
        <v/>
      </c>
      <c r="C153" s="950">
        <v>145</v>
      </c>
      <c r="D153" s="951" t="str">
        <f t="shared" si="12"/>
        <v/>
      </c>
      <c r="E153" s="951" t="str">
        <f t="shared" si="13"/>
        <v/>
      </c>
      <c r="F153" s="952"/>
      <c r="G153" s="951" t="str">
        <f t="shared" si="14"/>
        <v/>
      </c>
      <c r="H153" s="951" t="str">
        <f t="shared" si="15"/>
        <v/>
      </c>
      <c r="I153" s="970" t="str">
        <f t="shared" si="16"/>
        <v xml:space="preserve"> </v>
      </c>
    </row>
    <row r="154" spans="2:9">
      <c r="B154" s="949" t="str">
        <f t="shared" si="17"/>
        <v/>
      </c>
      <c r="C154" s="950">
        <v>146</v>
      </c>
      <c r="D154" s="951" t="str">
        <f t="shared" si="12"/>
        <v/>
      </c>
      <c r="E154" s="951" t="str">
        <f t="shared" si="13"/>
        <v/>
      </c>
      <c r="F154" s="952"/>
      <c r="G154" s="951" t="str">
        <f t="shared" si="14"/>
        <v/>
      </c>
      <c r="H154" s="951" t="str">
        <f t="shared" si="15"/>
        <v/>
      </c>
      <c r="I154" s="970" t="str">
        <f t="shared" si="16"/>
        <v xml:space="preserve"> </v>
      </c>
    </row>
    <row r="155" spans="2:9">
      <c r="B155" s="949" t="str">
        <f t="shared" si="17"/>
        <v/>
      </c>
      <c r="C155" s="950">
        <v>147</v>
      </c>
      <c r="D155" s="951" t="str">
        <f t="shared" si="12"/>
        <v/>
      </c>
      <c r="E155" s="951" t="str">
        <f t="shared" si="13"/>
        <v/>
      </c>
      <c r="F155" s="952"/>
      <c r="G155" s="951" t="str">
        <f t="shared" si="14"/>
        <v/>
      </c>
      <c r="H155" s="951" t="str">
        <f t="shared" si="15"/>
        <v/>
      </c>
      <c r="I155" s="970" t="str">
        <f t="shared" si="16"/>
        <v xml:space="preserve"> </v>
      </c>
    </row>
    <row r="156" spans="2:9">
      <c r="B156" s="949" t="str">
        <f t="shared" si="17"/>
        <v/>
      </c>
      <c r="C156" s="950">
        <v>148</v>
      </c>
      <c r="D156" s="951" t="str">
        <f t="shared" si="12"/>
        <v/>
      </c>
      <c r="E156" s="951" t="str">
        <f t="shared" si="13"/>
        <v/>
      </c>
      <c r="F156" s="952"/>
      <c r="G156" s="951" t="str">
        <f t="shared" si="14"/>
        <v/>
      </c>
      <c r="H156" s="951" t="str">
        <f t="shared" si="15"/>
        <v/>
      </c>
      <c r="I156" s="970" t="str">
        <f t="shared" si="16"/>
        <v xml:space="preserve"> </v>
      </c>
    </row>
    <row r="157" spans="2:9">
      <c r="B157" s="949" t="str">
        <f t="shared" si="17"/>
        <v/>
      </c>
      <c r="C157" s="950">
        <v>149</v>
      </c>
      <c r="D157" s="951" t="str">
        <f t="shared" si="12"/>
        <v/>
      </c>
      <c r="E157" s="951" t="str">
        <f t="shared" si="13"/>
        <v/>
      </c>
      <c r="F157" s="952"/>
      <c r="G157" s="951" t="str">
        <f t="shared" si="14"/>
        <v/>
      </c>
      <c r="H157" s="951" t="str">
        <f t="shared" si="15"/>
        <v/>
      </c>
      <c r="I157" s="970" t="str">
        <f t="shared" si="16"/>
        <v xml:space="preserve"> </v>
      </c>
    </row>
    <row r="158" spans="2:9">
      <c r="B158" s="979" t="str">
        <f t="shared" si="17"/>
        <v/>
      </c>
      <c r="C158" s="980">
        <v>150</v>
      </c>
      <c r="D158" s="981" t="str">
        <f t="shared" si="12"/>
        <v/>
      </c>
      <c r="E158" s="981" t="str">
        <f t="shared" si="13"/>
        <v/>
      </c>
      <c r="F158" s="982"/>
      <c r="G158" s="981" t="str">
        <f t="shared" si="14"/>
        <v/>
      </c>
      <c r="H158" s="981" t="str">
        <f t="shared" si="15"/>
        <v/>
      </c>
      <c r="I158" s="983" t="str">
        <f t="shared" si="16"/>
        <v xml:space="preserve"> </v>
      </c>
    </row>
    <row r="159" spans="2:9">
      <c r="B159" s="949" t="str">
        <f t="shared" si="17"/>
        <v/>
      </c>
      <c r="C159" s="950">
        <v>151</v>
      </c>
      <c r="D159" s="951" t="str">
        <f t="shared" si="12"/>
        <v/>
      </c>
      <c r="E159" s="951" t="str">
        <f t="shared" si="13"/>
        <v/>
      </c>
      <c r="F159" s="952"/>
      <c r="G159" s="951" t="str">
        <f t="shared" si="14"/>
        <v/>
      </c>
      <c r="H159" s="951" t="str">
        <f t="shared" si="15"/>
        <v/>
      </c>
      <c r="I159" s="970" t="str">
        <f t="shared" si="16"/>
        <v xml:space="preserve"> </v>
      </c>
    </row>
    <row r="160" spans="2:9">
      <c r="B160" s="949" t="str">
        <f t="shared" si="17"/>
        <v/>
      </c>
      <c r="C160" s="950">
        <v>152</v>
      </c>
      <c r="D160" s="951" t="str">
        <f t="shared" si="12"/>
        <v/>
      </c>
      <c r="E160" s="951" t="str">
        <f t="shared" si="13"/>
        <v/>
      </c>
      <c r="F160" s="952"/>
      <c r="G160" s="951" t="str">
        <f t="shared" si="14"/>
        <v/>
      </c>
      <c r="H160" s="951" t="str">
        <f t="shared" si="15"/>
        <v/>
      </c>
      <c r="I160" s="970" t="str">
        <f t="shared" si="16"/>
        <v xml:space="preserve"> </v>
      </c>
    </row>
    <row r="161" spans="2:9">
      <c r="B161" s="949" t="str">
        <f t="shared" si="17"/>
        <v/>
      </c>
      <c r="C161" s="950">
        <v>153</v>
      </c>
      <c r="D161" s="951" t="str">
        <f t="shared" si="12"/>
        <v/>
      </c>
      <c r="E161" s="951" t="str">
        <f t="shared" si="13"/>
        <v/>
      </c>
      <c r="F161" s="952"/>
      <c r="G161" s="951" t="str">
        <f t="shared" si="14"/>
        <v/>
      </c>
      <c r="H161" s="951" t="str">
        <f t="shared" si="15"/>
        <v/>
      </c>
      <c r="I161" s="970" t="str">
        <f t="shared" si="16"/>
        <v xml:space="preserve"> </v>
      </c>
    </row>
    <row r="162" spans="2:9">
      <c r="B162" s="949" t="str">
        <f t="shared" si="17"/>
        <v/>
      </c>
      <c r="C162" s="950">
        <v>154</v>
      </c>
      <c r="D162" s="951" t="str">
        <f t="shared" si="12"/>
        <v/>
      </c>
      <c r="E162" s="951" t="str">
        <f t="shared" si="13"/>
        <v/>
      </c>
      <c r="F162" s="952"/>
      <c r="G162" s="951" t="str">
        <f t="shared" si="14"/>
        <v/>
      </c>
      <c r="H162" s="951" t="str">
        <f t="shared" si="15"/>
        <v/>
      </c>
      <c r="I162" s="970" t="str">
        <f t="shared" si="16"/>
        <v xml:space="preserve"> </v>
      </c>
    </row>
    <row r="163" spans="2:9">
      <c r="B163" s="949" t="str">
        <f t="shared" si="17"/>
        <v/>
      </c>
      <c r="C163" s="950">
        <v>155</v>
      </c>
      <c r="D163" s="951" t="str">
        <f t="shared" si="12"/>
        <v/>
      </c>
      <c r="E163" s="951" t="str">
        <f t="shared" si="13"/>
        <v/>
      </c>
      <c r="F163" s="952"/>
      <c r="G163" s="951" t="str">
        <f t="shared" si="14"/>
        <v/>
      </c>
      <c r="H163" s="951" t="str">
        <f t="shared" si="15"/>
        <v/>
      </c>
      <c r="I163" s="970" t="str">
        <f t="shared" si="16"/>
        <v xml:space="preserve"> </v>
      </c>
    </row>
    <row r="164" spans="2:9">
      <c r="B164" s="949" t="str">
        <f t="shared" si="17"/>
        <v/>
      </c>
      <c r="C164" s="950">
        <v>156</v>
      </c>
      <c r="D164" s="951" t="str">
        <f t="shared" si="12"/>
        <v/>
      </c>
      <c r="E164" s="951" t="str">
        <f t="shared" si="13"/>
        <v/>
      </c>
      <c r="F164" s="952"/>
      <c r="G164" s="951" t="str">
        <f t="shared" si="14"/>
        <v/>
      </c>
      <c r="H164" s="951" t="str">
        <f t="shared" si="15"/>
        <v/>
      </c>
      <c r="I164" s="970" t="str">
        <f t="shared" si="16"/>
        <v xml:space="preserve"> </v>
      </c>
    </row>
    <row r="165" spans="2:9">
      <c r="B165" s="949" t="str">
        <f t="shared" si="17"/>
        <v/>
      </c>
      <c r="C165" s="950">
        <v>157</v>
      </c>
      <c r="D165" s="951" t="str">
        <f t="shared" si="12"/>
        <v/>
      </c>
      <c r="E165" s="951" t="str">
        <f t="shared" si="13"/>
        <v/>
      </c>
      <c r="F165" s="952"/>
      <c r="G165" s="951" t="str">
        <f t="shared" si="14"/>
        <v/>
      </c>
      <c r="H165" s="951" t="str">
        <f t="shared" si="15"/>
        <v/>
      </c>
      <c r="I165" s="970" t="str">
        <f t="shared" si="16"/>
        <v xml:space="preserve"> </v>
      </c>
    </row>
    <row r="166" spans="2:9">
      <c r="B166" s="949" t="str">
        <f t="shared" si="17"/>
        <v/>
      </c>
      <c r="C166" s="950">
        <v>158</v>
      </c>
      <c r="D166" s="951" t="str">
        <f t="shared" si="12"/>
        <v/>
      </c>
      <c r="E166" s="951" t="str">
        <f t="shared" si="13"/>
        <v/>
      </c>
      <c r="F166" s="952"/>
      <c r="G166" s="951" t="str">
        <f t="shared" si="14"/>
        <v/>
      </c>
      <c r="H166" s="951" t="str">
        <f t="shared" si="15"/>
        <v/>
      </c>
      <c r="I166" s="970" t="str">
        <f t="shared" si="16"/>
        <v xml:space="preserve"> </v>
      </c>
    </row>
    <row r="167" spans="2:9">
      <c r="B167" s="949" t="str">
        <f t="shared" si="17"/>
        <v/>
      </c>
      <c r="C167" s="950">
        <v>159</v>
      </c>
      <c r="D167" s="951" t="str">
        <f t="shared" si="12"/>
        <v/>
      </c>
      <c r="E167" s="951" t="str">
        <f t="shared" si="13"/>
        <v/>
      </c>
      <c r="F167" s="952"/>
      <c r="G167" s="951" t="str">
        <f t="shared" si="14"/>
        <v/>
      </c>
      <c r="H167" s="951" t="str">
        <f t="shared" si="15"/>
        <v/>
      </c>
      <c r="I167" s="970" t="str">
        <f t="shared" si="16"/>
        <v xml:space="preserve"> </v>
      </c>
    </row>
    <row r="168" spans="2:9">
      <c r="B168" s="979" t="str">
        <f t="shared" si="17"/>
        <v/>
      </c>
      <c r="C168" s="980">
        <v>160</v>
      </c>
      <c r="D168" s="981" t="str">
        <f t="shared" si="12"/>
        <v/>
      </c>
      <c r="E168" s="981" t="str">
        <f t="shared" si="13"/>
        <v/>
      </c>
      <c r="F168" s="982"/>
      <c r="G168" s="981" t="str">
        <f t="shared" si="14"/>
        <v/>
      </c>
      <c r="H168" s="981" t="str">
        <f t="shared" si="15"/>
        <v/>
      </c>
      <c r="I168" s="983" t="str">
        <f t="shared" si="16"/>
        <v xml:space="preserve"> </v>
      </c>
    </row>
    <row r="169" spans="2:9">
      <c r="B169" s="949" t="str">
        <f t="shared" si="17"/>
        <v/>
      </c>
      <c r="C169" s="950">
        <v>161</v>
      </c>
      <c r="D169" s="951" t="str">
        <f t="shared" si="12"/>
        <v/>
      </c>
      <c r="E169" s="951" t="str">
        <f t="shared" si="13"/>
        <v/>
      </c>
      <c r="F169" s="952"/>
      <c r="G169" s="951" t="str">
        <f t="shared" si="14"/>
        <v/>
      </c>
      <c r="H169" s="951" t="str">
        <f t="shared" si="15"/>
        <v/>
      </c>
      <c r="I169" s="970" t="str">
        <f t="shared" si="16"/>
        <v xml:space="preserve"> </v>
      </c>
    </row>
    <row r="170" spans="2:9">
      <c r="B170" s="949" t="str">
        <f t="shared" si="17"/>
        <v/>
      </c>
      <c r="C170" s="950">
        <v>162</v>
      </c>
      <c r="D170" s="951" t="str">
        <f t="shared" si="12"/>
        <v/>
      </c>
      <c r="E170" s="951" t="str">
        <f t="shared" si="13"/>
        <v/>
      </c>
      <c r="F170" s="952"/>
      <c r="G170" s="951" t="str">
        <f t="shared" si="14"/>
        <v/>
      </c>
      <c r="H170" s="951" t="str">
        <f t="shared" si="15"/>
        <v/>
      </c>
      <c r="I170" s="970" t="str">
        <f t="shared" si="16"/>
        <v xml:space="preserve"> </v>
      </c>
    </row>
    <row r="171" spans="2:9">
      <c r="B171" s="949" t="str">
        <f t="shared" si="17"/>
        <v/>
      </c>
      <c r="C171" s="950">
        <v>163</v>
      </c>
      <c r="D171" s="951" t="str">
        <f t="shared" si="12"/>
        <v/>
      </c>
      <c r="E171" s="951" t="str">
        <f t="shared" si="13"/>
        <v/>
      </c>
      <c r="F171" s="952"/>
      <c r="G171" s="951" t="str">
        <f t="shared" si="14"/>
        <v/>
      </c>
      <c r="H171" s="951" t="str">
        <f t="shared" si="15"/>
        <v/>
      </c>
      <c r="I171" s="970" t="str">
        <f t="shared" si="16"/>
        <v xml:space="preserve"> </v>
      </c>
    </row>
    <row r="172" spans="2:9">
      <c r="B172" s="949" t="str">
        <f t="shared" si="17"/>
        <v/>
      </c>
      <c r="C172" s="950">
        <v>164</v>
      </c>
      <c r="D172" s="951" t="str">
        <f t="shared" si="12"/>
        <v/>
      </c>
      <c r="E172" s="951" t="str">
        <f t="shared" si="13"/>
        <v/>
      </c>
      <c r="F172" s="952"/>
      <c r="G172" s="951" t="str">
        <f t="shared" si="14"/>
        <v/>
      </c>
      <c r="H172" s="951" t="str">
        <f t="shared" si="15"/>
        <v/>
      </c>
      <c r="I172" s="970" t="str">
        <f t="shared" si="16"/>
        <v xml:space="preserve"> </v>
      </c>
    </row>
    <row r="173" spans="2:9">
      <c r="B173" s="949" t="str">
        <f t="shared" si="17"/>
        <v/>
      </c>
      <c r="C173" s="950">
        <v>165</v>
      </c>
      <c r="D173" s="951" t="str">
        <f t="shared" si="12"/>
        <v/>
      </c>
      <c r="E173" s="951" t="str">
        <f t="shared" si="13"/>
        <v/>
      </c>
      <c r="F173" s="952"/>
      <c r="G173" s="951" t="str">
        <f t="shared" si="14"/>
        <v/>
      </c>
      <c r="H173" s="951" t="str">
        <f t="shared" si="15"/>
        <v/>
      </c>
      <c r="I173" s="970" t="str">
        <f t="shared" si="16"/>
        <v xml:space="preserve"> </v>
      </c>
    </row>
    <row r="174" spans="2:9">
      <c r="B174" s="949" t="str">
        <f t="shared" si="17"/>
        <v/>
      </c>
      <c r="C174" s="950">
        <v>166</v>
      </c>
      <c r="D174" s="951" t="str">
        <f t="shared" si="12"/>
        <v/>
      </c>
      <c r="E174" s="951" t="str">
        <f t="shared" si="13"/>
        <v/>
      </c>
      <c r="F174" s="952"/>
      <c r="G174" s="951" t="str">
        <f t="shared" si="14"/>
        <v/>
      </c>
      <c r="H174" s="951" t="str">
        <f t="shared" si="15"/>
        <v/>
      </c>
      <c r="I174" s="970" t="str">
        <f t="shared" si="16"/>
        <v xml:space="preserve"> </v>
      </c>
    </row>
    <row r="175" spans="2:9">
      <c r="B175" s="949" t="str">
        <f t="shared" si="17"/>
        <v/>
      </c>
      <c r="C175" s="950">
        <v>167</v>
      </c>
      <c r="D175" s="951" t="str">
        <f t="shared" si="12"/>
        <v/>
      </c>
      <c r="E175" s="951" t="str">
        <f t="shared" si="13"/>
        <v/>
      </c>
      <c r="F175" s="952"/>
      <c r="G175" s="951" t="str">
        <f t="shared" si="14"/>
        <v/>
      </c>
      <c r="H175" s="951" t="str">
        <f t="shared" si="15"/>
        <v/>
      </c>
      <c r="I175" s="970" t="str">
        <f t="shared" si="16"/>
        <v xml:space="preserve"> </v>
      </c>
    </row>
    <row r="176" spans="2:9">
      <c r="B176" s="949" t="str">
        <f t="shared" si="17"/>
        <v/>
      </c>
      <c r="C176" s="950">
        <v>168</v>
      </c>
      <c r="D176" s="951" t="str">
        <f t="shared" si="12"/>
        <v/>
      </c>
      <c r="E176" s="951" t="str">
        <f t="shared" si="13"/>
        <v/>
      </c>
      <c r="F176" s="952"/>
      <c r="G176" s="951" t="str">
        <f t="shared" si="14"/>
        <v/>
      </c>
      <c r="H176" s="951" t="str">
        <f t="shared" si="15"/>
        <v/>
      </c>
      <c r="I176" s="970" t="str">
        <f t="shared" si="16"/>
        <v xml:space="preserve"> </v>
      </c>
    </row>
    <row r="177" spans="2:9">
      <c r="B177" s="949" t="str">
        <f t="shared" si="17"/>
        <v/>
      </c>
      <c r="C177" s="950">
        <v>169</v>
      </c>
      <c r="D177" s="951" t="str">
        <f t="shared" si="12"/>
        <v/>
      </c>
      <c r="E177" s="951" t="str">
        <f t="shared" si="13"/>
        <v/>
      </c>
      <c r="F177" s="952"/>
      <c r="G177" s="951" t="str">
        <f t="shared" si="14"/>
        <v/>
      </c>
      <c r="H177" s="951" t="str">
        <f t="shared" si="15"/>
        <v/>
      </c>
      <c r="I177" s="970" t="str">
        <f t="shared" si="16"/>
        <v xml:space="preserve"> </v>
      </c>
    </row>
    <row r="178" spans="2:9">
      <c r="B178" s="979" t="str">
        <f t="shared" si="17"/>
        <v/>
      </c>
      <c r="C178" s="980">
        <v>170</v>
      </c>
      <c r="D178" s="981" t="str">
        <f t="shared" si="12"/>
        <v/>
      </c>
      <c r="E178" s="981" t="str">
        <f t="shared" si="13"/>
        <v/>
      </c>
      <c r="F178" s="982"/>
      <c r="G178" s="981" t="str">
        <f t="shared" si="14"/>
        <v/>
      </c>
      <c r="H178" s="981" t="str">
        <f t="shared" si="15"/>
        <v/>
      </c>
      <c r="I178" s="983" t="str">
        <f t="shared" si="16"/>
        <v xml:space="preserve"> </v>
      </c>
    </row>
    <row r="179" spans="2:9">
      <c r="B179" s="949" t="str">
        <f t="shared" si="17"/>
        <v/>
      </c>
      <c r="C179" s="950">
        <v>171</v>
      </c>
      <c r="D179" s="951" t="str">
        <f t="shared" si="12"/>
        <v/>
      </c>
      <c r="E179" s="951" t="str">
        <f t="shared" si="13"/>
        <v/>
      </c>
      <c r="F179" s="952"/>
      <c r="G179" s="951" t="str">
        <f t="shared" si="14"/>
        <v/>
      </c>
      <c r="H179" s="951" t="str">
        <f t="shared" si="15"/>
        <v/>
      </c>
      <c r="I179" s="970" t="str">
        <f t="shared" si="16"/>
        <v xml:space="preserve"> </v>
      </c>
    </row>
    <row r="180" spans="2:9">
      <c r="B180" s="949" t="str">
        <f t="shared" si="17"/>
        <v/>
      </c>
      <c r="C180" s="950">
        <v>172</v>
      </c>
      <c r="D180" s="951" t="str">
        <f t="shared" si="12"/>
        <v/>
      </c>
      <c r="E180" s="951" t="str">
        <f t="shared" si="13"/>
        <v/>
      </c>
      <c r="F180" s="952"/>
      <c r="G180" s="951" t="str">
        <f t="shared" si="14"/>
        <v/>
      </c>
      <c r="H180" s="951" t="str">
        <f t="shared" si="15"/>
        <v/>
      </c>
      <c r="I180" s="970" t="str">
        <f t="shared" si="16"/>
        <v xml:space="preserve"> </v>
      </c>
    </row>
    <row r="181" spans="2:9">
      <c r="B181" s="949" t="str">
        <f t="shared" si="17"/>
        <v/>
      </c>
      <c r="C181" s="950">
        <v>173</v>
      </c>
      <c r="D181" s="951" t="str">
        <f t="shared" si="12"/>
        <v/>
      </c>
      <c r="E181" s="951" t="str">
        <f t="shared" si="13"/>
        <v/>
      </c>
      <c r="F181" s="952"/>
      <c r="G181" s="951" t="str">
        <f t="shared" si="14"/>
        <v/>
      </c>
      <c r="H181" s="951" t="str">
        <f t="shared" si="15"/>
        <v/>
      </c>
      <c r="I181" s="970" t="str">
        <f t="shared" si="16"/>
        <v xml:space="preserve"> </v>
      </c>
    </row>
    <row r="182" spans="2:9">
      <c r="B182" s="949" t="str">
        <f t="shared" si="17"/>
        <v/>
      </c>
      <c r="C182" s="950">
        <v>174</v>
      </c>
      <c r="D182" s="951" t="str">
        <f t="shared" si="12"/>
        <v/>
      </c>
      <c r="E182" s="951" t="str">
        <f t="shared" si="13"/>
        <v/>
      </c>
      <c r="F182" s="952"/>
      <c r="G182" s="951" t="str">
        <f t="shared" si="14"/>
        <v/>
      </c>
      <c r="H182" s="951" t="str">
        <f t="shared" si="15"/>
        <v/>
      </c>
      <c r="I182" s="970" t="str">
        <f t="shared" si="16"/>
        <v xml:space="preserve"> </v>
      </c>
    </row>
    <row r="183" spans="2:9">
      <c r="B183" s="949" t="str">
        <f t="shared" si="17"/>
        <v/>
      </c>
      <c r="C183" s="950">
        <v>175</v>
      </c>
      <c r="D183" s="951" t="str">
        <f t="shared" si="12"/>
        <v/>
      </c>
      <c r="E183" s="951" t="str">
        <f t="shared" si="13"/>
        <v/>
      </c>
      <c r="F183" s="952"/>
      <c r="G183" s="951" t="str">
        <f t="shared" si="14"/>
        <v/>
      </c>
      <c r="H183" s="951" t="str">
        <f t="shared" si="15"/>
        <v/>
      </c>
      <c r="I183" s="970" t="str">
        <f t="shared" si="16"/>
        <v xml:space="preserve"> </v>
      </c>
    </row>
    <row r="184" spans="2:9">
      <c r="B184" s="949" t="str">
        <f t="shared" si="17"/>
        <v/>
      </c>
      <c r="C184" s="950">
        <v>176</v>
      </c>
      <c r="D184" s="951" t="str">
        <f t="shared" si="12"/>
        <v/>
      </c>
      <c r="E184" s="951" t="str">
        <f t="shared" si="13"/>
        <v/>
      </c>
      <c r="F184" s="952"/>
      <c r="G184" s="951" t="str">
        <f t="shared" si="14"/>
        <v/>
      </c>
      <c r="H184" s="951" t="str">
        <f t="shared" si="15"/>
        <v/>
      </c>
      <c r="I184" s="970" t="str">
        <f t="shared" si="16"/>
        <v xml:space="preserve"> </v>
      </c>
    </row>
    <row r="185" spans="2:9">
      <c r="B185" s="949" t="str">
        <f t="shared" si="17"/>
        <v/>
      </c>
      <c r="C185" s="950">
        <v>177</v>
      </c>
      <c r="D185" s="951" t="str">
        <f t="shared" si="12"/>
        <v/>
      </c>
      <c r="E185" s="951" t="str">
        <f t="shared" si="13"/>
        <v/>
      </c>
      <c r="F185" s="952"/>
      <c r="G185" s="951" t="str">
        <f t="shared" si="14"/>
        <v/>
      </c>
      <c r="H185" s="951" t="str">
        <f t="shared" si="15"/>
        <v/>
      </c>
      <c r="I185" s="970" t="str">
        <f t="shared" si="16"/>
        <v xml:space="preserve"> </v>
      </c>
    </row>
    <row r="186" spans="2:9">
      <c r="B186" s="949" t="str">
        <f t="shared" si="17"/>
        <v/>
      </c>
      <c r="C186" s="950">
        <v>178</v>
      </c>
      <c r="D186" s="951" t="str">
        <f t="shared" si="12"/>
        <v/>
      </c>
      <c r="E186" s="951" t="str">
        <f t="shared" si="13"/>
        <v/>
      </c>
      <c r="F186" s="952"/>
      <c r="G186" s="951" t="str">
        <f t="shared" si="14"/>
        <v/>
      </c>
      <c r="H186" s="951" t="str">
        <f t="shared" si="15"/>
        <v/>
      </c>
      <c r="I186" s="970" t="str">
        <f t="shared" si="16"/>
        <v xml:space="preserve"> </v>
      </c>
    </row>
    <row r="187" spans="2:9">
      <c r="B187" s="949" t="str">
        <f t="shared" si="17"/>
        <v/>
      </c>
      <c r="C187" s="950">
        <v>179</v>
      </c>
      <c r="D187" s="951" t="str">
        <f t="shared" si="12"/>
        <v/>
      </c>
      <c r="E187" s="951" t="str">
        <f t="shared" si="13"/>
        <v/>
      </c>
      <c r="F187" s="952"/>
      <c r="G187" s="951" t="str">
        <f t="shared" si="14"/>
        <v/>
      </c>
      <c r="H187" s="951" t="str">
        <f t="shared" si="15"/>
        <v/>
      </c>
      <c r="I187" s="970" t="str">
        <f t="shared" si="16"/>
        <v xml:space="preserve"> </v>
      </c>
    </row>
    <row r="188" spans="2:9">
      <c r="B188" s="979" t="str">
        <f t="shared" si="17"/>
        <v/>
      </c>
      <c r="C188" s="980">
        <v>180</v>
      </c>
      <c r="D188" s="981" t="str">
        <f t="shared" si="12"/>
        <v/>
      </c>
      <c r="E188" s="981" t="str">
        <f t="shared" si="13"/>
        <v/>
      </c>
      <c r="F188" s="982"/>
      <c r="G188" s="981" t="str">
        <f t="shared" si="14"/>
        <v/>
      </c>
      <c r="H188" s="981" t="str">
        <f t="shared" si="15"/>
        <v/>
      </c>
      <c r="I188" s="983" t="str">
        <f t="shared" si="16"/>
        <v xml:space="preserve"> </v>
      </c>
    </row>
    <row r="189" spans="2:9">
      <c r="B189" s="949" t="str">
        <f t="shared" si="17"/>
        <v/>
      </c>
      <c r="C189" s="950">
        <v>181</v>
      </c>
      <c r="D189" s="951" t="str">
        <f t="shared" si="12"/>
        <v/>
      </c>
      <c r="E189" s="951" t="str">
        <f t="shared" si="13"/>
        <v/>
      </c>
      <c r="F189" s="952"/>
      <c r="G189" s="951" t="str">
        <f t="shared" si="14"/>
        <v/>
      </c>
      <c r="H189" s="951" t="str">
        <f t="shared" si="15"/>
        <v/>
      </c>
      <c r="I189" s="970" t="str">
        <f t="shared" si="16"/>
        <v xml:space="preserve"> </v>
      </c>
    </row>
    <row r="190" spans="2:9">
      <c r="B190" s="949" t="str">
        <f t="shared" si="17"/>
        <v/>
      </c>
      <c r="C190" s="950">
        <v>182</v>
      </c>
      <c r="D190" s="951" t="str">
        <f t="shared" si="12"/>
        <v/>
      </c>
      <c r="E190" s="951" t="str">
        <f t="shared" si="13"/>
        <v/>
      </c>
      <c r="F190" s="952"/>
      <c r="G190" s="951" t="str">
        <f t="shared" si="14"/>
        <v/>
      </c>
      <c r="H190" s="951" t="str">
        <f t="shared" si="15"/>
        <v/>
      </c>
      <c r="I190" s="970" t="str">
        <f t="shared" si="16"/>
        <v xml:space="preserve"> </v>
      </c>
    </row>
    <row r="191" spans="2:9">
      <c r="B191" s="949" t="str">
        <f t="shared" si="17"/>
        <v/>
      </c>
      <c r="C191" s="950">
        <v>183</v>
      </c>
      <c r="D191" s="951" t="str">
        <f t="shared" si="12"/>
        <v/>
      </c>
      <c r="E191" s="951" t="str">
        <f t="shared" si="13"/>
        <v/>
      </c>
      <c r="F191" s="952"/>
      <c r="G191" s="951" t="str">
        <f t="shared" si="14"/>
        <v/>
      </c>
      <c r="H191" s="951" t="str">
        <f t="shared" si="15"/>
        <v/>
      </c>
      <c r="I191" s="970" t="str">
        <f t="shared" si="16"/>
        <v xml:space="preserve"> </v>
      </c>
    </row>
    <row r="192" spans="2:9">
      <c r="B192" s="949" t="str">
        <f t="shared" si="17"/>
        <v/>
      </c>
      <c r="C192" s="950">
        <v>184</v>
      </c>
      <c r="D192" s="951" t="str">
        <f t="shared" si="12"/>
        <v/>
      </c>
      <c r="E192" s="951" t="str">
        <f t="shared" si="13"/>
        <v/>
      </c>
      <c r="F192" s="952"/>
      <c r="G192" s="951" t="str">
        <f t="shared" si="14"/>
        <v/>
      </c>
      <c r="H192" s="951" t="str">
        <f t="shared" si="15"/>
        <v/>
      </c>
      <c r="I192" s="970" t="str">
        <f t="shared" si="16"/>
        <v xml:space="preserve"> </v>
      </c>
    </row>
    <row r="193" spans="2:9">
      <c r="B193" s="949" t="str">
        <f t="shared" si="17"/>
        <v/>
      </c>
      <c r="C193" s="950">
        <v>185</v>
      </c>
      <c r="D193" s="951" t="str">
        <f t="shared" si="12"/>
        <v/>
      </c>
      <c r="E193" s="951" t="str">
        <f t="shared" si="13"/>
        <v/>
      </c>
      <c r="F193" s="952"/>
      <c r="G193" s="951" t="str">
        <f t="shared" si="14"/>
        <v/>
      </c>
      <c r="H193" s="951" t="str">
        <f t="shared" si="15"/>
        <v/>
      </c>
      <c r="I193" s="970" t="str">
        <f t="shared" si="16"/>
        <v xml:space="preserve"> </v>
      </c>
    </row>
    <row r="194" spans="2:9">
      <c r="B194" s="949" t="str">
        <f t="shared" si="17"/>
        <v/>
      </c>
      <c r="C194" s="950">
        <v>186</v>
      </c>
      <c r="D194" s="951" t="str">
        <f t="shared" si="12"/>
        <v/>
      </c>
      <c r="E194" s="951" t="str">
        <f t="shared" si="13"/>
        <v/>
      </c>
      <c r="F194" s="952"/>
      <c r="G194" s="951" t="str">
        <f t="shared" si="14"/>
        <v/>
      </c>
      <c r="H194" s="951" t="str">
        <f t="shared" si="15"/>
        <v/>
      </c>
      <c r="I194" s="970" t="str">
        <f t="shared" si="16"/>
        <v xml:space="preserve"> </v>
      </c>
    </row>
    <row r="195" spans="2:9">
      <c r="B195" s="949" t="str">
        <f t="shared" si="17"/>
        <v/>
      </c>
      <c r="C195" s="950">
        <v>187</v>
      </c>
      <c r="D195" s="951" t="str">
        <f t="shared" si="12"/>
        <v/>
      </c>
      <c r="E195" s="951" t="str">
        <f t="shared" si="13"/>
        <v/>
      </c>
      <c r="F195" s="952"/>
      <c r="G195" s="951" t="str">
        <f t="shared" si="14"/>
        <v/>
      </c>
      <c r="H195" s="951" t="str">
        <f t="shared" si="15"/>
        <v/>
      </c>
      <c r="I195" s="970" t="str">
        <f t="shared" si="16"/>
        <v xml:space="preserve"> </v>
      </c>
    </row>
    <row r="196" spans="2:9">
      <c r="B196" s="949" t="str">
        <f t="shared" si="17"/>
        <v/>
      </c>
      <c r="C196" s="950">
        <v>188</v>
      </c>
      <c r="D196" s="951" t="str">
        <f t="shared" si="12"/>
        <v/>
      </c>
      <c r="E196" s="951" t="str">
        <f t="shared" si="13"/>
        <v/>
      </c>
      <c r="F196" s="952"/>
      <c r="G196" s="951" t="str">
        <f t="shared" si="14"/>
        <v/>
      </c>
      <c r="H196" s="951" t="str">
        <f t="shared" si="15"/>
        <v/>
      </c>
      <c r="I196" s="970" t="str">
        <f t="shared" si="16"/>
        <v xml:space="preserve"> </v>
      </c>
    </row>
    <row r="197" spans="2:9">
      <c r="B197" s="949" t="str">
        <f t="shared" si="17"/>
        <v/>
      </c>
      <c r="C197" s="950">
        <v>189</v>
      </c>
      <c r="D197" s="951" t="str">
        <f t="shared" si="12"/>
        <v/>
      </c>
      <c r="E197" s="951" t="str">
        <f t="shared" si="13"/>
        <v/>
      </c>
      <c r="F197" s="952"/>
      <c r="G197" s="951" t="str">
        <f t="shared" si="14"/>
        <v/>
      </c>
      <c r="H197" s="951" t="str">
        <f t="shared" si="15"/>
        <v/>
      </c>
      <c r="I197" s="970" t="str">
        <f t="shared" si="16"/>
        <v xml:space="preserve"> </v>
      </c>
    </row>
    <row r="198" spans="2:9">
      <c r="B198" s="979" t="str">
        <f t="shared" si="17"/>
        <v/>
      </c>
      <c r="C198" s="980">
        <v>190</v>
      </c>
      <c r="D198" s="981" t="str">
        <f t="shared" si="12"/>
        <v/>
      </c>
      <c r="E198" s="981" t="str">
        <f t="shared" si="13"/>
        <v/>
      </c>
      <c r="F198" s="982"/>
      <c r="G198" s="981" t="str">
        <f t="shared" si="14"/>
        <v/>
      </c>
      <c r="H198" s="981" t="str">
        <f t="shared" si="15"/>
        <v/>
      </c>
      <c r="I198" s="983" t="str">
        <f t="shared" si="16"/>
        <v xml:space="preserve"> </v>
      </c>
    </row>
    <row r="199" spans="2:9">
      <c r="B199" s="949" t="str">
        <f t="shared" si="17"/>
        <v/>
      </c>
      <c r="C199" s="950">
        <v>191</v>
      </c>
      <c r="D199" s="951" t="str">
        <f t="shared" si="12"/>
        <v/>
      </c>
      <c r="E199" s="951" t="str">
        <f t="shared" si="13"/>
        <v/>
      </c>
      <c r="F199" s="952"/>
      <c r="G199" s="951" t="str">
        <f t="shared" si="14"/>
        <v/>
      </c>
      <c r="H199" s="951" t="str">
        <f t="shared" si="15"/>
        <v/>
      </c>
      <c r="I199" s="970" t="str">
        <f t="shared" si="16"/>
        <v xml:space="preserve"> </v>
      </c>
    </row>
    <row r="200" spans="2:9">
      <c r="B200" s="949" t="str">
        <f t="shared" si="17"/>
        <v/>
      </c>
      <c r="C200" s="950">
        <v>192</v>
      </c>
      <c r="D200" s="951" t="str">
        <f t="shared" si="12"/>
        <v/>
      </c>
      <c r="E200" s="951" t="str">
        <f t="shared" si="13"/>
        <v/>
      </c>
      <c r="F200" s="952"/>
      <c r="G200" s="951" t="str">
        <f t="shared" si="14"/>
        <v/>
      </c>
      <c r="H200" s="951" t="str">
        <f t="shared" si="15"/>
        <v/>
      </c>
      <c r="I200" s="970" t="str">
        <f t="shared" si="16"/>
        <v xml:space="preserve"> </v>
      </c>
    </row>
    <row r="201" spans="2:9">
      <c r="B201" s="949" t="str">
        <f t="shared" si="17"/>
        <v/>
      </c>
      <c r="C201" s="950">
        <v>193</v>
      </c>
      <c r="D201" s="951" t="str">
        <f t="shared" si="12"/>
        <v/>
      </c>
      <c r="E201" s="951" t="str">
        <f t="shared" si="13"/>
        <v/>
      </c>
      <c r="F201" s="952"/>
      <c r="G201" s="951" t="str">
        <f t="shared" si="14"/>
        <v/>
      </c>
      <c r="H201" s="951" t="str">
        <f t="shared" si="15"/>
        <v/>
      </c>
      <c r="I201" s="970" t="str">
        <f t="shared" si="16"/>
        <v xml:space="preserve"> </v>
      </c>
    </row>
    <row r="202" spans="2:9">
      <c r="B202" s="949" t="str">
        <f t="shared" si="17"/>
        <v/>
      </c>
      <c r="C202" s="950">
        <v>194</v>
      </c>
      <c r="D202" s="951" t="str">
        <f t="shared" ref="D202:D248" si="18">IF(C202&gt;$E$5, "", ROUND(PMT($E$4/12, $E$5-C202+1, -H201), 0))</f>
        <v/>
      </c>
      <c r="E202" s="951" t="str">
        <f t="shared" ref="E202:E248" si="19">IF(C202&gt;$E$5, "", D202 - G202)</f>
        <v/>
      </c>
      <c r="F202" s="952"/>
      <c r="G202" s="951" t="str">
        <f t="shared" ref="G202:G248" si="20">IF(C202&gt;$E$5, "", H201 * ($E$4/12))</f>
        <v/>
      </c>
      <c r="H202" s="951" t="str">
        <f t="shared" ref="H202:H248" si="21">IF(C202&gt;$E$5, "", MAX(0, H201 - E202 - F202))</f>
        <v/>
      </c>
      <c r="I202" s="970" t="str">
        <f t="shared" ref="I202:I248" si="22">IF(AND(F202&gt;0, C202&lt;=$G$4), F202 * $G$3," ")</f>
        <v xml:space="preserve"> </v>
      </c>
    </row>
    <row r="203" spans="2:9">
      <c r="B203" s="949" t="str">
        <f t="shared" ref="B203:B248" si="23">IF($G$2="", "", EDATE(B202, 1))</f>
        <v/>
      </c>
      <c r="C203" s="950">
        <v>195</v>
      </c>
      <c r="D203" s="951" t="str">
        <f t="shared" si="18"/>
        <v/>
      </c>
      <c r="E203" s="951" t="str">
        <f t="shared" si="19"/>
        <v/>
      </c>
      <c r="F203" s="952"/>
      <c r="G203" s="951" t="str">
        <f t="shared" si="20"/>
        <v/>
      </c>
      <c r="H203" s="951" t="str">
        <f t="shared" si="21"/>
        <v/>
      </c>
      <c r="I203" s="970" t="str">
        <f t="shared" si="22"/>
        <v xml:space="preserve"> </v>
      </c>
    </row>
    <row r="204" spans="2:9">
      <c r="B204" s="949" t="str">
        <f t="shared" si="23"/>
        <v/>
      </c>
      <c r="C204" s="950">
        <v>196</v>
      </c>
      <c r="D204" s="951" t="str">
        <f t="shared" si="18"/>
        <v/>
      </c>
      <c r="E204" s="951" t="str">
        <f t="shared" si="19"/>
        <v/>
      </c>
      <c r="F204" s="952"/>
      <c r="G204" s="951" t="str">
        <f t="shared" si="20"/>
        <v/>
      </c>
      <c r="H204" s="951" t="str">
        <f t="shared" si="21"/>
        <v/>
      </c>
      <c r="I204" s="970" t="str">
        <f t="shared" si="22"/>
        <v xml:space="preserve"> </v>
      </c>
    </row>
    <row r="205" spans="2:9">
      <c r="B205" s="949" t="str">
        <f t="shared" si="23"/>
        <v/>
      </c>
      <c r="C205" s="950">
        <v>197</v>
      </c>
      <c r="D205" s="951" t="str">
        <f t="shared" si="18"/>
        <v/>
      </c>
      <c r="E205" s="951" t="str">
        <f t="shared" si="19"/>
        <v/>
      </c>
      <c r="F205" s="952"/>
      <c r="G205" s="951" t="str">
        <f t="shared" si="20"/>
        <v/>
      </c>
      <c r="H205" s="951" t="str">
        <f t="shared" si="21"/>
        <v/>
      </c>
      <c r="I205" s="970" t="str">
        <f t="shared" si="22"/>
        <v xml:space="preserve"> </v>
      </c>
    </row>
    <row r="206" spans="2:9">
      <c r="B206" s="949" t="str">
        <f t="shared" si="23"/>
        <v/>
      </c>
      <c r="C206" s="950">
        <v>198</v>
      </c>
      <c r="D206" s="951" t="str">
        <f t="shared" si="18"/>
        <v/>
      </c>
      <c r="E206" s="951" t="str">
        <f t="shared" si="19"/>
        <v/>
      </c>
      <c r="F206" s="952"/>
      <c r="G206" s="951" t="str">
        <f t="shared" si="20"/>
        <v/>
      </c>
      <c r="H206" s="951" t="str">
        <f t="shared" si="21"/>
        <v/>
      </c>
      <c r="I206" s="970" t="str">
        <f t="shared" si="22"/>
        <v xml:space="preserve"> </v>
      </c>
    </row>
    <row r="207" spans="2:9">
      <c r="B207" s="949" t="str">
        <f t="shared" si="23"/>
        <v/>
      </c>
      <c r="C207" s="950">
        <v>199</v>
      </c>
      <c r="D207" s="951" t="str">
        <f t="shared" si="18"/>
        <v/>
      </c>
      <c r="E207" s="951" t="str">
        <f t="shared" si="19"/>
        <v/>
      </c>
      <c r="F207" s="952"/>
      <c r="G207" s="951" t="str">
        <f t="shared" si="20"/>
        <v/>
      </c>
      <c r="H207" s="951" t="str">
        <f t="shared" si="21"/>
        <v/>
      </c>
      <c r="I207" s="970" t="str">
        <f t="shared" si="22"/>
        <v xml:space="preserve"> </v>
      </c>
    </row>
    <row r="208" spans="2:9">
      <c r="B208" s="979" t="str">
        <f t="shared" si="23"/>
        <v/>
      </c>
      <c r="C208" s="980">
        <v>200</v>
      </c>
      <c r="D208" s="981" t="str">
        <f t="shared" si="18"/>
        <v/>
      </c>
      <c r="E208" s="981" t="str">
        <f t="shared" si="19"/>
        <v/>
      </c>
      <c r="F208" s="982"/>
      <c r="G208" s="981" t="str">
        <f t="shared" si="20"/>
        <v/>
      </c>
      <c r="H208" s="981" t="str">
        <f t="shared" si="21"/>
        <v/>
      </c>
      <c r="I208" s="983" t="str">
        <f t="shared" si="22"/>
        <v xml:space="preserve"> </v>
      </c>
    </row>
    <row r="209" spans="2:9">
      <c r="B209" s="949" t="str">
        <f t="shared" si="23"/>
        <v/>
      </c>
      <c r="C209" s="950">
        <v>201</v>
      </c>
      <c r="D209" s="951" t="str">
        <f t="shared" si="18"/>
        <v/>
      </c>
      <c r="E209" s="951" t="str">
        <f t="shared" si="19"/>
        <v/>
      </c>
      <c r="F209" s="952"/>
      <c r="G209" s="951" t="str">
        <f t="shared" si="20"/>
        <v/>
      </c>
      <c r="H209" s="951" t="str">
        <f t="shared" si="21"/>
        <v/>
      </c>
      <c r="I209" s="970" t="str">
        <f t="shared" si="22"/>
        <v xml:space="preserve"> </v>
      </c>
    </row>
    <row r="210" spans="2:9">
      <c r="B210" s="949" t="str">
        <f t="shared" si="23"/>
        <v/>
      </c>
      <c r="C210" s="950">
        <v>202</v>
      </c>
      <c r="D210" s="951" t="str">
        <f t="shared" si="18"/>
        <v/>
      </c>
      <c r="E210" s="951" t="str">
        <f t="shared" si="19"/>
        <v/>
      </c>
      <c r="F210" s="952"/>
      <c r="G210" s="951" t="str">
        <f t="shared" si="20"/>
        <v/>
      </c>
      <c r="H210" s="951" t="str">
        <f t="shared" si="21"/>
        <v/>
      </c>
      <c r="I210" s="970" t="str">
        <f t="shared" si="22"/>
        <v xml:space="preserve"> </v>
      </c>
    </row>
    <row r="211" spans="2:9">
      <c r="B211" s="949" t="str">
        <f t="shared" si="23"/>
        <v/>
      </c>
      <c r="C211" s="950">
        <v>203</v>
      </c>
      <c r="D211" s="951" t="str">
        <f t="shared" si="18"/>
        <v/>
      </c>
      <c r="E211" s="951" t="str">
        <f t="shared" si="19"/>
        <v/>
      </c>
      <c r="F211" s="952"/>
      <c r="G211" s="951" t="str">
        <f t="shared" si="20"/>
        <v/>
      </c>
      <c r="H211" s="951" t="str">
        <f t="shared" si="21"/>
        <v/>
      </c>
      <c r="I211" s="970" t="str">
        <f t="shared" si="22"/>
        <v xml:space="preserve"> </v>
      </c>
    </row>
    <row r="212" spans="2:9">
      <c r="B212" s="949" t="str">
        <f t="shared" si="23"/>
        <v/>
      </c>
      <c r="C212" s="950">
        <v>204</v>
      </c>
      <c r="D212" s="951" t="str">
        <f t="shared" si="18"/>
        <v/>
      </c>
      <c r="E212" s="951" t="str">
        <f t="shared" si="19"/>
        <v/>
      </c>
      <c r="F212" s="952"/>
      <c r="G212" s="951" t="str">
        <f t="shared" si="20"/>
        <v/>
      </c>
      <c r="H212" s="951" t="str">
        <f t="shared" si="21"/>
        <v/>
      </c>
      <c r="I212" s="970" t="str">
        <f t="shared" si="22"/>
        <v xml:space="preserve"> </v>
      </c>
    </row>
    <row r="213" spans="2:9">
      <c r="B213" s="949" t="str">
        <f t="shared" si="23"/>
        <v/>
      </c>
      <c r="C213" s="950">
        <v>205</v>
      </c>
      <c r="D213" s="951" t="str">
        <f t="shared" si="18"/>
        <v/>
      </c>
      <c r="E213" s="951" t="str">
        <f t="shared" si="19"/>
        <v/>
      </c>
      <c r="F213" s="952"/>
      <c r="G213" s="951" t="str">
        <f t="shared" si="20"/>
        <v/>
      </c>
      <c r="H213" s="951" t="str">
        <f t="shared" si="21"/>
        <v/>
      </c>
      <c r="I213" s="970" t="str">
        <f t="shared" si="22"/>
        <v xml:space="preserve"> </v>
      </c>
    </row>
    <row r="214" spans="2:9">
      <c r="B214" s="949" t="str">
        <f t="shared" si="23"/>
        <v/>
      </c>
      <c r="C214" s="950">
        <v>206</v>
      </c>
      <c r="D214" s="951" t="str">
        <f t="shared" si="18"/>
        <v/>
      </c>
      <c r="E214" s="951" t="str">
        <f t="shared" si="19"/>
        <v/>
      </c>
      <c r="F214" s="952"/>
      <c r="G214" s="951" t="str">
        <f t="shared" si="20"/>
        <v/>
      </c>
      <c r="H214" s="951" t="str">
        <f t="shared" si="21"/>
        <v/>
      </c>
      <c r="I214" s="970" t="str">
        <f t="shared" si="22"/>
        <v xml:space="preserve"> </v>
      </c>
    </row>
    <row r="215" spans="2:9">
      <c r="B215" s="949" t="str">
        <f t="shared" si="23"/>
        <v/>
      </c>
      <c r="C215" s="950">
        <v>207</v>
      </c>
      <c r="D215" s="951" t="str">
        <f t="shared" si="18"/>
        <v/>
      </c>
      <c r="E215" s="951" t="str">
        <f t="shared" si="19"/>
        <v/>
      </c>
      <c r="F215" s="952"/>
      <c r="G215" s="951" t="str">
        <f t="shared" si="20"/>
        <v/>
      </c>
      <c r="H215" s="951" t="str">
        <f t="shared" si="21"/>
        <v/>
      </c>
      <c r="I215" s="970" t="str">
        <f t="shared" si="22"/>
        <v xml:space="preserve"> </v>
      </c>
    </row>
    <row r="216" spans="2:9">
      <c r="B216" s="949" t="str">
        <f t="shared" si="23"/>
        <v/>
      </c>
      <c r="C216" s="950">
        <v>208</v>
      </c>
      <c r="D216" s="951" t="str">
        <f t="shared" si="18"/>
        <v/>
      </c>
      <c r="E216" s="951" t="str">
        <f t="shared" si="19"/>
        <v/>
      </c>
      <c r="F216" s="952"/>
      <c r="G216" s="951" t="str">
        <f t="shared" si="20"/>
        <v/>
      </c>
      <c r="H216" s="951" t="str">
        <f t="shared" si="21"/>
        <v/>
      </c>
      <c r="I216" s="970" t="str">
        <f t="shared" si="22"/>
        <v xml:space="preserve"> </v>
      </c>
    </row>
    <row r="217" spans="2:9">
      <c r="B217" s="949" t="str">
        <f t="shared" si="23"/>
        <v/>
      </c>
      <c r="C217" s="950">
        <v>209</v>
      </c>
      <c r="D217" s="951" t="str">
        <f t="shared" si="18"/>
        <v/>
      </c>
      <c r="E217" s="951" t="str">
        <f t="shared" si="19"/>
        <v/>
      </c>
      <c r="F217" s="952"/>
      <c r="G217" s="951" t="str">
        <f t="shared" si="20"/>
        <v/>
      </c>
      <c r="H217" s="951" t="str">
        <f t="shared" si="21"/>
        <v/>
      </c>
      <c r="I217" s="970" t="str">
        <f t="shared" si="22"/>
        <v xml:space="preserve"> </v>
      </c>
    </row>
    <row r="218" spans="2:9">
      <c r="B218" s="984" t="str">
        <f t="shared" si="23"/>
        <v/>
      </c>
      <c r="C218" s="985">
        <v>210</v>
      </c>
      <c r="D218" s="986" t="str">
        <f t="shared" si="18"/>
        <v/>
      </c>
      <c r="E218" s="986" t="str">
        <f t="shared" si="19"/>
        <v/>
      </c>
      <c r="F218" s="987"/>
      <c r="G218" s="986" t="str">
        <f t="shared" si="20"/>
        <v/>
      </c>
      <c r="H218" s="986" t="str">
        <f t="shared" si="21"/>
        <v/>
      </c>
      <c r="I218" s="988" t="str">
        <f t="shared" si="22"/>
        <v xml:space="preserve"> </v>
      </c>
    </row>
    <row r="219" spans="2:9">
      <c r="B219" s="949" t="str">
        <f t="shared" si="23"/>
        <v/>
      </c>
      <c r="C219" s="950">
        <v>211</v>
      </c>
      <c r="D219" s="951" t="str">
        <f t="shared" si="18"/>
        <v/>
      </c>
      <c r="E219" s="951" t="str">
        <f t="shared" si="19"/>
        <v/>
      </c>
      <c r="F219" s="952"/>
      <c r="G219" s="951" t="str">
        <f t="shared" si="20"/>
        <v/>
      </c>
      <c r="H219" s="951" t="str">
        <f t="shared" si="21"/>
        <v/>
      </c>
      <c r="I219" s="970" t="str">
        <f t="shared" si="22"/>
        <v xml:space="preserve"> </v>
      </c>
    </row>
    <row r="220" spans="2:9">
      <c r="B220" s="949" t="str">
        <f t="shared" si="23"/>
        <v/>
      </c>
      <c r="C220" s="950">
        <v>212</v>
      </c>
      <c r="D220" s="951" t="str">
        <f t="shared" si="18"/>
        <v/>
      </c>
      <c r="E220" s="951" t="str">
        <f t="shared" si="19"/>
        <v/>
      </c>
      <c r="F220" s="952"/>
      <c r="G220" s="951" t="str">
        <f t="shared" si="20"/>
        <v/>
      </c>
      <c r="H220" s="951" t="str">
        <f t="shared" si="21"/>
        <v/>
      </c>
      <c r="I220" s="970" t="str">
        <f t="shared" si="22"/>
        <v xml:space="preserve"> </v>
      </c>
    </row>
    <row r="221" spans="2:9">
      <c r="B221" s="949" t="str">
        <f t="shared" si="23"/>
        <v/>
      </c>
      <c r="C221" s="950">
        <v>213</v>
      </c>
      <c r="D221" s="951" t="str">
        <f t="shared" si="18"/>
        <v/>
      </c>
      <c r="E221" s="951" t="str">
        <f t="shared" si="19"/>
        <v/>
      </c>
      <c r="F221" s="952"/>
      <c r="G221" s="951" t="str">
        <f t="shared" si="20"/>
        <v/>
      </c>
      <c r="H221" s="951" t="str">
        <f t="shared" si="21"/>
        <v/>
      </c>
      <c r="I221" s="970" t="str">
        <f t="shared" si="22"/>
        <v xml:space="preserve"> </v>
      </c>
    </row>
    <row r="222" spans="2:9">
      <c r="B222" s="949" t="str">
        <f t="shared" si="23"/>
        <v/>
      </c>
      <c r="C222" s="950">
        <v>214</v>
      </c>
      <c r="D222" s="951" t="str">
        <f t="shared" si="18"/>
        <v/>
      </c>
      <c r="E222" s="951" t="str">
        <f t="shared" si="19"/>
        <v/>
      </c>
      <c r="F222" s="952"/>
      <c r="G222" s="951" t="str">
        <f t="shared" si="20"/>
        <v/>
      </c>
      <c r="H222" s="951" t="str">
        <f t="shared" si="21"/>
        <v/>
      </c>
      <c r="I222" s="970" t="str">
        <f t="shared" si="22"/>
        <v xml:space="preserve"> </v>
      </c>
    </row>
    <row r="223" spans="2:9">
      <c r="B223" s="949" t="str">
        <f t="shared" si="23"/>
        <v/>
      </c>
      <c r="C223" s="950">
        <v>215</v>
      </c>
      <c r="D223" s="951" t="str">
        <f t="shared" si="18"/>
        <v/>
      </c>
      <c r="E223" s="951" t="str">
        <f t="shared" si="19"/>
        <v/>
      </c>
      <c r="F223" s="952"/>
      <c r="G223" s="951" t="str">
        <f t="shared" si="20"/>
        <v/>
      </c>
      <c r="H223" s="951" t="str">
        <f t="shared" si="21"/>
        <v/>
      </c>
      <c r="I223" s="970" t="str">
        <f t="shared" si="22"/>
        <v xml:space="preserve"> </v>
      </c>
    </row>
    <row r="224" spans="2:9">
      <c r="B224" s="949" t="str">
        <f t="shared" si="23"/>
        <v/>
      </c>
      <c r="C224" s="950">
        <v>216</v>
      </c>
      <c r="D224" s="951" t="str">
        <f t="shared" si="18"/>
        <v/>
      </c>
      <c r="E224" s="951" t="str">
        <f t="shared" si="19"/>
        <v/>
      </c>
      <c r="F224" s="952"/>
      <c r="G224" s="951" t="str">
        <f t="shared" si="20"/>
        <v/>
      </c>
      <c r="H224" s="951" t="str">
        <f t="shared" si="21"/>
        <v/>
      </c>
      <c r="I224" s="970" t="str">
        <f t="shared" si="22"/>
        <v xml:space="preserve"> </v>
      </c>
    </row>
    <row r="225" spans="2:9">
      <c r="B225" s="949" t="str">
        <f t="shared" si="23"/>
        <v/>
      </c>
      <c r="C225" s="950">
        <v>217</v>
      </c>
      <c r="D225" s="951" t="str">
        <f t="shared" si="18"/>
        <v/>
      </c>
      <c r="E225" s="951" t="str">
        <f t="shared" si="19"/>
        <v/>
      </c>
      <c r="F225" s="952"/>
      <c r="G225" s="951" t="str">
        <f t="shared" si="20"/>
        <v/>
      </c>
      <c r="H225" s="951" t="str">
        <f t="shared" si="21"/>
        <v/>
      </c>
      <c r="I225" s="970" t="str">
        <f t="shared" si="22"/>
        <v xml:space="preserve"> </v>
      </c>
    </row>
    <row r="226" spans="2:9">
      <c r="B226" s="949" t="str">
        <f t="shared" si="23"/>
        <v/>
      </c>
      <c r="C226" s="950">
        <v>218</v>
      </c>
      <c r="D226" s="951" t="str">
        <f t="shared" si="18"/>
        <v/>
      </c>
      <c r="E226" s="951" t="str">
        <f t="shared" si="19"/>
        <v/>
      </c>
      <c r="F226" s="952"/>
      <c r="G226" s="951" t="str">
        <f t="shared" si="20"/>
        <v/>
      </c>
      <c r="H226" s="951" t="str">
        <f t="shared" si="21"/>
        <v/>
      </c>
      <c r="I226" s="970" t="str">
        <f t="shared" si="22"/>
        <v xml:space="preserve"> </v>
      </c>
    </row>
    <row r="227" spans="2:9">
      <c r="B227" s="949" t="str">
        <f t="shared" si="23"/>
        <v/>
      </c>
      <c r="C227" s="950">
        <v>219</v>
      </c>
      <c r="D227" s="951" t="str">
        <f t="shared" si="18"/>
        <v/>
      </c>
      <c r="E227" s="951" t="str">
        <f t="shared" si="19"/>
        <v/>
      </c>
      <c r="F227" s="952"/>
      <c r="G227" s="951" t="str">
        <f t="shared" si="20"/>
        <v/>
      </c>
      <c r="H227" s="951" t="str">
        <f t="shared" si="21"/>
        <v/>
      </c>
      <c r="I227" s="970" t="str">
        <f t="shared" si="22"/>
        <v xml:space="preserve"> </v>
      </c>
    </row>
    <row r="228" spans="2:9">
      <c r="B228" s="984" t="str">
        <f t="shared" si="23"/>
        <v/>
      </c>
      <c r="C228" s="985">
        <v>220</v>
      </c>
      <c r="D228" s="986" t="str">
        <f t="shared" si="18"/>
        <v/>
      </c>
      <c r="E228" s="986" t="str">
        <f t="shared" si="19"/>
        <v/>
      </c>
      <c r="F228" s="987"/>
      <c r="G228" s="986" t="str">
        <f t="shared" si="20"/>
        <v/>
      </c>
      <c r="H228" s="986" t="str">
        <f t="shared" si="21"/>
        <v/>
      </c>
      <c r="I228" s="988" t="str">
        <f t="shared" si="22"/>
        <v xml:space="preserve"> </v>
      </c>
    </row>
    <row r="229" spans="2:9">
      <c r="B229" s="949" t="str">
        <f t="shared" si="23"/>
        <v/>
      </c>
      <c r="C229" s="950">
        <v>221</v>
      </c>
      <c r="D229" s="951" t="str">
        <f t="shared" si="18"/>
        <v/>
      </c>
      <c r="E229" s="951" t="str">
        <f t="shared" si="19"/>
        <v/>
      </c>
      <c r="F229" s="952"/>
      <c r="G229" s="951" t="str">
        <f t="shared" si="20"/>
        <v/>
      </c>
      <c r="H229" s="951" t="str">
        <f t="shared" si="21"/>
        <v/>
      </c>
      <c r="I229" s="970" t="str">
        <f t="shared" si="22"/>
        <v xml:space="preserve"> </v>
      </c>
    </row>
    <row r="230" spans="2:9">
      <c r="B230" s="949" t="str">
        <f t="shared" si="23"/>
        <v/>
      </c>
      <c r="C230" s="950">
        <v>222</v>
      </c>
      <c r="D230" s="951" t="str">
        <f t="shared" si="18"/>
        <v/>
      </c>
      <c r="E230" s="951" t="str">
        <f t="shared" si="19"/>
        <v/>
      </c>
      <c r="F230" s="952"/>
      <c r="G230" s="951" t="str">
        <f t="shared" si="20"/>
        <v/>
      </c>
      <c r="H230" s="951" t="str">
        <f t="shared" si="21"/>
        <v/>
      </c>
      <c r="I230" s="970" t="str">
        <f t="shared" si="22"/>
        <v xml:space="preserve"> </v>
      </c>
    </row>
    <row r="231" spans="2:9">
      <c r="B231" s="949" t="str">
        <f t="shared" si="23"/>
        <v/>
      </c>
      <c r="C231" s="950">
        <v>223</v>
      </c>
      <c r="D231" s="951" t="str">
        <f t="shared" si="18"/>
        <v/>
      </c>
      <c r="E231" s="951" t="str">
        <f t="shared" si="19"/>
        <v/>
      </c>
      <c r="F231" s="952"/>
      <c r="G231" s="951" t="str">
        <f t="shared" si="20"/>
        <v/>
      </c>
      <c r="H231" s="951" t="str">
        <f t="shared" si="21"/>
        <v/>
      </c>
      <c r="I231" s="970" t="str">
        <f t="shared" si="22"/>
        <v xml:space="preserve"> </v>
      </c>
    </row>
    <row r="232" spans="2:9">
      <c r="B232" s="949" t="str">
        <f t="shared" si="23"/>
        <v/>
      </c>
      <c r="C232" s="950">
        <v>224</v>
      </c>
      <c r="D232" s="951" t="str">
        <f t="shared" si="18"/>
        <v/>
      </c>
      <c r="E232" s="951" t="str">
        <f t="shared" si="19"/>
        <v/>
      </c>
      <c r="F232" s="952"/>
      <c r="G232" s="951" t="str">
        <f t="shared" si="20"/>
        <v/>
      </c>
      <c r="H232" s="951" t="str">
        <f t="shared" si="21"/>
        <v/>
      </c>
      <c r="I232" s="970" t="str">
        <f t="shared" si="22"/>
        <v xml:space="preserve"> </v>
      </c>
    </row>
    <row r="233" spans="2:9">
      <c r="B233" s="949" t="str">
        <f t="shared" si="23"/>
        <v/>
      </c>
      <c r="C233" s="950">
        <v>225</v>
      </c>
      <c r="D233" s="951" t="str">
        <f t="shared" si="18"/>
        <v/>
      </c>
      <c r="E233" s="951" t="str">
        <f t="shared" si="19"/>
        <v/>
      </c>
      <c r="F233" s="952"/>
      <c r="G233" s="951" t="str">
        <f t="shared" si="20"/>
        <v/>
      </c>
      <c r="H233" s="951" t="str">
        <f t="shared" si="21"/>
        <v/>
      </c>
      <c r="I233" s="970" t="str">
        <f t="shared" si="22"/>
        <v xml:space="preserve"> </v>
      </c>
    </row>
    <row r="234" spans="2:9">
      <c r="B234" s="949" t="str">
        <f t="shared" si="23"/>
        <v/>
      </c>
      <c r="C234" s="950">
        <v>226</v>
      </c>
      <c r="D234" s="951" t="str">
        <f t="shared" si="18"/>
        <v/>
      </c>
      <c r="E234" s="951" t="str">
        <f t="shared" si="19"/>
        <v/>
      </c>
      <c r="F234" s="952"/>
      <c r="G234" s="951" t="str">
        <f t="shared" si="20"/>
        <v/>
      </c>
      <c r="H234" s="951" t="str">
        <f t="shared" si="21"/>
        <v/>
      </c>
      <c r="I234" s="970" t="str">
        <f t="shared" si="22"/>
        <v xml:space="preserve"> </v>
      </c>
    </row>
    <row r="235" spans="2:9">
      <c r="B235" s="949" t="str">
        <f t="shared" si="23"/>
        <v/>
      </c>
      <c r="C235" s="950">
        <v>227</v>
      </c>
      <c r="D235" s="951" t="str">
        <f t="shared" si="18"/>
        <v/>
      </c>
      <c r="E235" s="951" t="str">
        <f t="shared" si="19"/>
        <v/>
      </c>
      <c r="F235" s="952"/>
      <c r="G235" s="951" t="str">
        <f t="shared" si="20"/>
        <v/>
      </c>
      <c r="H235" s="951" t="str">
        <f t="shared" si="21"/>
        <v/>
      </c>
      <c r="I235" s="970" t="str">
        <f t="shared" si="22"/>
        <v xml:space="preserve"> </v>
      </c>
    </row>
    <row r="236" spans="2:9">
      <c r="B236" s="949" t="str">
        <f t="shared" si="23"/>
        <v/>
      </c>
      <c r="C236" s="950">
        <v>228</v>
      </c>
      <c r="D236" s="951" t="str">
        <f t="shared" si="18"/>
        <v/>
      </c>
      <c r="E236" s="951" t="str">
        <f t="shared" si="19"/>
        <v/>
      </c>
      <c r="F236" s="952"/>
      <c r="G236" s="951" t="str">
        <f t="shared" si="20"/>
        <v/>
      </c>
      <c r="H236" s="951" t="str">
        <f t="shared" si="21"/>
        <v/>
      </c>
      <c r="I236" s="970" t="str">
        <f t="shared" si="22"/>
        <v xml:space="preserve"> </v>
      </c>
    </row>
    <row r="237" spans="2:9">
      <c r="B237" s="949" t="str">
        <f t="shared" si="23"/>
        <v/>
      </c>
      <c r="C237" s="950">
        <v>229</v>
      </c>
      <c r="D237" s="951" t="str">
        <f t="shared" si="18"/>
        <v/>
      </c>
      <c r="E237" s="951" t="str">
        <f t="shared" si="19"/>
        <v/>
      </c>
      <c r="F237" s="952"/>
      <c r="G237" s="951" t="str">
        <f t="shared" si="20"/>
        <v/>
      </c>
      <c r="H237" s="951" t="str">
        <f t="shared" si="21"/>
        <v/>
      </c>
      <c r="I237" s="970" t="str">
        <f t="shared" si="22"/>
        <v xml:space="preserve"> </v>
      </c>
    </row>
    <row r="238" spans="2:9">
      <c r="B238" s="984" t="str">
        <f t="shared" si="23"/>
        <v/>
      </c>
      <c r="C238" s="985">
        <v>230</v>
      </c>
      <c r="D238" s="986" t="str">
        <f t="shared" si="18"/>
        <v/>
      </c>
      <c r="E238" s="986" t="str">
        <f t="shared" si="19"/>
        <v/>
      </c>
      <c r="F238" s="987"/>
      <c r="G238" s="986" t="str">
        <f t="shared" si="20"/>
        <v/>
      </c>
      <c r="H238" s="986" t="str">
        <f t="shared" si="21"/>
        <v/>
      </c>
      <c r="I238" s="988" t="str">
        <f t="shared" si="22"/>
        <v xml:space="preserve"> </v>
      </c>
    </row>
    <row r="239" spans="2:9">
      <c r="B239" s="949" t="str">
        <f t="shared" si="23"/>
        <v/>
      </c>
      <c r="C239" s="950">
        <v>231</v>
      </c>
      <c r="D239" s="951" t="str">
        <f t="shared" si="18"/>
        <v/>
      </c>
      <c r="E239" s="951" t="str">
        <f t="shared" si="19"/>
        <v/>
      </c>
      <c r="F239" s="952"/>
      <c r="G239" s="951" t="str">
        <f t="shared" si="20"/>
        <v/>
      </c>
      <c r="H239" s="951" t="str">
        <f t="shared" si="21"/>
        <v/>
      </c>
      <c r="I239" s="970" t="str">
        <f t="shared" si="22"/>
        <v xml:space="preserve"> </v>
      </c>
    </row>
    <row r="240" spans="2:9">
      <c r="B240" s="949" t="str">
        <f t="shared" si="23"/>
        <v/>
      </c>
      <c r="C240" s="950">
        <v>232</v>
      </c>
      <c r="D240" s="951" t="str">
        <f t="shared" si="18"/>
        <v/>
      </c>
      <c r="E240" s="951" t="str">
        <f t="shared" si="19"/>
        <v/>
      </c>
      <c r="F240" s="952"/>
      <c r="G240" s="951" t="str">
        <f t="shared" si="20"/>
        <v/>
      </c>
      <c r="H240" s="951" t="str">
        <f t="shared" si="21"/>
        <v/>
      </c>
      <c r="I240" s="970" t="str">
        <f t="shared" si="22"/>
        <v xml:space="preserve"> </v>
      </c>
    </row>
    <row r="241" spans="2:9">
      <c r="B241" s="949" t="str">
        <f t="shared" si="23"/>
        <v/>
      </c>
      <c r="C241" s="950">
        <v>233</v>
      </c>
      <c r="D241" s="951" t="str">
        <f t="shared" si="18"/>
        <v/>
      </c>
      <c r="E241" s="951" t="str">
        <f t="shared" si="19"/>
        <v/>
      </c>
      <c r="F241" s="952"/>
      <c r="G241" s="951" t="str">
        <f t="shared" si="20"/>
        <v/>
      </c>
      <c r="H241" s="951" t="str">
        <f t="shared" si="21"/>
        <v/>
      </c>
      <c r="I241" s="970" t="str">
        <f t="shared" si="22"/>
        <v xml:space="preserve"> </v>
      </c>
    </row>
    <row r="242" spans="2:9">
      <c r="B242" s="949" t="str">
        <f t="shared" si="23"/>
        <v/>
      </c>
      <c r="C242" s="950">
        <v>234</v>
      </c>
      <c r="D242" s="951" t="str">
        <f t="shared" si="18"/>
        <v/>
      </c>
      <c r="E242" s="951" t="str">
        <f t="shared" si="19"/>
        <v/>
      </c>
      <c r="F242" s="952"/>
      <c r="G242" s="951" t="str">
        <f t="shared" si="20"/>
        <v/>
      </c>
      <c r="H242" s="951" t="str">
        <f t="shared" si="21"/>
        <v/>
      </c>
      <c r="I242" s="970" t="str">
        <f t="shared" si="22"/>
        <v xml:space="preserve"> </v>
      </c>
    </row>
    <row r="243" spans="2:9">
      <c r="B243" s="949" t="str">
        <f t="shared" si="23"/>
        <v/>
      </c>
      <c r="C243" s="950">
        <v>235</v>
      </c>
      <c r="D243" s="951" t="str">
        <f t="shared" si="18"/>
        <v/>
      </c>
      <c r="E243" s="951" t="str">
        <f t="shared" si="19"/>
        <v/>
      </c>
      <c r="F243" s="952"/>
      <c r="G243" s="951" t="str">
        <f t="shared" si="20"/>
        <v/>
      </c>
      <c r="H243" s="951" t="str">
        <f t="shared" si="21"/>
        <v/>
      </c>
      <c r="I243" s="970" t="str">
        <f t="shared" si="22"/>
        <v xml:space="preserve"> </v>
      </c>
    </row>
    <row r="244" spans="2:9">
      <c r="B244" s="949" t="str">
        <f t="shared" si="23"/>
        <v/>
      </c>
      <c r="C244" s="950">
        <v>236</v>
      </c>
      <c r="D244" s="951" t="str">
        <f t="shared" si="18"/>
        <v/>
      </c>
      <c r="E244" s="951" t="str">
        <f t="shared" si="19"/>
        <v/>
      </c>
      <c r="F244" s="952"/>
      <c r="G244" s="951" t="str">
        <f t="shared" si="20"/>
        <v/>
      </c>
      <c r="H244" s="951" t="str">
        <f t="shared" si="21"/>
        <v/>
      </c>
      <c r="I244" s="970" t="str">
        <f t="shared" si="22"/>
        <v xml:space="preserve"> </v>
      </c>
    </row>
    <row r="245" spans="2:9">
      <c r="B245" s="949" t="str">
        <f t="shared" si="23"/>
        <v/>
      </c>
      <c r="C245" s="950">
        <v>237</v>
      </c>
      <c r="D245" s="951" t="str">
        <f t="shared" si="18"/>
        <v/>
      </c>
      <c r="E245" s="951" t="str">
        <f t="shared" si="19"/>
        <v/>
      </c>
      <c r="F245" s="952"/>
      <c r="G245" s="951" t="str">
        <f t="shared" si="20"/>
        <v/>
      </c>
      <c r="H245" s="951" t="str">
        <f t="shared" si="21"/>
        <v/>
      </c>
      <c r="I245" s="970" t="str">
        <f t="shared" si="22"/>
        <v xml:space="preserve"> </v>
      </c>
    </row>
    <row r="246" spans="2:9">
      <c r="B246" s="949" t="str">
        <f t="shared" si="23"/>
        <v/>
      </c>
      <c r="C246" s="950">
        <v>238</v>
      </c>
      <c r="D246" s="951" t="str">
        <f t="shared" si="18"/>
        <v/>
      </c>
      <c r="E246" s="951" t="str">
        <f t="shared" si="19"/>
        <v/>
      </c>
      <c r="F246" s="952"/>
      <c r="G246" s="951" t="str">
        <f t="shared" si="20"/>
        <v/>
      </c>
      <c r="H246" s="951" t="str">
        <f t="shared" si="21"/>
        <v/>
      </c>
      <c r="I246" s="970" t="str">
        <f t="shared" si="22"/>
        <v xml:space="preserve"> </v>
      </c>
    </row>
    <row r="247" spans="2:9">
      <c r="B247" s="949" t="str">
        <f t="shared" si="23"/>
        <v/>
      </c>
      <c r="C247" s="950">
        <v>239</v>
      </c>
      <c r="D247" s="951" t="str">
        <f t="shared" si="18"/>
        <v/>
      </c>
      <c r="E247" s="951" t="str">
        <f t="shared" si="19"/>
        <v/>
      </c>
      <c r="F247" s="952"/>
      <c r="G247" s="951" t="str">
        <f t="shared" si="20"/>
        <v/>
      </c>
      <c r="H247" s="951" t="str">
        <f t="shared" si="21"/>
        <v/>
      </c>
      <c r="I247" s="970" t="str">
        <f t="shared" si="22"/>
        <v xml:space="preserve"> </v>
      </c>
    </row>
    <row r="248" spans="2:9" ht="17.25" thickBot="1">
      <c r="B248" s="984" t="str">
        <f t="shared" si="23"/>
        <v/>
      </c>
      <c r="C248" s="989">
        <v>240</v>
      </c>
      <c r="D248" s="986" t="str">
        <f t="shared" si="18"/>
        <v/>
      </c>
      <c r="E248" s="986" t="str">
        <f t="shared" si="19"/>
        <v/>
      </c>
      <c r="F248" s="990"/>
      <c r="G248" s="986" t="str">
        <f t="shared" si="20"/>
        <v/>
      </c>
      <c r="H248" s="986" t="str">
        <f t="shared" si="21"/>
        <v/>
      </c>
      <c r="I248" s="988" t="str">
        <f t="shared" si="22"/>
        <v xml:space="preserve"> </v>
      </c>
    </row>
    <row r="249" spans="2:9" ht="17.25" thickBot="1">
      <c r="B249" s="1673" t="s">
        <v>596</v>
      </c>
      <c r="C249" s="1674"/>
      <c r="D249" s="991">
        <f>SUM(D9:D248)</f>
        <v>0</v>
      </c>
      <c r="E249" s="992">
        <f>SUM(E9:E248)</f>
        <v>0</v>
      </c>
      <c r="F249" s="992">
        <f>SUM(F9:F248)</f>
        <v>0</v>
      </c>
      <c r="G249" s="992">
        <f>SUM(G9:G248)</f>
        <v>0</v>
      </c>
      <c r="H249" s="992"/>
      <c r="I249" s="993">
        <f>SUM(I9:I248)</f>
        <v>0</v>
      </c>
    </row>
  </sheetData>
  <sheetProtection algorithmName="SHA-512" hashValue="QlZygb9vDhp0OGMLvDPkW9q2NhjeitTriR3wmxzJfcF1r6Y1NbuQTrCyRVYGIT0Vde8XBk/TEL5ear2hZdlv8g==" saltValue="17QIr1P3z5dnrprfELrLjA==" spinCount="100000" sheet="1" objects="1" scenarios="1"/>
  <mergeCells count="7">
    <mergeCell ref="B249:C249"/>
    <mergeCell ref="C1:E1"/>
    <mergeCell ref="F1:I1"/>
    <mergeCell ref="D2:E2"/>
    <mergeCell ref="H2:I2"/>
    <mergeCell ref="D6:I6"/>
    <mergeCell ref="B8:G8"/>
  </mergeCells>
  <phoneticPr fontId="5" type="noConversion"/>
  <dataValidations count="1">
    <dataValidation allowBlank="1" showInputMessage="1" showErrorMessage="1" prompt="대출 요약은 아래 셀에 자동으로 업데이트됩니다." sqref="F2"/>
  </dataValidations>
  <printOptions horizontalCentered="1" verticalCentered="1"/>
  <pageMargins left="0.19685039370078741" right="0.19685039370078741" top="0.47244094488188981" bottom="0.47244094488188981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B1:AH226"/>
  <sheetViews>
    <sheetView showGridLines="0" workbookViewId="0">
      <selection activeCell="O21" sqref="O21"/>
    </sheetView>
  </sheetViews>
  <sheetFormatPr defaultRowHeight="16.5"/>
  <cols>
    <col min="1" max="1" width="1.125" style="161" customWidth="1"/>
    <col min="2" max="2" width="13.875" style="1093" customWidth="1"/>
    <col min="3" max="3" width="9" style="1016"/>
    <col min="4" max="4" width="10" style="1016" customWidth="1"/>
    <col min="5" max="5" width="11" style="1094" bestFit="1" customWidth="1"/>
    <col min="6" max="6" width="12" style="1094" customWidth="1"/>
    <col min="7" max="7" width="18.375" style="1095" bestFit="1" customWidth="1"/>
    <col min="8" max="8" width="20.5" style="1094" customWidth="1"/>
    <col min="9" max="9" width="11.375" style="1094" bestFit="1" customWidth="1"/>
    <col min="10" max="10" width="12.25" style="1094" bestFit="1" customWidth="1"/>
    <col min="11" max="11" width="22.25" style="1094" bestFit="1" customWidth="1"/>
    <col min="12" max="12" width="2.75" style="161" customWidth="1"/>
    <col min="13" max="14" width="9.375" style="161" customWidth="1"/>
    <col min="15" max="16" width="9" style="161"/>
    <col min="17" max="18" width="10.625" style="161" customWidth="1"/>
    <col min="19" max="19" width="2" style="161" customWidth="1"/>
    <col min="20" max="20" width="11.375" style="161" customWidth="1"/>
    <col min="21" max="21" width="19.375" style="161" customWidth="1"/>
    <col min="22" max="22" width="1.75" style="161" customWidth="1"/>
    <col min="23" max="24" width="8.875" style="161" customWidth="1"/>
    <col min="25" max="25" width="10.625" style="161" bestFit="1" customWidth="1"/>
    <col min="26" max="30" width="14.375" style="161" customWidth="1"/>
    <col min="31" max="31" width="7.875" style="161" customWidth="1"/>
    <col min="32" max="34" width="10.25" style="161" customWidth="1"/>
    <col min="35" max="16384" width="9" style="161"/>
  </cols>
  <sheetData>
    <row r="1" spans="2:26" ht="22.5" customHeight="1" thickBot="1">
      <c r="B1" s="1760" t="s">
        <v>660</v>
      </c>
      <c r="C1" s="1760"/>
      <c r="D1" s="1760"/>
      <c r="E1" s="1760"/>
      <c r="F1" s="1760"/>
      <c r="G1" s="1760"/>
      <c r="H1" s="1000"/>
      <c r="I1" s="1000"/>
      <c r="J1" s="1000"/>
      <c r="K1" s="1000"/>
      <c r="M1" s="1001"/>
      <c r="N1" s="1001"/>
      <c r="O1" s="1001"/>
      <c r="P1" s="1001"/>
      <c r="Q1" s="1001"/>
      <c r="R1" s="1001"/>
      <c r="S1" s="1001"/>
      <c r="T1" s="1001" t="s">
        <v>598</v>
      </c>
      <c r="U1" s="1001"/>
      <c r="V1" s="1001"/>
      <c r="W1" s="1001"/>
      <c r="X1" s="1001"/>
      <c r="Y1" s="1001"/>
    </row>
    <row r="2" spans="2:26" ht="19.5" customHeight="1" thickTop="1">
      <c r="B2" s="1725" t="s">
        <v>599</v>
      </c>
      <c r="C2" s="1725"/>
      <c r="D2" s="1725"/>
      <c r="E2" s="1725"/>
      <c r="F2" s="1002"/>
      <c r="G2" s="1003"/>
      <c r="H2" s="1003"/>
      <c r="I2" s="1003"/>
      <c r="J2" s="1003"/>
      <c r="K2" s="1003"/>
      <c r="M2" s="1727" t="s">
        <v>600</v>
      </c>
      <c r="N2" s="1728"/>
      <c r="O2" s="1728"/>
      <c r="P2" s="1728"/>
      <c r="Q2" s="1004"/>
      <c r="R2" s="1005"/>
      <c r="S2" s="1002"/>
      <c r="T2" s="1762" t="s">
        <v>601</v>
      </c>
      <c r="U2" s="1764"/>
      <c r="V2" s="1006"/>
      <c r="W2" s="1691" t="s">
        <v>602</v>
      </c>
      <c r="X2" s="1692"/>
      <c r="Y2" s="1692"/>
      <c r="Z2" s="1693"/>
    </row>
    <row r="3" spans="2:26" ht="19.5" customHeight="1" thickBot="1">
      <c r="B3" s="1726"/>
      <c r="C3" s="1726"/>
      <c r="D3" s="1726"/>
      <c r="E3" s="1726"/>
      <c r="F3" s="1000"/>
      <c r="G3" s="1007"/>
      <c r="H3" s="1697"/>
      <c r="I3" s="1697"/>
      <c r="J3" s="1697"/>
      <c r="K3" s="1697"/>
      <c r="M3" s="1729"/>
      <c r="N3" s="1730"/>
      <c r="O3" s="1730"/>
      <c r="P3" s="1730"/>
      <c r="Q3" s="1008"/>
      <c r="R3" s="1009"/>
      <c r="S3" s="1008"/>
      <c r="T3" s="1763"/>
      <c r="U3" s="1765"/>
      <c r="V3" s="1006"/>
      <c r="W3" s="1694"/>
      <c r="X3" s="1695"/>
      <c r="Y3" s="1695"/>
      <c r="Z3" s="1696"/>
    </row>
    <row r="4" spans="2:26" s="1016" customFormat="1" ht="34.5" customHeight="1" thickTop="1" thickBot="1">
      <c r="B4" s="1010" t="s">
        <v>603</v>
      </c>
      <c r="C4" s="1011" t="s">
        <v>604</v>
      </c>
      <c r="D4" s="1012" t="s">
        <v>605</v>
      </c>
      <c r="E4" s="1012" t="s">
        <v>606</v>
      </c>
      <c r="F4" s="1012" t="s">
        <v>607</v>
      </c>
      <c r="G4" s="1013" t="s">
        <v>608</v>
      </c>
      <c r="H4" s="1012" t="s">
        <v>609</v>
      </c>
      <c r="I4" s="1014" t="s">
        <v>610</v>
      </c>
      <c r="J4" s="1014" t="s">
        <v>611</v>
      </c>
      <c r="K4" s="1015" t="s">
        <v>612</v>
      </c>
      <c r="M4" s="1731" t="s">
        <v>613</v>
      </c>
      <c r="N4" s="1732"/>
      <c r="O4" s="1733" t="s">
        <v>614</v>
      </c>
      <c r="P4" s="1734"/>
      <c r="Q4" s="1735" t="s">
        <v>615</v>
      </c>
      <c r="R4" s="1736"/>
      <c r="S4" s="1017"/>
      <c r="T4" s="1705" t="s">
        <v>616</v>
      </c>
      <c r="U4" s="1706"/>
      <c r="V4" s="1018"/>
      <c r="W4" s="1740" t="s">
        <v>617</v>
      </c>
      <c r="X4" s="1741"/>
      <c r="Y4" s="1019" t="s">
        <v>618</v>
      </c>
      <c r="Z4" s="1020" t="s">
        <v>619</v>
      </c>
    </row>
    <row r="5" spans="2:26" ht="17.45" customHeight="1" thickTop="1">
      <c r="B5" s="1021"/>
      <c r="C5" s="1022"/>
      <c r="D5" s="1022"/>
      <c r="E5" s="1023"/>
      <c r="F5" s="1023"/>
      <c r="G5" s="1024"/>
      <c r="H5" s="1023"/>
      <c r="I5" s="1025"/>
      <c r="J5" s="1025"/>
      <c r="K5" s="1026"/>
      <c r="M5" s="1699" t="s">
        <v>620</v>
      </c>
      <c r="N5" s="1700"/>
      <c r="O5" s="1701">
        <f>SUMIFS(G:G, C:C, "보냄")</f>
        <v>0</v>
      </c>
      <c r="P5" s="1702"/>
      <c r="Q5" s="1703"/>
      <c r="R5" s="1704"/>
      <c r="S5" s="1027"/>
      <c r="T5" s="1028" t="s">
        <v>621</v>
      </c>
      <c r="U5" s="1029">
        <f>SUMIFS(G:G, D:D, U2, C:C, "보냄")</f>
        <v>0</v>
      </c>
      <c r="V5" s="1030"/>
      <c r="W5" s="1031" t="s">
        <v>622</v>
      </c>
      <c r="X5" s="994">
        <f>COUNTIFS(D:D, $U$2, C:C, "보냄", J:J, "*24K*", J:J, "*1돈*")</f>
        <v>0</v>
      </c>
      <c r="Y5" s="994">
        <f>COUNTIFS(D:D, $U$2, C:C, "보냄", J:J, "*18K*", J:J, "*1돈*")</f>
        <v>0</v>
      </c>
      <c r="Z5" s="1032"/>
    </row>
    <row r="6" spans="2:26" ht="17.45" customHeight="1">
      <c r="B6" s="1033"/>
      <c r="C6" s="1034"/>
      <c r="D6" s="1034"/>
      <c r="E6" s="1035"/>
      <c r="F6" s="1035"/>
      <c r="G6" s="1036"/>
      <c r="H6" s="1035"/>
      <c r="I6" s="997"/>
      <c r="J6" s="997"/>
      <c r="K6" s="1037"/>
      <c r="M6" s="1742" t="s">
        <v>623</v>
      </c>
      <c r="N6" s="1743"/>
      <c r="O6" s="995">
        <f>COUNTIFS(C:C, "보냄", I:I, "*금반지*")</f>
        <v>0</v>
      </c>
      <c r="P6" s="1034"/>
      <c r="Q6" s="1715"/>
      <c r="R6" s="1744"/>
      <c r="S6" s="1038"/>
      <c r="T6" s="1039" t="s">
        <v>623</v>
      </c>
      <c r="U6" s="1040">
        <f>COUNTIFS(D:D, U2, C:C, "보냄", I:I, "금반지")</f>
        <v>0</v>
      </c>
      <c r="V6" s="117"/>
      <c r="W6" s="1041" t="s">
        <v>624</v>
      </c>
      <c r="X6" s="994">
        <f>COUNTIFS(D:D, $U$2, C:C, "보냄", J:J, "*24K*", J:J, "*1돈반*")</f>
        <v>0</v>
      </c>
      <c r="Y6" s="994">
        <f>COUNTIFS(D:D, $U$2, C:C, "보냄", J:J, "*18K*", J:J, "*1돈반*")</f>
        <v>0</v>
      </c>
      <c r="Z6" s="1032"/>
    </row>
    <row r="7" spans="2:26" ht="17.45" customHeight="1">
      <c r="B7" s="1033"/>
      <c r="C7" s="1034"/>
      <c r="D7" s="1034"/>
      <c r="E7" s="1035"/>
      <c r="F7" s="1035"/>
      <c r="G7" s="1036"/>
      <c r="H7" s="1035"/>
      <c r="I7" s="997"/>
      <c r="J7" s="997"/>
      <c r="K7" s="1037"/>
      <c r="M7" s="1742" t="s">
        <v>625</v>
      </c>
      <c r="N7" s="1743"/>
      <c r="O7" s="995">
        <f>COUNTIFS(C:C, "보냄", I:I, "*금팔*")</f>
        <v>0</v>
      </c>
      <c r="P7" s="1034"/>
      <c r="Q7" s="1715"/>
      <c r="R7" s="1744"/>
      <c r="S7" s="1038"/>
      <c r="T7" s="1039" t="s">
        <v>626</v>
      </c>
      <c r="U7" s="1040">
        <f>COUNTIFS(D:D, U2, C:C, "보냄", I:I, "금팔찌")</f>
        <v>0</v>
      </c>
      <c r="V7" s="117"/>
      <c r="W7" s="1041" t="s">
        <v>627</v>
      </c>
      <c r="X7" s="994">
        <f>COUNTIFS(D:D, $U$2, C:C, "보냄", J:J, "*24K*", J:J, "*2돈*")</f>
        <v>0</v>
      </c>
      <c r="Y7" s="994">
        <f>COUNTIFS(D:D, $U$2, C:C, "보냄", J:J, "*18K*", J:J, "*2돈*")</f>
        <v>0</v>
      </c>
      <c r="Z7" s="1032"/>
    </row>
    <row r="8" spans="2:26" ht="17.45" customHeight="1" thickBot="1">
      <c r="B8" s="1033"/>
      <c r="C8" s="1034"/>
      <c r="D8" s="1034"/>
      <c r="E8" s="1035"/>
      <c r="F8" s="1035"/>
      <c r="G8" s="1036"/>
      <c r="H8" s="1035"/>
      <c r="I8" s="997"/>
      <c r="J8" s="997"/>
      <c r="K8" s="1037"/>
      <c r="M8" s="1766" t="s">
        <v>628</v>
      </c>
      <c r="N8" s="1767"/>
      <c r="O8" s="593">
        <f>COUNTIFS(C:C, "보냄", I:I, "*기타*")</f>
        <v>0</v>
      </c>
      <c r="P8" s="1042"/>
      <c r="Q8" s="1768"/>
      <c r="R8" s="1769"/>
      <c r="S8" s="375"/>
      <c r="T8" s="1039" t="s">
        <v>629</v>
      </c>
      <c r="U8" s="1040">
        <f>COUNTIFS(D:D, U2, C:C, "보냄", I:I, "기타")</f>
        <v>0</v>
      </c>
      <c r="V8" s="117"/>
      <c r="W8" s="1041" t="s">
        <v>630</v>
      </c>
      <c r="X8" s="994">
        <f>COUNTIFS(D:D, $U$2, C:C, "보냄", J:J, "*24K*", J:J, "*1g*")</f>
        <v>0</v>
      </c>
      <c r="Y8" s="994">
        <f>COUNTIFS(D:D, $U$2, C:C, "보냄", J:J, "*18K*", J:J, "*1g*")</f>
        <v>0</v>
      </c>
      <c r="Z8" s="1032"/>
    </row>
    <row r="9" spans="2:26" ht="17.45" customHeight="1" thickTop="1" thickBot="1">
      <c r="B9" s="1033"/>
      <c r="C9" s="1034"/>
      <c r="D9" s="1034"/>
      <c r="E9" s="1035"/>
      <c r="F9" s="1035"/>
      <c r="G9" s="1036"/>
      <c r="H9" s="1035"/>
      <c r="I9" s="997"/>
      <c r="J9" s="997"/>
      <c r="K9" s="1037"/>
      <c r="M9" s="1043"/>
      <c r="N9" s="1043"/>
      <c r="O9" s="1038"/>
      <c r="P9" s="375"/>
      <c r="Q9" s="375"/>
      <c r="R9" s="375"/>
      <c r="S9" s="375"/>
      <c r="T9" s="1044" t="s">
        <v>631</v>
      </c>
      <c r="U9" s="1045">
        <f>SUM(U6:U8)</f>
        <v>0</v>
      </c>
      <c r="V9" s="1046"/>
      <c r="W9" s="1047" t="s">
        <v>632</v>
      </c>
      <c r="X9" s="1048">
        <f>COUNTIFS(D:D, $U$2, C:C, "보냄", J:J, "*24K*", J:J, "*반돈*")</f>
        <v>0</v>
      </c>
      <c r="Y9" s="1048">
        <f>COUNTIFS(D:D, $U$2, C:C, "보냄", J:J, "*18K*", J:J, "*반돈*")</f>
        <v>0</v>
      </c>
      <c r="Z9" s="1049"/>
    </row>
    <row r="10" spans="2:26" ht="17.45" customHeight="1" thickTop="1" thickBot="1">
      <c r="B10" s="1033"/>
      <c r="C10" s="1034"/>
      <c r="D10" s="1034"/>
      <c r="E10" s="1035"/>
      <c r="F10" s="1035"/>
      <c r="G10" s="1036"/>
      <c r="H10" s="1035"/>
      <c r="I10" s="998"/>
      <c r="J10" s="997"/>
      <c r="K10" s="1037"/>
      <c r="M10" s="1050"/>
      <c r="N10" s="1050"/>
      <c r="O10" s="1038"/>
      <c r="P10" s="375"/>
      <c r="Q10" s="375"/>
      <c r="R10" s="375"/>
      <c r="S10" s="375"/>
      <c r="T10" s="395"/>
      <c r="U10" s="395"/>
      <c r="V10" s="1051"/>
      <c r="W10" s="999"/>
      <c r="X10" s="999"/>
      <c r="Y10" s="999"/>
      <c r="Z10" s="1052"/>
    </row>
    <row r="11" spans="2:26" ht="17.45" customHeight="1">
      <c r="B11" s="1033"/>
      <c r="C11" s="1034"/>
      <c r="D11" s="1034"/>
      <c r="E11" s="1035"/>
      <c r="F11" s="1035"/>
      <c r="G11" s="1036"/>
      <c r="H11" s="1035"/>
      <c r="I11" s="998"/>
      <c r="J11" s="997"/>
      <c r="K11" s="1037"/>
      <c r="M11" s="1717" t="s">
        <v>633</v>
      </c>
      <c r="N11" s="1718"/>
      <c r="O11" s="1721" t="s">
        <v>634</v>
      </c>
      <c r="P11" s="1722"/>
      <c r="Q11" s="1746" t="s">
        <v>612</v>
      </c>
      <c r="R11" s="1747"/>
      <c r="S11" s="1017"/>
      <c r="T11" s="1750" t="s">
        <v>635</v>
      </c>
      <c r="U11" s="1751"/>
      <c r="V11" s="1053"/>
      <c r="W11" s="1754" t="s">
        <v>636</v>
      </c>
      <c r="X11" s="1755"/>
      <c r="Y11" s="1758" t="s">
        <v>637</v>
      </c>
      <c r="Z11" s="1707" t="s">
        <v>638</v>
      </c>
    </row>
    <row r="12" spans="2:26" ht="17.45" customHeight="1" thickBot="1">
      <c r="B12" s="1033"/>
      <c r="C12" s="1034"/>
      <c r="D12" s="1034"/>
      <c r="E12" s="1035"/>
      <c r="F12" s="1035"/>
      <c r="G12" s="1036"/>
      <c r="H12" s="1035"/>
      <c r="I12" s="998"/>
      <c r="J12" s="997"/>
      <c r="K12" s="1037"/>
      <c r="M12" s="1719"/>
      <c r="N12" s="1720"/>
      <c r="O12" s="1723"/>
      <c r="P12" s="1724"/>
      <c r="Q12" s="1748"/>
      <c r="R12" s="1749"/>
      <c r="S12" s="1017"/>
      <c r="T12" s="1752"/>
      <c r="U12" s="1753"/>
      <c r="V12" s="1053"/>
      <c r="W12" s="1756"/>
      <c r="X12" s="1757"/>
      <c r="Y12" s="1759"/>
      <c r="Z12" s="1708"/>
    </row>
    <row r="13" spans="2:26" ht="17.45" customHeight="1" thickTop="1">
      <c r="B13" s="1033"/>
      <c r="C13" s="1034"/>
      <c r="D13" s="1034"/>
      <c r="E13" s="1035"/>
      <c r="F13" s="1035"/>
      <c r="G13" s="1036"/>
      <c r="H13" s="1035"/>
      <c r="I13" s="998"/>
      <c r="J13" s="997"/>
      <c r="K13" s="1037"/>
      <c r="M13" s="1709" t="s">
        <v>621</v>
      </c>
      <c r="N13" s="1710"/>
      <c r="O13" s="1701">
        <f>SUMIFS(G:G, C:C, "받음")</f>
        <v>0</v>
      </c>
      <c r="P13" s="1702"/>
      <c r="Q13" s="1711"/>
      <c r="R13" s="1712"/>
      <c r="S13" s="1027"/>
      <c r="T13" s="1054" t="s">
        <v>620</v>
      </c>
      <c r="U13" s="1055">
        <f>SUMIFS(G:G, D:D, U2, C:C, "받음")</f>
        <v>0</v>
      </c>
      <c r="V13" s="1030"/>
      <c r="W13" s="1056" t="s">
        <v>622</v>
      </c>
      <c r="X13" s="1057">
        <f>COUNTIFS(D:D, $U$2, C:C, "받음", J:J, "*24K*", J:J, "*1돈*")</f>
        <v>0</v>
      </c>
      <c r="Y13" s="1057">
        <f>COUNTIFS(D:D, $U$2, C:C, "보냄", J:J, "*18K*", J:J, "*1돈*")</f>
        <v>0</v>
      </c>
      <c r="Z13" s="1058"/>
    </row>
    <row r="14" spans="2:26" ht="17.45" customHeight="1">
      <c r="B14" s="1033"/>
      <c r="C14" s="1034"/>
      <c r="D14" s="1034"/>
      <c r="E14" s="1035"/>
      <c r="F14" s="1035"/>
      <c r="G14" s="1036"/>
      <c r="H14" s="1035"/>
      <c r="I14" s="998"/>
      <c r="J14" s="997"/>
      <c r="K14" s="1037"/>
      <c r="M14" s="1713" t="s">
        <v>623</v>
      </c>
      <c r="N14" s="1714"/>
      <c r="O14" s="995">
        <f>COUNTIFS(C:C, "받음", I:I, "*금반지*")</f>
        <v>0</v>
      </c>
      <c r="P14" s="1059"/>
      <c r="Q14" s="1715"/>
      <c r="R14" s="1716"/>
      <c r="S14" s="375"/>
      <c r="T14" s="1060" t="s">
        <v>623</v>
      </c>
      <c r="U14" s="1061">
        <f>COUNTIFS(D:D, U2, C:C, "받음", I:I, "금반지")</f>
        <v>0</v>
      </c>
      <c r="V14" s="1062"/>
      <c r="W14" s="1063" t="s">
        <v>639</v>
      </c>
      <c r="X14" s="996">
        <f>COUNTIFS(D:D, $U$2, C:C, "받음", J:J, "*24K*", J:J, "*1돈반*")</f>
        <v>0</v>
      </c>
      <c r="Y14" s="996">
        <f>COUNTIFS(D:D, $U$2, C:C, "보냄", J:J, "*18K*", J:J, "*1돈반*")</f>
        <v>0</v>
      </c>
      <c r="Z14" s="1064"/>
    </row>
    <row r="15" spans="2:26" ht="17.45" customHeight="1">
      <c r="B15" s="1033"/>
      <c r="C15" s="1034"/>
      <c r="D15" s="1034"/>
      <c r="E15" s="1035"/>
      <c r="F15" s="1035"/>
      <c r="G15" s="1036"/>
      <c r="H15" s="1035"/>
      <c r="I15" s="998"/>
      <c r="J15" s="997"/>
      <c r="K15" s="1037"/>
      <c r="M15" s="1713" t="s">
        <v>626</v>
      </c>
      <c r="N15" s="1743"/>
      <c r="O15" s="995">
        <f>COUNTIFS(C:C, "받음", I:I, "*금팔찌*")</f>
        <v>0</v>
      </c>
      <c r="P15" s="1059"/>
      <c r="Q15" s="1715"/>
      <c r="R15" s="1716"/>
      <c r="S15" s="375"/>
      <c r="T15" s="1060" t="s">
        <v>640</v>
      </c>
      <c r="U15" s="1065">
        <f>COUNTIFS(D:D, U2, C:C, "받음", I:I, "금팔찌")</f>
        <v>0</v>
      </c>
      <c r="V15" s="117"/>
      <c r="W15" s="1063" t="s">
        <v>641</v>
      </c>
      <c r="X15" s="996">
        <f>COUNTIFS(D:D, $U$2, C:C, "받음", J:J, "*24K*", J:J, "*2돈*")</f>
        <v>0</v>
      </c>
      <c r="Y15" s="996">
        <f>COUNTIFS(D:D, $U$2, C:C, "보냄", J:J, "*18K*", J:J, "*2돈*")</f>
        <v>0</v>
      </c>
      <c r="Z15" s="1064"/>
    </row>
    <row r="16" spans="2:26" ht="17.45" customHeight="1" thickBot="1">
      <c r="B16" s="1033"/>
      <c r="C16" s="1034"/>
      <c r="D16" s="1034"/>
      <c r="E16" s="1035"/>
      <c r="F16" s="1035"/>
      <c r="G16" s="1036"/>
      <c r="H16" s="1035"/>
      <c r="I16" s="998"/>
      <c r="J16" s="997"/>
      <c r="K16" s="1037"/>
      <c r="M16" s="1687" t="s">
        <v>642</v>
      </c>
      <c r="N16" s="1688"/>
      <c r="O16" s="1066">
        <f>COUNTIFS(C:C, "받음", I:I, "*기타*")</f>
        <v>0</v>
      </c>
      <c r="P16" s="1067"/>
      <c r="Q16" s="1689"/>
      <c r="R16" s="1690"/>
      <c r="S16" s="375"/>
      <c r="T16" s="1060" t="s">
        <v>642</v>
      </c>
      <c r="U16" s="1065">
        <f>COUNTIFS(D:D, U2, C:C, "받음", I:I, "기타")</f>
        <v>0</v>
      </c>
      <c r="V16" s="117"/>
      <c r="W16" s="1063" t="s">
        <v>643</v>
      </c>
      <c r="X16" s="996">
        <f>COUNTIFS(D:D, $U$2, C:C, "받음", J:J, "*24K*", J:J, "*1g*")</f>
        <v>0</v>
      </c>
      <c r="Y16" s="996">
        <f>COUNTIFS(D:D, $U$2, C:C, "보냄", J:J, "*18K*", J:J, "*1g*")</f>
        <v>0</v>
      </c>
      <c r="Z16" s="1064"/>
    </row>
    <row r="17" spans="2:33" ht="17.45" customHeight="1" thickBot="1">
      <c r="B17" s="1033"/>
      <c r="C17" s="1034"/>
      <c r="D17" s="1034"/>
      <c r="E17" s="1035"/>
      <c r="F17" s="1035"/>
      <c r="G17" s="1036"/>
      <c r="H17" s="1035"/>
      <c r="I17" s="998"/>
      <c r="J17" s="997"/>
      <c r="K17" s="1037"/>
      <c r="M17" s="1001"/>
      <c r="N17" s="1001"/>
      <c r="O17" s="1001"/>
      <c r="P17" s="1001"/>
      <c r="Q17" s="1001"/>
      <c r="R17" s="1001"/>
      <c r="S17" s="1001"/>
      <c r="T17" s="1068" t="s">
        <v>596</v>
      </c>
      <c r="U17" s="1069">
        <f>SUM(U14:U16)</f>
        <v>0</v>
      </c>
      <c r="V17" s="1046"/>
      <c r="W17" s="1070" t="s">
        <v>632</v>
      </c>
      <c r="X17" s="1071">
        <f>COUNTIFS(D:D, $U$2, C:C, "받음", J:J, "*24K*", J:J, "*반돈*")</f>
        <v>0</v>
      </c>
      <c r="Y17" s="1071">
        <f>COUNTIFS(D:D, $U$2, C:C, "보냄", J:J, "*18K*", J:J, "*반돈*")</f>
        <v>0</v>
      </c>
      <c r="Z17" s="1072"/>
    </row>
    <row r="18" spans="2:33" ht="17.45" customHeight="1">
      <c r="B18" s="1033"/>
      <c r="C18" s="1034"/>
      <c r="D18" s="1034"/>
      <c r="E18" s="1035"/>
      <c r="F18" s="1035"/>
      <c r="G18" s="1036"/>
      <c r="H18" s="1035"/>
      <c r="I18" s="997"/>
      <c r="J18" s="997"/>
      <c r="K18" s="1037"/>
      <c r="V18" s="1073"/>
      <c r="W18" s="1074"/>
      <c r="X18" s="1074"/>
      <c r="Y18" s="1074"/>
      <c r="Z18" s="1074"/>
      <c r="AA18" s="1074"/>
      <c r="AB18" s="1074"/>
      <c r="AC18" s="1074"/>
      <c r="AD18" s="1074"/>
      <c r="AE18" s="1074"/>
      <c r="AF18" s="1074"/>
      <c r="AG18" s="1074"/>
    </row>
    <row r="19" spans="2:33" ht="17.45" customHeight="1">
      <c r="B19" s="1033"/>
      <c r="C19" s="1034"/>
      <c r="D19" s="1034"/>
      <c r="E19" s="1035"/>
      <c r="F19" s="1035"/>
      <c r="G19" s="1036"/>
      <c r="H19" s="1035"/>
      <c r="I19" s="997"/>
      <c r="J19" s="997"/>
      <c r="K19" s="1037"/>
      <c r="M19" s="1074"/>
      <c r="N19" s="1074"/>
      <c r="O19" s="1074"/>
      <c r="P19" s="1074"/>
      <c r="Q19" s="1074"/>
      <c r="R19" s="1074"/>
      <c r="S19" s="1074"/>
      <c r="T19" s="1074"/>
      <c r="U19" s="1075"/>
      <c r="W19" s="1698" t="s">
        <v>644</v>
      </c>
      <c r="X19" s="1698"/>
      <c r="Y19" s="1698"/>
      <c r="Z19" s="1698"/>
      <c r="AA19" s="1698"/>
      <c r="AB19" s="1698"/>
      <c r="AC19" s="1698"/>
      <c r="AD19" s="1698"/>
      <c r="AE19" s="1698"/>
      <c r="AF19" s="1094"/>
      <c r="AG19" s="1074"/>
    </row>
    <row r="20" spans="2:33" ht="17.45" customHeight="1">
      <c r="B20" s="1076"/>
      <c r="C20" s="1077"/>
      <c r="D20" s="1034"/>
      <c r="E20" s="1035"/>
      <c r="F20" s="1035"/>
      <c r="G20" s="1036"/>
      <c r="H20" s="1035"/>
      <c r="I20" s="997"/>
      <c r="J20" s="997"/>
      <c r="K20" s="1037"/>
      <c r="M20" s="1074"/>
      <c r="N20" s="1074"/>
      <c r="O20" s="1074"/>
      <c r="P20" s="1074"/>
      <c r="Q20" s="1074"/>
      <c r="R20" s="1074"/>
      <c r="S20" s="1074"/>
      <c r="T20" s="1074"/>
      <c r="U20" s="1074"/>
      <c r="W20" s="1698" t="s">
        <v>645</v>
      </c>
      <c r="X20" s="1698"/>
      <c r="Y20" s="1698"/>
      <c r="Z20" s="1698"/>
      <c r="AA20" s="1698"/>
      <c r="AB20" s="1698"/>
      <c r="AC20" s="1698"/>
      <c r="AD20" s="1698"/>
      <c r="AE20" s="1698"/>
      <c r="AF20" s="1094"/>
      <c r="AG20" s="1074"/>
    </row>
    <row r="21" spans="2:33" ht="17.45" customHeight="1">
      <c r="B21" s="1033"/>
      <c r="C21" s="1034"/>
      <c r="D21" s="1034"/>
      <c r="E21" s="1035"/>
      <c r="F21" s="1035"/>
      <c r="G21" s="1036"/>
      <c r="H21" s="1035"/>
      <c r="I21" s="997"/>
      <c r="J21" s="997"/>
      <c r="K21" s="1037"/>
      <c r="M21" s="1078"/>
      <c r="N21" s="1078"/>
      <c r="O21" s="1078"/>
      <c r="P21" s="1078"/>
      <c r="Q21" s="1078"/>
      <c r="R21" s="1078"/>
      <c r="S21" s="1078"/>
      <c r="T21" s="1078"/>
      <c r="U21" s="1078"/>
      <c r="W21" s="1739" t="s">
        <v>646</v>
      </c>
      <c r="X21" s="1739"/>
      <c r="Y21" s="1739"/>
      <c r="Z21" s="1739"/>
      <c r="AA21" s="1739"/>
      <c r="AB21" s="1739"/>
      <c r="AC21" s="1739"/>
      <c r="AD21" s="1739"/>
      <c r="AE21" s="1739"/>
      <c r="AF21" s="1739"/>
      <c r="AG21" s="1074"/>
    </row>
    <row r="22" spans="2:33" ht="17.45" customHeight="1">
      <c r="B22" s="1033"/>
      <c r="C22" s="1034"/>
      <c r="D22" s="1034"/>
      <c r="E22" s="1035"/>
      <c r="F22" s="1035"/>
      <c r="G22" s="1036"/>
      <c r="H22" s="1035"/>
      <c r="I22" s="997"/>
      <c r="J22" s="997"/>
      <c r="K22" s="1037"/>
      <c r="M22" s="1078"/>
      <c r="N22" s="1078"/>
      <c r="O22" s="1078"/>
      <c r="P22" s="1078"/>
      <c r="Q22" s="1078"/>
      <c r="R22" s="1078"/>
      <c r="S22" s="1078"/>
      <c r="T22" s="1078"/>
      <c r="U22" s="1078"/>
      <c r="W22" s="1739"/>
      <c r="X22" s="1739"/>
      <c r="Y22" s="1739"/>
      <c r="Z22" s="1739"/>
      <c r="AA22" s="1739"/>
      <c r="AB22" s="1739"/>
      <c r="AC22" s="1739"/>
      <c r="AD22" s="1739"/>
      <c r="AE22" s="1739"/>
      <c r="AF22" s="1739"/>
      <c r="AG22" s="1074"/>
    </row>
    <row r="23" spans="2:33" ht="17.45" customHeight="1">
      <c r="B23" s="1033"/>
      <c r="C23" s="1034"/>
      <c r="D23" s="1034"/>
      <c r="E23" s="1035"/>
      <c r="F23" s="1035"/>
      <c r="G23" s="1036"/>
      <c r="H23" s="1035"/>
      <c r="I23" s="997"/>
      <c r="J23" s="997"/>
      <c r="K23" s="1037"/>
      <c r="M23" s="1079"/>
      <c r="N23" s="1079"/>
      <c r="O23" s="1079"/>
      <c r="P23" s="1079"/>
      <c r="Q23" s="1079"/>
      <c r="R23" s="1079"/>
      <c r="S23" s="1079"/>
      <c r="T23" s="1079"/>
      <c r="U23" s="1079"/>
      <c r="W23" s="1738" t="s">
        <v>647</v>
      </c>
      <c r="X23" s="1738"/>
      <c r="Y23" s="1738"/>
      <c r="Z23" s="1738"/>
      <c r="AA23" s="1738"/>
      <c r="AB23" s="1738"/>
      <c r="AC23" s="1738"/>
      <c r="AD23" s="1738"/>
      <c r="AE23" s="1738"/>
      <c r="AF23" s="1738"/>
      <c r="AG23" s="1074"/>
    </row>
    <row r="24" spans="2:33" ht="17.45" customHeight="1">
      <c r="B24" s="1033"/>
      <c r="C24" s="1034"/>
      <c r="D24" s="1034"/>
      <c r="E24" s="1035"/>
      <c r="F24" s="1035"/>
      <c r="G24" s="1036"/>
      <c r="H24" s="1035"/>
      <c r="I24" s="997"/>
      <c r="J24" s="997"/>
      <c r="K24" s="1037"/>
      <c r="M24" s="1080"/>
      <c r="N24" s="1080"/>
      <c r="O24" s="1080"/>
      <c r="P24" s="1080"/>
      <c r="Q24" s="1080"/>
      <c r="R24" s="1080"/>
      <c r="S24" s="1080"/>
      <c r="T24" s="1080"/>
      <c r="U24" s="1080"/>
      <c r="W24" s="1745" t="s">
        <v>648</v>
      </c>
      <c r="X24" s="1745"/>
      <c r="Y24" s="1745"/>
      <c r="Z24" s="1745"/>
      <c r="AA24" s="1745"/>
      <c r="AB24" s="1745"/>
      <c r="AC24" s="1745"/>
      <c r="AD24" s="1745"/>
      <c r="AE24" s="1745"/>
      <c r="AF24" s="1745"/>
      <c r="AG24" s="1074"/>
    </row>
    <row r="25" spans="2:33" ht="17.45" customHeight="1">
      <c r="B25" s="1033"/>
      <c r="C25" s="1034"/>
      <c r="D25" s="1034"/>
      <c r="E25" s="1035"/>
      <c r="F25" s="1035"/>
      <c r="G25" s="1036"/>
      <c r="H25" s="1035"/>
      <c r="I25" s="997"/>
      <c r="J25" s="997"/>
      <c r="K25" s="1037"/>
      <c r="M25" s="1080"/>
      <c r="N25" s="1080"/>
      <c r="O25" s="1080"/>
      <c r="P25" s="1080"/>
      <c r="Q25" s="1080"/>
      <c r="R25" s="1080"/>
      <c r="S25" s="1080"/>
      <c r="T25" s="1080"/>
      <c r="U25" s="1080"/>
      <c r="W25" s="1745" t="s">
        <v>649</v>
      </c>
      <c r="X25" s="1745"/>
      <c r="Y25" s="1745"/>
      <c r="Z25" s="1745"/>
      <c r="AA25" s="1745"/>
      <c r="AB25" s="1745"/>
      <c r="AC25" s="1745"/>
      <c r="AD25" s="1745"/>
      <c r="AE25" s="1745"/>
      <c r="AF25" s="1745"/>
      <c r="AG25" s="1074"/>
    </row>
    <row r="26" spans="2:33" ht="17.45" customHeight="1">
      <c r="B26" s="1033"/>
      <c r="C26" s="1034"/>
      <c r="D26" s="1034"/>
      <c r="E26" s="1035"/>
      <c r="F26" s="1035"/>
      <c r="G26" s="1036"/>
      <c r="H26" s="1035"/>
      <c r="I26" s="997"/>
      <c r="J26" s="997"/>
      <c r="K26" s="1037"/>
      <c r="M26" s="1080"/>
      <c r="N26" s="1080"/>
      <c r="O26" s="1080"/>
      <c r="P26" s="1080"/>
      <c r="Q26" s="1080"/>
      <c r="R26" s="1080"/>
      <c r="S26" s="1080"/>
      <c r="T26" s="1080"/>
      <c r="U26" s="1080"/>
      <c r="W26" s="1745" t="s">
        <v>650</v>
      </c>
      <c r="X26" s="1745"/>
      <c r="Y26" s="1745"/>
      <c r="Z26" s="1745"/>
      <c r="AA26" s="1745"/>
      <c r="AB26" s="1745"/>
      <c r="AC26" s="1745"/>
      <c r="AD26" s="1745"/>
      <c r="AE26" s="1745"/>
      <c r="AF26" s="1745"/>
      <c r="AG26" s="1074"/>
    </row>
    <row r="27" spans="2:33" ht="17.45" customHeight="1">
      <c r="B27" s="1033"/>
      <c r="C27" s="1034"/>
      <c r="D27" s="1034"/>
      <c r="E27" s="1035"/>
      <c r="F27" s="1035"/>
      <c r="G27" s="1036"/>
      <c r="H27" s="1035"/>
      <c r="I27" s="997"/>
      <c r="J27" s="997"/>
      <c r="K27" s="1037"/>
      <c r="M27" s="1081"/>
      <c r="N27" s="1081"/>
      <c r="O27" s="1081"/>
      <c r="P27" s="1081"/>
      <c r="Q27" s="1081"/>
      <c r="R27" s="1081"/>
      <c r="S27" s="1081"/>
      <c r="T27" s="1081"/>
      <c r="U27" s="1081"/>
      <c r="W27" s="1745"/>
      <c r="X27" s="1745"/>
      <c r="Y27" s="1745"/>
      <c r="Z27" s="1745"/>
      <c r="AA27" s="1745"/>
      <c r="AB27" s="1745"/>
      <c r="AC27" s="1745"/>
      <c r="AD27" s="1745"/>
      <c r="AE27" s="1745"/>
      <c r="AF27" s="1745"/>
      <c r="AG27" s="1074"/>
    </row>
    <row r="28" spans="2:33" ht="17.45" customHeight="1">
      <c r="B28" s="1033"/>
      <c r="C28" s="1034"/>
      <c r="D28" s="1034"/>
      <c r="E28" s="1035"/>
      <c r="F28" s="1035"/>
      <c r="G28" s="1036"/>
      <c r="H28" s="1035"/>
      <c r="I28" s="997"/>
      <c r="J28" s="997"/>
      <c r="K28" s="1037"/>
      <c r="M28" s="1079"/>
      <c r="N28" s="1079"/>
      <c r="O28" s="1079"/>
      <c r="P28" s="1079"/>
      <c r="Q28" s="1079"/>
      <c r="R28" s="1079"/>
      <c r="S28" s="1079"/>
      <c r="T28" s="1079"/>
      <c r="U28" s="1079"/>
      <c r="W28" s="1738" t="s">
        <v>651</v>
      </c>
      <c r="X28" s="1738"/>
      <c r="Y28" s="1738"/>
      <c r="Z28" s="1738"/>
      <c r="AA28" s="1738"/>
      <c r="AB28" s="1738"/>
      <c r="AC28" s="1738"/>
      <c r="AD28" s="1738"/>
      <c r="AE28" s="1738"/>
      <c r="AF28" s="1738"/>
      <c r="AG28" s="1074"/>
    </row>
    <row r="29" spans="2:33" ht="17.45" customHeight="1">
      <c r="B29" s="1033"/>
      <c r="C29" s="1034"/>
      <c r="D29" s="1034"/>
      <c r="E29" s="1035"/>
      <c r="F29" s="1035"/>
      <c r="G29" s="1036"/>
      <c r="H29" s="1035"/>
      <c r="I29" s="997"/>
      <c r="J29" s="997"/>
      <c r="K29" s="1037"/>
      <c r="M29" s="1080"/>
      <c r="N29" s="1080"/>
      <c r="O29" s="1080"/>
      <c r="P29" s="1080"/>
      <c r="Q29" s="1080"/>
      <c r="R29" s="1080"/>
      <c r="S29" s="1080"/>
      <c r="T29" s="1080"/>
      <c r="U29" s="1080"/>
      <c r="W29" s="1745" t="s">
        <v>652</v>
      </c>
      <c r="X29" s="1745"/>
      <c r="Y29" s="1745"/>
      <c r="Z29" s="1745"/>
      <c r="AA29" s="1745"/>
      <c r="AB29" s="1745"/>
      <c r="AC29" s="1745"/>
      <c r="AD29" s="1745"/>
      <c r="AE29" s="1745"/>
      <c r="AF29" s="1745"/>
      <c r="AG29" s="1074"/>
    </row>
    <row r="30" spans="2:33" ht="17.45" customHeight="1">
      <c r="B30" s="1033"/>
      <c r="C30" s="1034"/>
      <c r="D30" s="1034"/>
      <c r="E30" s="1035"/>
      <c r="F30" s="1035"/>
      <c r="G30" s="1036"/>
      <c r="H30" s="1035"/>
      <c r="I30" s="997"/>
      <c r="J30" s="997"/>
      <c r="K30" s="1037"/>
      <c r="M30" s="1080"/>
      <c r="N30" s="1080"/>
      <c r="O30" s="1080"/>
      <c r="P30" s="1080"/>
      <c r="Q30" s="1080"/>
      <c r="R30" s="1080"/>
      <c r="S30" s="1080"/>
      <c r="T30" s="1080"/>
      <c r="U30" s="1080"/>
      <c r="W30" s="1745" t="s">
        <v>653</v>
      </c>
      <c r="X30" s="1745"/>
      <c r="Y30" s="1745"/>
      <c r="Z30" s="1745"/>
      <c r="AA30" s="1745"/>
      <c r="AB30" s="1745"/>
      <c r="AC30" s="1745"/>
      <c r="AD30" s="1745"/>
      <c r="AE30" s="1745"/>
      <c r="AF30" s="1745"/>
      <c r="AG30" s="1074"/>
    </row>
    <row r="31" spans="2:33" ht="17.45" customHeight="1">
      <c r="B31" s="1033"/>
      <c r="C31" s="1034"/>
      <c r="D31" s="1034"/>
      <c r="E31" s="1035"/>
      <c r="F31" s="1035"/>
      <c r="G31" s="1036"/>
      <c r="H31" s="1035"/>
      <c r="I31" s="997"/>
      <c r="J31" s="997"/>
      <c r="K31" s="1037"/>
      <c r="M31" s="1081"/>
      <c r="N31" s="1081"/>
      <c r="O31" s="1081"/>
      <c r="P31" s="1081"/>
      <c r="Q31" s="1081"/>
      <c r="R31" s="1081"/>
      <c r="S31" s="1081"/>
      <c r="T31" s="1081"/>
      <c r="U31" s="1081"/>
      <c r="W31" s="1745"/>
      <c r="X31" s="1745"/>
      <c r="Y31" s="1745"/>
      <c r="Z31" s="1745"/>
      <c r="AA31" s="1745"/>
      <c r="AB31" s="1745"/>
      <c r="AC31" s="1745"/>
      <c r="AD31" s="1745"/>
      <c r="AE31" s="1745"/>
      <c r="AF31" s="1745"/>
      <c r="AG31" s="1074"/>
    </row>
    <row r="32" spans="2:33" ht="17.45" customHeight="1">
      <c r="B32" s="1033"/>
      <c r="C32" s="1034"/>
      <c r="D32" s="1034"/>
      <c r="E32" s="1035"/>
      <c r="F32" s="1035"/>
      <c r="G32" s="1036"/>
      <c r="H32" s="1035"/>
      <c r="I32" s="997"/>
      <c r="J32" s="997"/>
      <c r="K32" s="1037"/>
      <c r="M32" s="1079"/>
      <c r="N32" s="1079"/>
      <c r="O32" s="1079"/>
      <c r="P32" s="1079"/>
      <c r="Q32" s="1079"/>
      <c r="R32" s="1079"/>
      <c r="S32" s="1079"/>
      <c r="T32" s="1079"/>
      <c r="U32" s="1079"/>
      <c r="W32" s="1738" t="s">
        <v>654</v>
      </c>
      <c r="X32" s="1738"/>
      <c r="Y32" s="1738"/>
      <c r="Z32" s="1738"/>
      <c r="AA32" s="1738"/>
      <c r="AB32" s="1738"/>
      <c r="AC32" s="1738"/>
      <c r="AD32" s="1738"/>
      <c r="AE32" s="1738"/>
      <c r="AF32" s="1738"/>
      <c r="AG32" s="1074"/>
    </row>
    <row r="33" spans="2:34" ht="17.45" customHeight="1">
      <c r="B33" s="1033"/>
      <c r="C33" s="1034"/>
      <c r="D33" s="1034"/>
      <c r="E33" s="1035"/>
      <c r="F33" s="1035"/>
      <c r="G33" s="1036"/>
      <c r="H33" s="1035"/>
      <c r="I33" s="997"/>
      <c r="J33" s="997"/>
      <c r="K33" s="1037"/>
      <c r="M33" s="1082"/>
      <c r="N33" s="1082"/>
      <c r="O33" s="1082"/>
      <c r="P33" s="1082"/>
      <c r="Q33" s="1082"/>
      <c r="R33" s="1082"/>
      <c r="S33" s="1082"/>
      <c r="T33" s="1082"/>
      <c r="U33" s="1082"/>
      <c r="W33" s="1761"/>
      <c r="X33" s="1761"/>
      <c r="Y33" s="1761"/>
      <c r="Z33" s="1761"/>
      <c r="AA33" s="1761"/>
      <c r="AB33" s="1761"/>
      <c r="AC33" s="1761"/>
      <c r="AD33" s="1761"/>
      <c r="AE33" s="1761"/>
      <c r="AF33" s="1761"/>
      <c r="AG33" s="1074"/>
    </row>
    <row r="34" spans="2:34" ht="17.45" customHeight="1">
      <c r="B34" s="1033"/>
      <c r="C34" s="1034"/>
      <c r="D34" s="1034"/>
      <c r="E34" s="1035"/>
      <c r="F34" s="1035"/>
      <c r="G34" s="1036"/>
      <c r="H34" s="1035"/>
      <c r="I34" s="997"/>
      <c r="J34" s="997"/>
      <c r="K34" s="1037"/>
      <c r="M34" s="1080"/>
      <c r="N34" s="1080"/>
      <c r="O34" s="1080"/>
      <c r="P34" s="1080"/>
      <c r="Q34" s="1080"/>
      <c r="R34" s="1080"/>
      <c r="S34" s="1080"/>
      <c r="T34" s="1080"/>
      <c r="U34" s="1080"/>
      <c r="W34" s="1745" t="s">
        <v>655</v>
      </c>
      <c r="X34" s="1745"/>
      <c r="Y34" s="1745"/>
      <c r="Z34" s="1745"/>
      <c r="AA34" s="1745"/>
      <c r="AB34" s="1745"/>
      <c r="AC34" s="1745"/>
      <c r="AD34" s="1745"/>
      <c r="AE34" s="1745"/>
      <c r="AF34" s="1745"/>
      <c r="AG34" s="1074"/>
    </row>
    <row r="35" spans="2:34" ht="17.45" customHeight="1">
      <c r="B35" s="1033"/>
      <c r="C35" s="1034"/>
      <c r="D35" s="1034"/>
      <c r="E35" s="1035"/>
      <c r="F35" s="1035"/>
      <c r="G35" s="1036"/>
      <c r="H35" s="1035"/>
      <c r="I35" s="997"/>
      <c r="J35" s="997"/>
      <c r="K35" s="1037"/>
      <c r="M35" s="1080"/>
      <c r="N35" s="1080"/>
      <c r="O35" s="1080"/>
      <c r="P35" s="1080"/>
      <c r="Q35" s="1080"/>
      <c r="R35" s="1080"/>
      <c r="S35" s="1080"/>
      <c r="T35" s="1080"/>
      <c r="U35" s="1080"/>
      <c r="W35" s="1745" t="s">
        <v>656</v>
      </c>
      <c r="X35" s="1745"/>
      <c r="Y35" s="1745"/>
      <c r="Z35" s="1745"/>
      <c r="AA35" s="1745"/>
      <c r="AB35" s="1745"/>
      <c r="AC35" s="1745"/>
      <c r="AD35" s="1745"/>
      <c r="AE35" s="1745"/>
      <c r="AF35" s="1745"/>
      <c r="AG35" s="1074"/>
    </row>
    <row r="36" spans="2:34" ht="17.45" customHeight="1">
      <c r="B36" s="1033"/>
      <c r="C36" s="1034"/>
      <c r="D36" s="1034"/>
      <c r="E36" s="1035"/>
      <c r="F36" s="1035"/>
      <c r="G36" s="1036"/>
      <c r="H36" s="1035"/>
      <c r="I36" s="997"/>
      <c r="J36" s="997"/>
      <c r="K36" s="1037"/>
      <c r="M36" s="1080"/>
      <c r="N36" s="1080"/>
      <c r="O36" s="1080"/>
      <c r="P36" s="1080"/>
      <c r="Q36" s="1080"/>
      <c r="R36" s="1080"/>
      <c r="S36" s="1080"/>
      <c r="T36" s="1080"/>
      <c r="U36" s="1080"/>
      <c r="W36" s="1745" t="s">
        <v>657</v>
      </c>
      <c r="X36" s="1745"/>
      <c r="Y36" s="1745"/>
      <c r="Z36" s="1745"/>
      <c r="AA36" s="1745"/>
      <c r="AB36" s="1745"/>
      <c r="AC36" s="1745"/>
      <c r="AD36" s="1745"/>
      <c r="AE36" s="1745"/>
      <c r="AF36" s="1745"/>
      <c r="AG36" s="1074"/>
    </row>
    <row r="37" spans="2:34" ht="17.45" customHeight="1">
      <c r="B37" s="1033"/>
      <c r="C37" s="1034"/>
      <c r="D37" s="1034"/>
      <c r="E37" s="1035"/>
      <c r="F37" s="1035"/>
      <c r="G37" s="1036"/>
      <c r="H37" s="1035"/>
      <c r="I37" s="997"/>
      <c r="J37" s="997"/>
      <c r="K37" s="1037"/>
      <c r="M37" s="1686"/>
      <c r="N37" s="1686"/>
      <c r="O37" s="1686"/>
      <c r="P37" s="1686"/>
      <c r="Q37" s="1686"/>
      <c r="R37" s="1686"/>
      <c r="S37" s="1686"/>
      <c r="T37" s="1686"/>
      <c r="U37" s="1686"/>
      <c r="V37" s="1686"/>
      <c r="W37" s="1737"/>
      <c r="X37" s="1737"/>
      <c r="Y37" s="1737"/>
      <c r="Z37" s="1737"/>
      <c r="AA37" s="1737"/>
      <c r="AB37" s="1737"/>
      <c r="AC37" s="1737"/>
      <c r="AD37" s="1737"/>
      <c r="AE37" s="1737"/>
      <c r="AF37" s="1737"/>
      <c r="AG37" s="1074"/>
    </row>
    <row r="38" spans="2:34" ht="17.45" customHeight="1">
      <c r="B38" s="1033"/>
      <c r="C38" s="1034"/>
      <c r="D38" s="1034"/>
      <c r="E38" s="1035"/>
      <c r="F38" s="1035"/>
      <c r="G38" s="1036"/>
      <c r="H38" s="1035"/>
      <c r="I38" s="997"/>
      <c r="J38" s="997"/>
      <c r="K38" s="1037"/>
      <c r="M38" s="1686"/>
      <c r="N38" s="1686"/>
      <c r="O38" s="1686"/>
      <c r="P38" s="1686"/>
      <c r="Q38" s="1686"/>
      <c r="R38" s="1686"/>
      <c r="S38" s="1686"/>
      <c r="T38" s="1686"/>
      <c r="U38" s="1686"/>
      <c r="V38" s="1686"/>
      <c r="W38" s="1083"/>
      <c r="X38" s="1074"/>
      <c r="Y38" s="1074"/>
      <c r="Z38" s="1074"/>
      <c r="AA38" s="1074"/>
      <c r="AB38" s="1074"/>
      <c r="AC38" s="1074"/>
      <c r="AD38" s="1074"/>
      <c r="AE38" s="1074"/>
      <c r="AF38" s="1074"/>
      <c r="AG38" s="1074"/>
    </row>
    <row r="39" spans="2:34" ht="17.45" customHeight="1">
      <c r="B39" s="1033"/>
      <c r="C39" s="1034"/>
      <c r="D39" s="1034"/>
      <c r="E39" s="1035"/>
      <c r="F39" s="1035"/>
      <c r="G39" s="1036"/>
      <c r="H39" s="1035"/>
      <c r="I39" s="997"/>
      <c r="J39" s="997"/>
      <c r="K39" s="1037"/>
      <c r="M39" s="1686"/>
      <c r="N39" s="1686"/>
      <c r="O39" s="1686"/>
      <c r="P39" s="1686"/>
      <c r="Q39" s="1686"/>
      <c r="R39" s="1686"/>
      <c r="S39" s="1686"/>
      <c r="T39" s="1686"/>
      <c r="U39" s="1686"/>
      <c r="V39" s="1686"/>
      <c r="W39" s="1084"/>
      <c r="X39" s="1074"/>
      <c r="Y39" s="1074"/>
      <c r="Z39" s="1074"/>
      <c r="AA39" s="1074"/>
      <c r="AB39" s="1074"/>
      <c r="AC39" s="1074"/>
      <c r="AD39" s="1074"/>
      <c r="AE39" s="1074"/>
      <c r="AF39" s="1074"/>
      <c r="AG39" s="1074"/>
      <c r="AH39" s="1085"/>
    </row>
    <row r="40" spans="2:34" ht="17.45" customHeight="1">
      <c r="B40" s="1033"/>
      <c r="C40" s="1034"/>
      <c r="D40" s="1034"/>
      <c r="E40" s="1035"/>
      <c r="F40" s="1035"/>
      <c r="G40" s="1036"/>
      <c r="H40" s="1035"/>
      <c r="I40" s="997"/>
      <c r="J40" s="997"/>
      <c r="K40" s="1037"/>
      <c r="M40" s="1686"/>
      <c r="N40" s="1686"/>
      <c r="O40" s="1686"/>
      <c r="P40" s="1686"/>
      <c r="Q40" s="1686"/>
      <c r="R40" s="1686"/>
      <c r="S40" s="1686"/>
      <c r="T40" s="1686"/>
      <c r="U40" s="1686"/>
      <c r="V40" s="1686"/>
      <c r="W40" s="1085"/>
      <c r="X40" s="1085"/>
      <c r="Y40" s="1085"/>
      <c r="Z40" s="1085"/>
      <c r="AA40" s="1085"/>
      <c r="AB40" s="1085"/>
      <c r="AC40" s="1085"/>
      <c r="AD40" s="1085"/>
      <c r="AE40" s="1085"/>
      <c r="AF40" s="1085"/>
      <c r="AG40" s="1085"/>
      <c r="AH40" s="1085"/>
    </row>
    <row r="41" spans="2:34" ht="17.45" customHeight="1">
      <c r="B41" s="1033"/>
      <c r="C41" s="1034"/>
      <c r="D41" s="1034"/>
      <c r="E41" s="1035"/>
      <c r="F41" s="1035"/>
      <c r="G41" s="1036"/>
      <c r="H41" s="1035"/>
      <c r="I41" s="997"/>
      <c r="J41" s="997"/>
      <c r="K41" s="1037"/>
      <c r="M41" s="1686"/>
      <c r="N41" s="1686"/>
      <c r="O41" s="1686"/>
      <c r="P41" s="1686"/>
      <c r="Q41" s="1686"/>
      <c r="R41" s="1686"/>
      <c r="S41" s="1686"/>
      <c r="T41" s="1686"/>
      <c r="U41" s="1686"/>
      <c r="V41" s="1686"/>
      <c r="W41" s="1086"/>
      <c r="X41" s="1086"/>
      <c r="Y41" s="1086"/>
      <c r="Z41" s="1086"/>
      <c r="AA41" s="1086"/>
      <c r="AB41" s="1086"/>
      <c r="AC41" s="1086"/>
      <c r="AD41" s="1086"/>
      <c r="AE41" s="1086"/>
      <c r="AF41" s="1086"/>
      <c r="AG41" s="1086"/>
    </row>
    <row r="42" spans="2:34" ht="17.45" customHeight="1">
      <c r="B42" s="1033"/>
      <c r="C42" s="1034"/>
      <c r="D42" s="1034"/>
      <c r="E42" s="1035"/>
      <c r="F42" s="1035"/>
      <c r="G42" s="1036"/>
      <c r="H42" s="1035"/>
      <c r="I42" s="997"/>
      <c r="J42" s="997"/>
      <c r="K42" s="1037"/>
      <c r="M42" s="1686"/>
      <c r="N42" s="1686"/>
      <c r="O42" s="1686"/>
      <c r="P42" s="1686"/>
      <c r="Q42" s="1686"/>
      <c r="R42" s="1686"/>
      <c r="S42" s="1686"/>
      <c r="T42" s="1686"/>
      <c r="U42" s="1686"/>
      <c r="V42" s="1686"/>
    </row>
    <row r="43" spans="2:34" ht="17.45" customHeight="1">
      <c r="B43" s="1033"/>
      <c r="C43" s="1034"/>
      <c r="D43" s="1034"/>
      <c r="E43" s="1035"/>
      <c r="F43" s="1035"/>
      <c r="G43" s="1036"/>
      <c r="H43" s="1035"/>
      <c r="I43" s="997"/>
      <c r="J43" s="997"/>
      <c r="K43" s="1037"/>
      <c r="M43" s="1686"/>
      <c r="N43" s="1686"/>
      <c r="O43" s="1686"/>
      <c r="P43" s="1686"/>
      <c r="Q43" s="1686"/>
      <c r="R43" s="1686"/>
      <c r="S43" s="1686"/>
      <c r="T43" s="1686"/>
      <c r="U43" s="1686"/>
      <c r="V43" s="1686"/>
    </row>
    <row r="44" spans="2:34" ht="17.45" customHeight="1">
      <c r="B44" s="1033"/>
      <c r="C44" s="1034"/>
      <c r="D44" s="1034"/>
      <c r="E44" s="1035"/>
      <c r="F44" s="1035"/>
      <c r="G44" s="1036"/>
      <c r="H44" s="1035"/>
      <c r="I44" s="997"/>
      <c r="J44" s="997"/>
      <c r="K44" s="1037"/>
      <c r="M44" s="1686"/>
      <c r="N44" s="1686"/>
      <c r="O44" s="1686"/>
      <c r="P44" s="1686"/>
      <c r="Q44" s="1686"/>
      <c r="R44" s="1686"/>
      <c r="S44" s="1686"/>
      <c r="T44" s="1686"/>
      <c r="U44" s="1686"/>
      <c r="V44" s="1686"/>
    </row>
    <row r="45" spans="2:34" ht="17.45" customHeight="1">
      <c r="B45" s="1033"/>
      <c r="C45" s="1034"/>
      <c r="D45" s="1034"/>
      <c r="E45" s="1035"/>
      <c r="F45" s="1035"/>
      <c r="G45" s="1036"/>
      <c r="H45" s="1035"/>
      <c r="I45" s="997"/>
      <c r="J45" s="997"/>
      <c r="K45" s="1037"/>
      <c r="M45" s="1686"/>
      <c r="N45" s="1686"/>
      <c r="O45" s="1686"/>
      <c r="P45" s="1686"/>
      <c r="Q45" s="1686"/>
      <c r="R45" s="1686"/>
      <c r="S45" s="1686"/>
      <c r="T45" s="1686"/>
      <c r="U45" s="1686"/>
      <c r="V45" s="1686"/>
    </row>
    <row r="46" spans="2:34" ht="17.45" customHeight="1">
      <c r="B46" s="1033"/>
      <c r="C46" s="1034"/>
      <c r="D46" s="1034"/>
      <c r="E46" s="1035"/>
      <c r="F46" s="1035"/>
      <c r="G46" s="1036"/>
      <c r="H46" s="1035"/>
      <c r="I46" s="997"/>
      <c r="J46" s="997"/>
      <c r="K46" s="1037"/>
      <c r="M46" s="1686"/>
      <c r="N46" s="1686"/>
      <c r="O46" s="1686"/>
      <c r="P46" s="1686"/>
      <c r="Q46" s="1686"/>
      <c r="R46" s="1686"/>
      <c r="S46" s="1686"/>
      <c r="T46" s="1686"/>
      <c r="U46" s="1686"/>
      <c r="V46" s="1686"/>
    </row>
    <row r="47" spans="2:34" ht="17.45" customHeight="1">
      <c r="B47" s="1033"/>
      <c r="C47" s="1034"/>
      <c r="D47" s="1034"/>
      <c r="E47" s="1035"/>
      <c r="F47" s="1035"/>
      <c r="G47" s="1036"/>
      <c r="H47" s="1035"/>
      <c r="I47" s="997"/>
      <c r="J47" s="997"/>
      <c r="K47" s="1037"/>
    </row>
    <row r="48" spans="2:34" ht="17.45" customHeight="1">
      <c r="B48" s="1033"/>
      <c r="C48" s="1034"/>
      <c r="D48" s="1034"/>
      <c r="E48" s="1035"/>
      <c r="F48" s="1035"/>
      <c r="G48" s="1036"/>
      <c r="H48" s="1035"/>
      <c r="I48" s="997"/>
      <c r="J48" s="997"/>
      <c r="K48" s="1037"/>
    </row>
    <row r="49" spans="2:11" ht="17.45" customHeight="1">
      <c r="B49" s="1033"/>
      <c r="C49" s="1034"/>
      <c r="D49" s="1034"/>
      <c r="E49" s="1035"/>
      <c r="F49" s="1035"/>
      <c r="G49" s="1036"/>
      <c r="H49" s="1035"/>
      <c r="I49" s="997"/>
      <c r="J49" s="997"/>
      <c r="K49" s="1037"/>
    </row>
    <row r="50" spans="2:11" ht="17.45" customHeight="1">
      <c r="B50" s="1033"/>
      <c r="C50" s="1034"/>
      <c r="D50" s="1034"/>
      <c r="E50" s="1035"/>
      <c r="F50" s="1035"/>
      <c r="G50" s="1036"/>
      <c r="H50" s="1035"/>
      <c r="I50" s="997"/>
      <c r="J50" s="997"/>
      <c r="K50" s="1037"/>
    </row>
    <row r="51" spans="2:11" ht="17.45" customHeight="1">
      <c r="B51" s="1033"/>
      <c r="C51" s="1034"/>
      <c r="D51" s="1034"/>
      <c r="E51" s="1035"/>
      <c r="F51" s="1035"/>
      <c r="G51" s="1036"/>
      <c r="H51" s="1035"/>
      <c r="I51" s="997"/>
      <c r="J51" s="997"/>
      <c r="K51" s="1037"/>
    </row>
    <row r="52" spans="2:11" ht="17.45" customHeight="1">
      <c r="B52" s="1033"/>
      <c r="C52" s="1034"/>
      <c r="D52" s="1034"/>
      <c r="E52" s="1035"/>
      <c r="F52" s="1035"/>
      <c r="G52" s="1036"/>
      <c r="H52" s="1035"/>
      <c r="I52" s="997"/>
      <c r="J52" s="997"/>
      <c r="K52" s="1037"/>
    </row>
    <row r="53" spans="2:11" ht="17.45" customHeight="1">
      <c r="B53" s="1033"/>
      <c r="C53" s="1034"/>
      <c r="D53" s="1034"/>
      <c r="E53" s="1035"/>
      <c r="F53" s="1035"/>
      <c r="G53" s="1036"/>
      <c r="H53" s="1035"/>
      <c r="I53" s="997"/>
      <c r="J53" s="997"/>
      <c r="K53" s="1037"/>
    </row>
    <row r="54" spans="2:11" ht="17.45" customHeight="1">
      <c r="B54" s="1033"/>
      <c r="C54" s="1034"/>
      <c r="D54" s="1034"/>
      <c r="E54" s="1035"/>
      <c r="F54" s="1035"/>
      <c r="G54" s="1036"/>
      <c r="H54" s="1035"/>
      <c r="I54" s="997"/>
      <c r="J54" s="997"/>
      <c r="K54" s="1037"/>
    </row>
    <row r="55" spans="2:11" ht="17.45" customHeight="1">
      <c r="B55" s="1033"/>
      <c r="C55" s="1034"/>
      <c r="D55" s="1034"/>
      <c r="E55" s="1035"/>
      <c r="F55" s="1035"/>
      <c r="G55" s="1036"/>
      <c r="H55" s="1035"/>
      <c r="I55" s="997"/>
      <c r="J55" s="997"/>
      <c r="K55" s="1037"/>
    </row>
    <row r="56" spans="2:11" ht="17.45" customHeight="1">
      <c r="B56" s="1033"/>
      <c r="C56" s="1034"/>
      <c r="D56" s="1034"/>
      <c r="E56" s="1035"/>
      <c r="F56" s="1035"/>
      <c r="G56" s="1036"/>
      <c r="H56" s="1035"/>
      <c r="I56" s="997"/>
      <c r="J56" s="997"/>
      <c r="K56" s="1037"/>
    </row>
    <row r="57" spans="2:11" ht="17.45" customHeight="1">
      <c r="B57" s="1033"/>
      <c r="C57" s="1034"/>
      <c r="D57" s="1034"/>
      <c r="E57" s="1035"/>
      <c r="F57" s="1035"/>
      <c r="G57" s="1036"/>
      <c r="H57" s="1035"/>
      <c r="I57" s="997"/>
      <c r="J57" s="997"/>
      <c r="K57" s="1037"/>
    </row>
    <row r="58" spans="2:11" ht="17.45" customHeight="1">
      <c r="B58" s="1033"/>
      <c r="C58" s="1034"/>
      <c r="D58" s="1034"/>
      <c r="E58" s="1035"/>
      <c r="F58" s="1035"/>
      <c r="G58" s="1036"/>
      <c r="H58" s="1035"/>
      <c r="I58" s="997"/>
      <c r="J58" s="997"/>
      <c r="K58" s="1037"/>
    </row>
    <row r="59" spans="2:11" ht="17.45" customHeight="1">
      <c r="B59" s="1033"/>
      <c r="C59" s="1034"/>
      <c r="D59" s="1034"/>
      <c r="E59" s="1035"/>
      <c r="F59" s="1035"/>
      <c r="G59" s="1036"/>
      <c r="H59" s="1035"/>
      <c r="I59" s="997"/>
      <c r="J59" s="997"/>
      <c r="K59" s="1037"/>
    </row>
    <row r="60" spans="2:11" ht="17.45" customHeight="1">
      <c r="B60" s="1033"/>
      <c r="C60" s="1034"/>
      <c r="D60" s="1034"/>
      <c r="E60" s="1035"/>
      <c r="F60" s="1035"/>
      <c r="G60" s="1036"/>
      <c r="H60" s="1035"/>
      <c r="I60" s="997"/>
      <c r="J60" s="997"/>
      <c r="K60" s="1037"/>
    </row>
    <row r="61" spans="2:11" ht="17.45" customHeight="1">
      <c r="B61" s="1033"/>
      <c r="C61" s="1034"/>
      <c r="D61" s="1034"/>
      <c r="E61" s="1035"/>
      <c r="F61" s="1035"/>
      <c r="G61" s="1036"/>
      <c r="H61" s="1035"/>
      <c r="I61" s="997"/>
      <c r="J61" s="997"/>
      <c r="K61" s="1037"/>
    </row>
    <row r="62" spans="2:11" ht="17.45" customHeight="1">
      <c r="B62" s="1033"/>
      <c r="C62" s="1034"/>
      <c r="D62" s="1034"/>
      <c r="E62" s="1035"/>
      <c r="F62" s="1035"/>
      <c r="G62" s="1036"/>
      <c r="H62" s="1035"/>
      <c r="I62" s="997"/>
      <c r="J62" s="997"/>
      <c r="K62" s="1037"/>
    </row>
    <row r="63" spans="2:11" ht="17.45" customHeight="1">
      <c r="B63" s="1033"/>
      <c r="C63" s="1034"/>
      <c r="D63" s="1034"/>
      <c r="E63" s="1035"/>
      <c r="F63" s="1035"/>
      <c r="G63" s="1036"/>
      <c r="H63" s="1035"/>
      <c r="I63" s="997"/>
      <c r="J63" s="997"/>
      <c r="K63" s="1037"/>
    </row>
    <row r="64" spans="2:11" ht="17.45" customHeight="1">
      <c r="B64" s="1033"/>
      <c r="C64" s="1034"/>
      <c r="D64" s="1034"/>
      <c r="E64" s="1035"/>
      <c r="F64" s="1035"/>
      <c r="G64" s="1036"/>
      <c r="H64" s="1035"/>
      <c r="I64" s="997"/>
      <c r="J64" s="997"/>
      <c r="K64" s="1037"/>
    </row>
    <row r="65" spans="2:11" ht="17.45" customHeight="1">
      <c r="B65" s="1033"/>
      <c r="C65" s="1034"/>
      <c r="D65" s="1034"/>
      <c r="E65" s="1035"/>
      <c r="F65" s="1035"/>
      <c r="G65" s="1036"/>
      <c r="H65" s="1035"/>
      <c r="I65" s="997"/>
      <c r="J65" s="997"/>
      <c r="K65" s="1037"/>
    </row>
    <row r="66" spans="2:11" ht="17.45" customHeight="1">
      <c r="B66" s="1033"/>
      <c r="C66" s="1034"/>
      <c r="D66" s="1034"/>
      <c r="E66" s="1035"/>
      <c r="F66" s="1035"/>
      <c r="G66" s="1036"/>
      <c r="H66" s="1035"/>
      <c r="I66" s="997"/>
      <c r="J66" s="997"/>
      <c r="K66" s="1037"/>
    </row>
    <row r="67" spans="2:11" ht="17.45" customHeight="1">
      <c r="B67" s="1033"/>
      <c r="C67" s="1034"/>
      <c r="D67" s="1034"/>
      <c r="E67" s="1035"/>
      <c r="F67" s="1035"/>
      <c r="G67" s="1036"/>
      <c r="H67" s="1035"/>
      <c r="I67" s="997"/>
      <c r="J67" s="997"/>
      <c r="K67" s="1037"/>
    </row>
    <row r="68" spans="2:11" ht="17.45" customHeight="1">
      <c r="B68" s="1033"/>
      <c r="C68" s="1034"/>
      <c r="D68" s="1034"/>
      <c r="E68" s="1035"/>
      <c r="F68" s="1035"/>
      <c r="G68" s="1036"/>
      <c r="H68" s="1035"/>
      <c r="I68" s="997"/>
      <c r="J68" s="997"/>
      <c r="K68" s="1037"/>
    </row>
    <row r="69" spans="2:11" ht="17.45" customHeight="1">
      <c r="B69" s="1033"/>
      <c r="C69" s="1034"/>
      <c r="D69" s="1034"/>
      <c r="E69" s="1035"/>
      <c r="F69" s="1035"/>
      <c r="G69" s="1036"/>
      <c r="H69" s="1035"/>
      <c r="I69" s="997"/>
      <c r="J69" s="997"/>
      <c r="K69" s="1037"/>
    </row>
    <row r="70" spans="2:11" ht="17.45" customHeight="1">
      <c r="B70" s="1033"/>
      <c r="C70" s="1034"/>
      <c r="D70" s="1034"/>
      <c r="E70" s="1035"/>
      <c r="F70" s="1035"/>
      <c r="G70" s="1036"/>
      <c r="H70" s="1035"/>
      <c r="I70" s="997"/>
      <c r="J70" s="997"/>
      <c r="K70" s="1037"/>
    </row>
    <row r="71" spans="2:11" ht="17.45" customHeight="1">
      <c r="B71" s="1033"/>
      <c r="C71" s="1034"/>
      <c r="D71" s="1034"/>
      <c r="E71" s="1035"/>
      <c r="F71" s="1035"/>
      <c r="G71" s="1036"/>
      <c r="H71" s="1035"/>
      <c r="I71" s="997"/>
      <c r="J71" s="997"/>
      <c r="K71" s="1037"/>
    </row>
    <row r="72" spans="2:11" ht="17.45" customHeight="1">
      <c r="B72" s="1033"/>
      <c r="C72" s="1034"/>
      <c r="D72" s="1034"/>
      <c r="E72" s="1035"/>
      <c r="F72" s="1035"/>
      <c r="G72" s="1036"/>
      <c r="H72" s="1035"/>
      <c r="I72" s="997"/>
      <c r="J72" s="997"/>
      <c r="K72" s="1037"/>
    </row>
    <row r="73" spans="2:11" ht="17.45" customHeight="1">
      <c r="B73" s="1033"/>
      <c r="C73" s="1034"/>
      <c r="D73" s="1034"/>
      <c r="E73" s="1035"/>
      <c r="F73" s="1035"/>
      <c r="G73" s="1036"/>
      <c r="H73" s="1035"/>
      <c r="I73" s="997"/>
      <c r="J73" s="997"/>
      <c r="K73" s="1037"/>
    </row>
    <row r="74" spans="2:11" ht="17.45" customHeight="1">
      <c r="B74" s="1033"/>
      <c r="C74" s="1034"/>
      <c r="D74" s="1034"/>
      <c r="E74" s="1035"/>
      <c r="F74" s="1035"/>
      <c r="G74" s="1036"/>
      <c r="H74" s="1035"/>
      <c r="I74" s="997"/>
      <c r="J74" s="997"/>
      <c r="K74" s="1037"/>
    </row>
    <row r="75" spans="2:11" ht="17.45" customHeight="1">
      <c r="B75" s="1033"/>
      <c r="C75" s="1034"/>
      <c r="D75" s="1034"/>
      <c r="E75" s="1035"/>
      <c r="F75" s="1035"/>
      <c r="G75" s="1036"/>
      <c r="H75" s="1035"/>
      <c r="I75" s="997"/>
      <c r="J75" s="997"/>
      <c r="K75" s="1037"/>
    </row>
    <row r="76" spans="2:11" ht="17.45" customHeight="1">
      <c r="B76" s="1033"/>
      <c r="C76" s="1034"/>
      <c r="D76" s="1034"/>
      <c r="E76" s="1035"/>
      <c r="F76" s="1035"/>
      <c r="G76" s="1036"/>
      <c r="H76" s="1035"/>
      <c r="I76" s="997"/>
      <c r="J76" s="997"/>
      <c r="K76" s="1037"/>
    </row>
    <row r="77" spans="2:11" ht="17.45" customHeight="1">
      <c r="B77" s="1033"/>
      <c r="C77" s="1034"/>
      <c r="D77" s="1034"/>
      <c r="E77" s="1035"/>
      <c r="F77" s="1035"/>
      <c r="G77" s="1036"/>
      <c r="H77" s="1035"/>
      <c r="I77" s="997"/>
      <c r="J77" s="997"/>
      <c r="K77" s="1037"/>
    </row>
    <row r="78" spans="2:11" ht="17.45" customHeight="1">
      <c r="B78" s="1033"/>
      <c r="C78" s="1034"/>
      <c r="D78" s="1034"/>
      <c r="E78" s="1035"/>
      <c r="F78" s="1035"/>
      <c r="G78" s="1036"/>
      <c r="H78" s="1035"/>
      <c r="I78" s="997"/>
      <c r="J78" s="997"/>
      <c r="K78" s="1037"/>
    </row>
    <row r="79" spans="2:11" ht="17.45" customHeight="1">
      <c r="B79" s="1033"/>
      <c r="C79" s="1034"/>
      <c r="D79" s="1034"/>
      <c r="E79" s="1035"/>
      <c r="F79" s="1035"/>
      <c r="G79" s="1036"/>
      <c r="H79" s="1035"/>
      <c r="I79" s="997"/>
      <c r="J79" s="997"/>
      <c r="K79" s="1037"/>
    </row>
    <row r="80" spans="2:11" ht="17.45" customHeight="1">
      <c r="B80" s="1033"/>
      <c r="C80" s="1034"/>
      <c r="D80" s="1034"/>
      <c r="E80" s="1035"/>
      <c r="F80" s="1035"/>
      <c r="G80" s="1036"/>
      <c r="H80" s="1035"/>
      <c r="I80" s="997"/>
      <c r="J80" s="997"/>
      <c r="K80" s="1037"/>
    </row>
    <row r="81" spans="2:11" ht="17.45" customHeight="1">
      <c r="B81" s="1033"/>
      <c r="C81" s="1034"/>
      <c r="D81" s="1034"/>
      <c r="E81" s="1035"/>
      <c r="F81" s="1035"/>
      <c r="G81" s="1036"/>
      <c r="H81" s="1035"/>
      <c r="I81" s="997"/>
      <c r="J81" s="997"/>
      <c r="K81" s="1037"/>
    </row>
    <row r="82" spans="2:11" ht="17.45" customHeight="1">
      <c r="B82" s="1033"/>
      <c r="C82" s="1034"/>
      <c r="D82" s="1034"/>
      <c r="E82" s="1035"/>
      <c r="F82" s="1035"/>
      <c r="G82" s="1036"/>
      <c r="H82" s="1035"/>
      <c r="I82" s="997"/>
      <c r="J82" s="997"/>
      <c r="K82" s="1037"/>
    </row>
    <row r="83" spans="2:11" ht="17.45" customHeight="1">
      <c r="B83" s="1033"/>
      <c r="C83" s="1034"/>
      <c r="D83" s="1034"/>
      <c r="E83" s="1035"/>
      <c r="F83" s="1035"/>
      <c r="G83" s="1036"/>
      <c r="H83" s="1035"/>
      <c r="I83" s="997"/>
      <c r="J83" s="997"/>
      <c r="K83" s="1037"/>
    </row>
    <row r="84" spans="2:11" ht="17.45" customHeight="1">
      <c r="B84" s="1033"/>
      <c r="C84" s="1034"/>
      <c r="D84" s="1034"/>
      <c r="E84" s="1035"/>
      <c r="F84" s="1035"/>
      <c r="G84" s="1036"/>
      <c r="H84" s="1035"/>
      <c r="I84" s="997"/>
      <c r="J84" s="997"/>
      <c r="K84" s="1037"/>
    </row>
    <row r="85" spans="2:11" ht="17.45" customHeight="1">
      <c r="B85" s="1033"/>
      <c r="C85" s="1034"/>
      <c r="D85" s="1034"/>
      <c r="E85" s="1035"/>
      <c r="F85" s="1035"/>
      <c r="G85" s="1036"/>
      <c r="H85" s="1035"/>
      <c r="I85" s="997"/>
      <c r="J85" s="997"/>
      <c r="K85" s="1037"/>
    </row>
    <row r="86" spans="2:11" ht="17.45" customHeight="1">
      <c r="B86" s="1033"/>
      <c r="C86" s="1034"/>
      <c r="D86" s="1034"/>
      <c r="E86" s="1035"/>
      <c r="F86" s="1035"/>
      <c r="G86" s="1036"/>
      <c r="H86" s="1035"/>
      <c r="I86" s="997"/>
      <c r="J86" s="997"/>
      <c r="K86" s="1037"/>
    </row>
    <row r="87" spans="2:11" ht="17.45" customHeight="1">
      <c r="B87" s="1033"/>
      <c r="C87" s="1034"/>
      <c r="D87" s="1034"/>
      <c r="E87" s="1035"/>
      <c r="F87" s="1035"/>
      <c r="G87" s="1036"/>
      <c r="H87" s="1035"/>
      <c r="I87" s="997"/>
      <c r="J87" s="997"/>
      <c r="K87" s="1037"/>
    </row>
    <row r="88" spans="2:11" ht="17.45" customHeight="1">
      <c r="B88" s="1033"/>
      <c r="C88" s="1034"/>
      <c r="D88" s="1034"/>
      <c r="E88" s="1035"/>
      <c r="F88" s="1035"/>
      <c r="G88" s="1036"/>
      <c r="H88" s="1035"/>
      <c r="I88" s="997"/>
      <c r="J88" s="997"/>
      <c r="K88" s="1037"/>
    </row>
    <row r="89" spans="2:11" ht="17.45" customHeight="1">
      <c r="B89" s="1033"/>
      <c r="C89" s="1034"/>
      <c r="D89" s="1034"/>
      <c r="E89" s="1035"/>
      <c r="F89" s="1035"/>
      <c r="G89" s="1036"/>
      <c r="H89" s="1035"/>
      <c r="I89" s="997"/>
      <c r="J89" s="997"/>
      <c r="K89" s="1037"/>
    </row>
    <row r="90" spans="2:11" ht="17.45" customHeight="1">
      <c r="B90" s="1033"/>
      <c r="C90" s="1034"/>
      <c r="D90" s="1034"/>
      <c r="E90" s="1035"/>
      <c r="F90" s="1035"/>
      <c r="G90" s="1036"/>
      <c r="H90" s="1035"/>
      <c r="I90" s="997"/>
      <c r="J90" s="997"/>
      <c r="K90" s="1037"/>
    </row>
    <row r="91" spans="2:11" ht="17.45" customHeight="1">
      <c r="B91" s="1033"/>
      <c r="C91" s="1034"/>
      <c r="D91" s="1034"/>
      <c r="E91" s="1035"/>
      <c r="F91" s="1035"/>
      <c r="G91" s="1036"/>
      <c r="H91" s="1035"/>
      <c r="I91" s="997"/>
      <c r="J91" s="997"/>
      <c r="K91" s="1037"/>
    </row>
    <row r="92" spans="2:11" ht="17.45" customHeight="1">
      <c r="B92" s="1033"/>
      <c r="C92" s="1034"/>
      <c r="D92" s="1034"/>
      <c r="E92" s="1035"/>
      <c r="F92" s="1035"/>
      <c r="G92" s="1036"/>
      <c r="H92" s="1035"/>
      <c r="I92" s="997"/>
      <c r="J92" s="997"/>
      <c r="K92" s="1037"/>
    </row>
    <row r="93" spans="2:11" ht="17.45" customHeight="1">
      <c r="B93" s="1033"/>
      <c r="C93" s="1034"/>
      <c r="D93" s="1034"/>
      <c r="E93" s="1035"/>
      <c r="F93" s="1035"/>
      <c r="G93" s="1036"/>
      <c r="H93" s="1035"/>
      <c r="I93" s="997"/>
      <c r="J93" s="997"/>
      <c r="K93" s="1037"/>
    </row>
    <row r="94" spans="2:11" ht="17.45" customHeight="1">
      <c r="B94" s="1033"/>
      <c r="C94" s="1034"/>
      <c r="D94" s="1034"/>
      <c r="E94" s="1035"/>
      <c r="F94" s="1035"/>
      <c r="G94" s="1036"/>
      <c r="H94" s="1035"/>
      <c r="I94" s="997"/>
      <c r="J94" s="997"/>
      <c r="K94" s="1037"/>
    </row>
    <row r="95" spans="2:11" ht="17.45" customHeight="1">
      <c r="B95" s="1033"/>
      <c r="C95" s="1034"/>
      <c r="D95" s="1034"/>
      <c r="E95" s="1035"/>
      <c r="F95" s="1035"/>
      <c r="G95" s="1036"/>
      <c r="H95" s="1035"/>
      <c r="I95" s="997"/>
      <c r="J95" s="997"/>
      <c r="K95" s="1037"/>
    </row>
    <row r="96" spans="2:11" ht="17.45" customHeight="1">
      <c r="B96" s="1033"/>
      <c r="C96" s="1034"/>
      <c r="D96" s="1034"/>
      <c r="E96" s="1035"/>
      <c r="F96" s="1035"/>
      <c r="G96" s="1036"/>
      <c r="H96" s="1035"/>
      <c r="I96" s="997"/>
      <c r="J96" s="997"/>
      <c r="K96" s="1037"/>
    </row>
    <row r="97" spans="2:11" ht="17.45" customHeight="1">
      <c r="B97" s="1033"/>
      <c r="C97" s="1034"/>
      <c r="D97" s="1034"/>
      <c r="E97" s="1035"/>
      <c r="F97" s="1035"/>
      <c r="G97" s="1036"/>
      <c r="H97" s="1035"/>
      <c r="I97" s="997"/>
      <c r="J97" s="997"/>
      <c r="K97" s="1037"/>
    </row>
    <row r="98" spans="2:11" ht="17.45" customHeight="1">
      <c r="B98" s="1033"/>
      <c r="C98" s="1034"/>
      <c r="D98" s="1034"/>
      <c r="E98" s="1035"/>
      <c r="F98" s="1035"/>
      <c r="G98" s="1036"/>
      <c r="H98" s="1035"/>
      <c r="I98" s="997"/>
      <c r="J98" s="997"/>
      <c r="K98" s="1037"/>
    </row>
    <row r="99" spans="2:11" ht="17.45" customHeight="1">
      <c r="B99" s="1033"/>
      <c r="C99" s="1034"/>
      <c r="D99" s="1034"/>
      <c r="E99" s="1035"/>
      <c r="F99" s="1035"/>
      <c r="G99" s="1036"/>
      <c r="H99" s="1035"/>
      <c r="I99" s="997"/>
      <c r="J99" s="997"/>
      <c r="K99" s="1037"/>
    </row>
    <row r="100" spans="2:11" ht="17.45" customHeight="1">
      <c r="B100" s="1033"/>
      <c r="C100" s="1034"/>
      <c r="D100" s="1034"/>
      <c r="E100" s="1035"/>
      <c r="F100" s="1035"/>
      <c r="G100" s="1036"/>
      <c r="H100" s="1035"/>
      <c r="I100" s="997"/>
      <c r="J100" s="997"/>
      <c r="K100" s="1037"/>
    </row>
    <row r="101" spans="2:11" ht="17.45" customHeight="1">
      <c r="B101" s="1033"/>
      <c r="C101" s="1034"/>
      <c r="D101" s="1034"/>
      <c r="E101" s="1035"/>
      <c r="F101" s="1035"/>
      <c r="G101" s="1036"/>
      <c r="H101" s="1035"/>
      <c r="I101" s="997"/>
      <c r="J101" s="997"/>
      <c r="K101" s="1037"/>
    </row>
    <row r="102" spans="2:11" ht="17.45" customHeight="1">
      <c r="B102" s="1033"/>
      <c r="C102" s="1034"/>
      <c r="D102" s="1034"/>
      <c r="E102" s="1035"/>
      <c r="F102" s="1035"/>
      <c r="G102" s="1036"/>
      <c r="H102" s="1035"/>
      <c r="I102" s="997"/>
      <c r="J102" s="997"/>
      <c r="K102" s="1037"/>
    </row>
    <row r="103" spans="2:11" ht="17.45" customHeight="1">
      <c r="B103" s="1033"/>
      <c r="C103" s="1034"/>
      <c r="D103" s="1034"/>
      <c r="E103" s="1035"/>
      <c r="F103" s="1035"/>
      <c r="G103" s="1036"/>
      <c r="H103" s="1035"/>
      <c r="I103" s="997"/>
      <c r="J103" s="997"/>
      <c r="K103" s="1037"/>
    </row>
    <row r="104" spans="2:11" ht="17.45" customHeight="1">
      <c r="B104" s="1033"/>
      <c r="C104" s="1034"/>
      <c r="D104" s="1034"/>
      <c r="E104" s="1035"/>
      <c r="F104" s="1035"/>
      <c r="G104" s="1036"/>
      <c r="H104" s="1035"/>
      <c r="I104" s="997"/>
      <c r="J104" s="997"/>
      <c r="K104" s="1037"/>
    </row>
    <row r="105" spans="2:11" ht="17.45" customHeight="1">
      <c r="B105" s="1033"/>
      <c r="C105" s="1034"/>
      <c r="D105" s="1034"/>
      <c r="E105" s="1035"/>
      <c r="F105" s="1035"/>
      <c r="G105" s="1036"/>
      <c r="H105" s="1035"/>
      <c r="I105" s="997"/>
      <c r="J105" s="997"/>
      <c r="K105" s="1037"/>
    </row>
    <row r="106" spans="2:11" ht="17.45" customHeight="1">
      <c r="B106" s="1033"/>
      <c r="C106" s="1034"/>
      <c r="D106" s="1034"/>
      <c r="E106" s="1035"/>
      <c r="F106" s="1035"/>
      <c r="G106" s="1036"/>
      <c r="H106" s="1035"/>
      <c r="I106" s="997"/>
      <c r="J106" s="997"/>
      <c r="K106" s="1037"/>
    </row>
    <row r="107" spans="2:11" ht="17.45" customHeight="1">
      <c r="B107" s="1033"/>
      <c r="C107" s="1034"/>
      <c r="D107" s="1034"/>
      <c r="E107" s="1035"/>
      <c r="F107" s="1035"/>
      <c r="G107" s="1036"/>
      <c r="H107" s="1035"/>
      <c r="I107" s="997"/>
      <c r="J107" s="997"/>
      <c r="K107" s="1037"/>
    </row>
    <row r="108" spans="2:11" ht="17.45" customHeight="1">
      <c r="B108" s="1033"/>
      <c r="C108" s="1034"/>
      <c r="D108" s="1034"/>
      <c r="E108" s="1035"/>
      <c r="F108" s="1035"/>
      <c r="G108" s="1036"/>
      <c r="H108" s="1035"/>
      <c r="I108" s="997"/>
      <c r="J108" s="997"/>
      <c r="K108" s="1037"/>
    </row>
    <row r="109" spans="2:11" ht="17.45" customHeight="1">
      <c r="B109" s="1033"/>
      <c r="C109" s="1034"/>
      <c r="D109" s="1034"/>
      <c r="E109" s="1035"/>
      <c r="F109" s="1035"/>
      <c r="G109" s="1036"/>
      <c r="H109" s="1035"/>
      <c r="I109" s="997"/>
      <c r="J109" s="997"/>
      <c r="K109" s="1037"/>
    </row>
    <row r="110" spans="2:11" ht="17.45" customHeight="1">
      <c r="B110" s="1033"/>
      <c r="C110" s="1034"/>
      <c r="D110" s="1034"/>
      <c r="E110" s="1035"/>
      <c r="F110" s="1035"/>
      <c r="G110" s="1036"/>
      <c r="H110" s="1035"/>
      <c r="I110" s="997"/>
      <c r="J110" s="997"/>
      <c r="K110" s="1037"/>
    </row>
    <row r="111" spans="2:11" ht="17.45" customHeight="1">
      <c r="B111" s="1033"/>
      <c r="C111" s="1034"/>
      <c r="D111" s="1034"/>
      <c r="E111" s="1035"/>
      <c r="F111" s="1035"/>
      <c r="G111" s="1036"/>
      <c r="H111" s="1035"/>
      <c r="I111" s="997"/>
      <c r="J111" s="997"/>
      <c r="K111" s="1037"/>
    </row>
    <row r="112" spans="2:11" ht="17.45" customHeight="1">
      <c r="B112" s="1033"/>
      <c r="C112" s="1034"/>
      <c r="D112" s="1034"/>
      <c r="E112" s="1035"/>
      <c r="F112" s="1035"/>
      <c r="G112" s="1036"/>
      <c r="H112" s="1035"/>
      <c r="I112" s="997"/>
      <c r="J112" s="997"/>
      <c r="K112" s="1037"/>
    </row>
    <row r="113" spans="2:11" ht="17.45" customHeight="1">
      <c r="B113" s="1033"/>
      <c r="C113" s="1034"/>
      <c r="D113" s="1034"/>
      <c r="E113" s="1035"/>
      <c r="F113" s="1035"/>
      <c r="G113" s="1036"/>
      <c r="H113" s="1035"/>
      <c r="I113" s="997"/>
      <c r="J113" s="997"/>
      <c r="K113" s="1037"/>
    </row>
    <row r="114" spans="2:11" ht="17.45" customHeight="1">
      <c r="B114" s="1033"/>
      <c r="C114" s="1034"/>
      <c r="D114" s="1034"/>
      <c r="E114" s="1035"/>
      <c r="F114" s="1035"/>
      <c r="G114" s="1036"/>
      <c r="H114" s="1035"/>
      <c r="I114" s="997"/>
      <c r="J114" s="997"/>
      <c r="K114" s="1037"/>
    </row>
    <row r="115" spans="2:11" ht="17.45" customHeight="1">
      <c r="B115" s="1033"/>
      <c r="C115" s="1034"/>
      <c r="D115" s="1034"/>
      <c r="E115" s="1035"/>
      <c r="F115" s="1035"/>
      <c r="G115" s="1036"/>
      <c r="H115" s="1035"/>
      <c r="I115" s="997"/>
      <c r="J115" s="997"/>
      <c r="K115" s="1037"/>
    </row>
    <row r="116" spans="2:11" ht="17.45" customHeight="1">
      <c r="B116" s="1033"/>
      <c r="C116" s="1034"/>
      <c r="D116" s="1034"/>
      <c r="E116" s="1035"/>
      <c r="F116" s="1035"/>
      <c r="G116" s="1036"/>
      <c r="H116" s="1035"/>
      <c r="I116" s="997"/>
      <c r="J116" s="997"/>
      <c r="K116" s="1037"/>
    </row>
    <row r="117" spans="2:11" ht="17.45" customHeight="1">
      <c r="B117" s="1033"/>
      <c r="C117" s="1034"/>
      <c r="D117" s="1034"/>
      <c r="E117" s="1035"/>
      <c r="F117" s="1035"/>
      <c r="G117" s="1036"/>
      <c r="H117" s="1035"/>
      <c r="I117" s="997"/>
      <c r="J117" s="997"/>
      <c r="K117" s="1037"/>
    </row>
    <row r="118" spans="2:11" ht="17.45" customHeight="1">
      <c r="B118" s="1033"/>
      <c r="C118" s="1034"/>
      <c r="D118" s="1034"/>
      <c r="E118" s="1035"/>
      <c r="F118" s="1035"/>
      <c r="G118" s="1036"/>
      <c r="H118" s="1035"/>
      <c r="I118" s="997"/>
      <c r="J118" s="997"/>
      <c r="K118" s="1037"/>
    </row>
    <row r="119" spans="2:11" ht="17.45" customHeight="1">
      <c r="B119" s="1033"/>
      <c r="C119" s="1034"/>
      <c r="D119" s="1034"/>
      <c r="E119" s="1035"/>
      <c r="F119" s="1035"/>
      <c r="G119" s="1036"/>
      <c r="H119" s="1035"/>
      <c r="I119" s="997"/>
      <c r="J119" s="997"/>
      <c r="K119" s="1037"/>
    </row>
    <row r="120" spans="2:11" ht="17.45" customHeight="1">
      <c r="B120" s="1033"/>
      <c r="C120" s="1034"/>
      <c r="D120" s="1034"/>
      <c r="E120" s="1035"/>
      <c r="F120" s="1035"/>
      <c r="G120" s="1036"/>
      <c r="H120" s="1035"/>
      <c r="I120" s="997"/>
      <c r="J120" s="997"/>
      <c r="K120" s="1037"/>
    </row>
    <row r="121" spans="2:11" ht="17.45" customHeight="1">
      <c r="B121" s="1033"/>
      <c r="C121" s="1034"/>
      <c r="D121" s="1034"/>
      <c r="E121" s="1035"/>
      <c r="F121" s="1035"/>
      <c r="G121" s="1036"/>
      <c r="H121" s="1035"/>
      <c r="I121" s="997"/>
      <c r="J121" s="997"/>
      <c r="K121" s="1037"/>
    </row>
    <row r="122" spans="2:11" ht="17.45" customHeight="1">
      <c r="B122" s="1033"/>
      <c r="C122" s="1034"/>
      <c r="D122" s="1034"/>
      <c r="E122" s="1035"/>
      <c r="F122" s="1035"/>
      <c r="G122" s="1036"/>
      <c r="H122" s="1035"/>
      <c r="I122" s="997"/>
      <c r="J122" s="997"/>
      <c r="K122" s="1037"/>
    </row>
    <row r="123" spans="2:11" ht="17.45" customHeight="1">
      <c r="B123" s="1033"/>
      <c r="C123" s="1034"/>
      <c r="D123" s="1034"/>
      <c r="E123" s="1035"/>
      <c r="F123" s="1035"/>
      <c r="G123" s="1036"/>
      <c r="H123" s="1035"/>
      <c r="I123" s="997"/>
      <c r="J123" s="997"/>
      <c r="K123" s="1037"/>
    </row>
    <row r="124" spans="2:11" ht="17.45" customHeight="1">
      <c r="B124" s="1033"/>
      <c r="C124" s="1034"/>
      <c r="D124" s="1034"/>
      <c r="E124" s="1035"/>
      <c r="F124" s="1035"/>
      <c r="G124" s="1036"/>
      <c r="H124" s="1035"/>
      <c r="I124" s="997"/>
      <c r="J124" s="997"/>
      <c r="K124" s="1037"/>
    </row>
    <row r="125" spans="2:11" ht="17.45" customHeight="1">
      <c r="B125" s="1033"/>
      <c r="C125" s="1034"/>
      <c r="D125" s="1034"/>
      <c r="E125" s="1035"/>
      <c r="F125" s="1035"/>
      <c r="G125" s="1036"/>
      <c r="H125" s="1035"/>
      <c r="I125" s="997"/>
      <c r="J125" s="997"/>
      <c r="K125" s="1037"/>
    </row>
    <row r="126" spans="2:11" ht="17.45" customHeight="1">
      <c r="B126" s="1033"/>
      <c r="C126" s="1034"/>
      <c r="D126" s="1034"/>
      <c r="E126" s="1035"/>
      <c r="F126" s="1035"/>
      <c r="G126" s="1036"/>
      <c r="H126" s="1035"/>
      <c r="I126" s="997"/>
      <c r="J126" s="997"/>
      <c r="K126" s="1037"/>
    </row>
    <row r="127" spans="2:11" ht="17.45" customHeight="1">
      <c r="B127" s="1033"/>
      <c r="C127" s="1034"/>
      <c r="D127" s="1034"/>
      <c r="E127" s="1035"/>
      <c r="F127" s="1035"/>
      <c r="G127" s="1036"/>
      <c r="H127" s="1035"/>
      <c r="I127" s="997"/>
      <c r="J127" s="997"/>
      <c r="K127" s="1037"/>
    </row>
    <row r="128" spans="2:11" ht="17.45" customHeight="1">
      <c r="B128" s="1033"/>
      <c r="C128" s="1034"/>
      <c r="D128" s="1034"/>
      <c r="E128" s="1035"/>
      <c r="F128" s="1035"/>
      <c r="G128" s="1036"/>
      <c r="H128" s="1035"/>
      <c r="I128" s="997"/>
      <c r="J128" s="997"/>
      <c r="K128" s="1037"/>
    </row>
    <row r="129" spans="2:11" ht="17.45" customHeight="1">
      <c r="B129" s="1033"/>
      <c r="C129" s="1034"/>
      <c r="D129" s="1034"/>
      <c r="E129" s="1035"/>
      <c r="F129" s="1035"/>
      <c r="G129" s="1036"/>
      <c r="H129" s="1035"/>
      <c r="I129" s="997"/>
      <c r="J129" s="997"/>
      <c r="K129" s="1037"/>
    </row>
    <row r="130" spans="2:11" ht="17.45" customHeight="1">
      <c r="B130" s="1033"/>
      <c r="C130" s="1034"/>
      <c r="D130" s="1034"/>
      <c r="E130" s="1035"/>
      <c r="F130" s="1035"/>
      <c r="G130" s="1036"/>
      <c r="H130" s="1035"/>
      <c r="I130" s="997"/>
      <c r="J130" s="997"/>
      <c r="K130" s="1037"/>
    </row>
    <row r="131" spans="2:11" ht="17.45" customHeight="1">
      <c r="B131" s="1033"/>
      <c r="C131" s="1034"/>
      <c r="D131" s="1034"/>
      <c r="E131" s="1035"/>
      <c r="F131" s="1035"/>
      <c r="G131" s="1036"/>
      <c r="H131" s="1035"/>
      <c r="I131" s="997"/>
      <c r="J131" s="997"/>
      <c r="K131" s="1037"/>
    </row>
    <row r="132" spans="2:11" ht="17.45" customHeight="1">
      <c r="B132" s="1033"/>
      <c r="C132" s="1034"/>
      <c r="D132" s="1034"/>
      <c r="E132" s="1035"/>
      <c r="F132" s="1035"/>
      <c r="G132" s="1036"/>
      <c r="H132" s="1035"/>
      <c r="I132" s="997"/>
      <c r="J132" s="997"/>
      <c r="K132" s="1037"/>
    </row>
    <row r="133" spans="2:11" ht="17.45" customHeight="1">
      <c r="B133" s="1033"/>
      <c r="C133" s="1034"/>
      <c r="D133" s="1034"/>
      <c r="E133" s="1035"/>
      <c r="F133" s="1035"/>
      <c r="G133" s="1036"/>
      <c r="H133" s="1035"/>
      <c r="I133" s="997"/>
      <c r="J133" s="997"/>
      <c r="K133" s="1037"/>
    </row>
    <row r="134" spans="2:11" ht="17.45" customHeight="1">
      <c r="B134" s="1033"/>
      <c r="C134" s="1034"/>
      <c r="D134" s="1034"/>
      <c r="E134" s="1035"/>
      <c r="F134" s="1035"/>
      <c r="G134" s="1036"/>
      <c r="H134" s="1035"/>
      <c r="I134" s="997"/>
      <c r="J134" s="997"/>
      <c r="K134" s="1037"/>
    </row>
    <row r="135" spans="2:11" ht="17.45" customHeight="1">
      <c r="B135" s="1033"/>
      <c r="C135" s="1034"/>
      <c r="D135" s="1034"/>
      <c r="E135" s="1035"/>
      <c r="F135" s="1035"/>
      <c r="G135" s="1036"/>
      <c r="H135" s="1035"/>
      <c r="I135" s="997"/>
      <c r="J135" s="997"/>
      <c r="K135" s="1037"/>
    </row>
    <row r="136" spans="2:11" ht="17.45" customHeight="1">
      <c r="B136" s="1033"/>
      <c r="C136" s="1034"/>
      <c r="D136" s="1034"/>
      <c r="E136" s="1035"/>
      <c r="F136" s="1035"/>
      <c r="G136" s="1036"/>
      <c r="H136" s="1035"/>
      <c r="I136" s="997"/>
      <c r="J136" s="997"/>
      <c r="K136" s="1037"/>
    </row>
    <row r="137" spans="2:11" ht="17.45" customHeight="1">
      <c r="B137" s="1033"/>
      <c r="C137" s="1034"/>
      <c r="D137" s="1034"/>
      <c r="E137" s="1035"/>
      <c r="F137" s="1035"/>
      <c r="G137" s="1036"/>
      <c r="H137" s="1035"/>
      <c r="I137" s="997"/>
      <c r="J137" s="997"/>
      <c r="K137" s="1037"/>
    </row>
    <row r="138" spans="2:11" ht="17.45" customHeight="1">
      <c r="B138" s="1033"/>
      <c r="C138" s="1034"/>
      <c r="D138" s="1034"/>
      <c r="E138" s="1035"/>
      <c r="F138" s="1035"/>
      <c r="G138" s="1036"/>
      <c r="H138" s="1035"/>
      <c r="I138" s="997"/>
      <c r="J138" s="997"/>
      <c r="K138" s="1037"/>
    </row>
    <row r="139" spans="2:11" ht="17.45" customHeight="1">
      <c r="B139" s="1033"/>
      <c r="C139" s="1034"/>
      <c r="D139" s="1034"/>
      <c r="E139" s="1035"/>
      <c r="F139" s="1035"/>
      <c r="G139" s="1036"/>
      <c r="H139" s="1035"/>
      <c r="I139" s="997"/>
      <c r="J139" s="997"/>
      <c r="K139" s="1037"/>
    </row>
    <row r="140" spans="2:11" ht="17.45" customHeight="1">
      <c r="B140" s="1033"/>
      <c r="C140" s="1034"/>
      <c r="D140" s="1034"/>
      <c r="E140" s="1035"/>
      <c r="F140" s="1035"/>
      <c r="G140" s="1036"/>
      <c r="H140" s="1035"/>
      <c r="I140" s="997"/>
      <c r="J140" s="997"/>
      <c r="K140" s="1037"/>
    </row>
    <row r="141" spans="2:11" ht="17.45" customHeight="1">
      <c r="B141" s="1033"/>
      <c r="C141" s="1034"/>
      <c r="D141" s="1034"/>
      <c r="E141" s="1035"/>
      <c r="F141" s="1035"/>
      <c r="G141" s="1036"/>
      <c r="H141" s="1035"/>
      <c r="I141" s="997"/>
      <c r="J141" s="997"/>
      <c r="K141" s="1037"/>
    </row>
    <row r="142" spans="2:11" ht="17.45" customHeight="1">
      <c r="B142" s="1033"/>
      <c r="C142" s="1034"/>
      <c r="D142" s="1034"/>
      <c r="E142" s="1035"/>
      <c r="F142" s="1035"/>
      <c r="G142" s="1036"/>
      <c r="H142" s="1035"/>
      <c r="I142" s="997"/>
      <c r="J142" s="997"/>
      <c r="K142" s="1037"/>
    </row>
    <row r="143" spans="2:11" ht="17.45" customHeight="1">
      <c r="B143" s="1033"/>
      <c r="C143" s="1034"/>
      <c r="D143" s="1034"/>
      <c r="E143" s="1035"/>
      <c r="F143" s="1035"/>
      <c r="G143" s="1036"/>
      <c r="H143" s="1035"/>
      <c r="I143" s="997"/>
      <c r="J143" s="997"/>
      <c r="K143" s="1037"/>
    </row>
    <row r="144" spans="2:11" ht="17.45" customHeight="1">
      <c r="B144" s="1033"/>
      <c r="C144" s="1034"/>
      <c r="D144" s="1034"/>
      <c r="E144" s="1035"/>
      <c r="F144" s="1035"/>
      <c r="G144" s="1036"/>
      <c r="H144" s="1035"/>
      <c r="I144" s="997"/>
      <c r="J144" s="997"/>
      <c r="K144" s="1037"/>
    </row>
    <row r="145" spans="2:11" ht="17.45" customHeight="1">
      <c r="B145" s="1033"/>
      <c r="C145" s="1034"/>
      <c r="D145" s="1034"/>
      <c r="E145" s="1035"/>
      <c r="F145" s="1035"/>
      <c r="G145" s="1036"/>
      <c r="H145" s="1035"/>
      <c r="I145" s="997"/>
      <c r="J145" s="997"/>
      <c r="K145" s="1037"/>
    </row>
    <row r="146" spans="2:11" ht="17.45" customHeight="1">
      <c r="B146" s="1033"/>
      <c r="C146" s="1034"/>
      <c r="D146" s="1034"/>
      <c r="E146" s="1035"/>
      <c r="F146" s="1035"/>
      <c r="G146" s="1036"/>
      <c r="H146" s="1035"/>
      <c r="I146" s="997"/>
      <c r="J146" s="997"/>
      <c r="K146" s="1037"/>
    </row>
    <row r="147" spans="2:11" ht="17.45" customHeight="1">
      <c r="B147" s="1033"/>
      <c r="C147" s="1034"/>
      <c r="D147" s="1034"/>
      <c r="E147" s="1035"/>
      <c r="F147" s="1035"/>
      <c r="G147" s="1036"/>
      <c r="H147" s="1035"/>
      <c r="I147" s="997"/>
      <c r="J147" s="997"/>
      <c r="K147" s="1037"/>
    </row>
    <row r="148" spans="2:11" ht="17.45" customHeight="1">
      <c r="B148" s="1033"/>
      <c r="C148" s="1034"/>
      <c r="D148" s="1034"/>
      <c r="E148" s="1035"/>
      <c r="F148" s="1035"/>
      <c r="G148" s="1036"/>
      <c r="H148" s="1035"/>
      <c r="I148" s="997"/>
      <c r="J148" s="997"/>
      <c r="K148" s="1037"/>
    </row>
    <row r="149" spans="2:11" ht="17.45" customHeight="1">
      <c r="B149" s="1033"/>
      <c r="C149" s="1034"/>
      <c r="D149" s="1034"/>
      <c r="E149" s="1035"/>
      <c r="F149" s="1035"/>
      <c r="G149" s="1036"/>
      <c r="H149" s="1035"/>
      <c r="I149" s="997"/>
      <c r="J149" s="997"/>
      <c r="K149" s="1037"/>
    </row>
    <row r="150" spans="2:11" ht="17.45" customHeight="1">
      <c r="B150" s="1033"/>
      <c r="C150" s="1034"/>
      <c r="D150" s="1034"/>
      <c r="E150" s="1035"/>
      <c r="F150" s="1035"/>
      <c r="G150" s="1036"/>
      <c r="H150" s="1035"/>
      <c r="I150" s="997"/>
      <c r="J150" s="997"/>
      <c r="K150" s="1037"/>
    </row>
    <row r="151" spans="2:11" ht="17.45" customHeight="1">
      <c r="B151" s="1033"/>
      <c r="C151" s="1034"/>
      <c r="D151" s="1034"/>
      <c r="E151" s="1035"/>
      <c r="F151" s="1035"/>
      <c r="G151" s="1036"/>
      <c r="H151" s="1035"/>
      <c r="I151" s="997"/>
      <c r="J151" s="997"/>
      <c r="K151" s="1037"/>
    </row>
    <row r="152" spans="2:11" ht="17.45" customHeight="1">
      <c r="B152" s="1033"/>
      <c r="C152" s="1034"/>
      <c r="D152" s="1034"/>
      <c r="E152" s="1035"/>
      <c r="F152" s="1035"/>
      <c r="G152" s="1036"/>
      <c r="H152" s="1035"/>
      <c r="I152" s="997"/>
      <c r="J152" s="997"/>
      <c r="K152" s="1037"/>
    </row>
    <row r="153" spans="2:11" ht="17.45" customHeight="1">
      <c r="B153" s="1033"/>
      <c r="C153" s="1034"/>
      <c r="D153" s="1034"/>
      <c r="E153" s="1035"/>
      <c r="F153" s="1035"/>
      <c r="G153" s="1036"/>
      <c r="H153" s="1035"/>
      <c r="I153" s="997"/>
      <c r="J153" s="997"/>
      <c r="K153" s="1037"/>
    </row>
    <row r="154" spans="2:11" ht="17.45" customHeight="1">
      <c r="B154" s="1033"/>
      <c r="C154" s="1034"/>
      <c r="D154" s="1034"/>
      <c r="E154" s="1035"/>
      <c r="F154" s="1035"/>
      <c r="G154" s="1036"/>
      <c r="H154" s="1035"/>
      <c r="I154" s="997"/>
      <c r="J154" s="997"/>
      <c r="K154" s="1037"/>
    </row>
    <row r="155" spans="2:11" ht="17.45" customHeight="1">
      <c r="B155" s="1033"/>
      <c r="C155" s="1034"/>
      <c r="D155" s="1034"/>
      <c r="E155" s="1035"/>
      <c r="F155" s="1035"/>
      <c r="G155" s="1036"/>
      <c r="H155" s="1035"/>
      <c r="I155" s="997"/>
      <c r="J155" s="997"/>
      <c r="K155" s="1037"/>
    </row>
    <row r="156" spans="2:11" ht="17.45" customHeight="1">
      <c r="B156" s="1033"/>
      <c r="C156" s="1034"/>
      <c r="D156" s="1034"/>
      <c r="E156" s="1035"/>
      <c r="F156" s="1035"/>
      <c r="G156" s="1036"/>
      <c r="H156" s="1035"/>
      <c r="I156" s="997"/>
      <c r="J156" s="997"/>
      <c r="K156" s="1037"/>
    </row>
    <row r="157" spans="2:11" ht="17.45" customHeight="1">
      <c r="B157" s="1033"/>
      <c r="C157" s="1034"/>
      <c r="D157" s="1034"/>
      <c r="E157" s="1035"/>
      <c r="F157" s="1035"/>
      <c r="G157" s="1036"/>
      <c r="H157" s="1035"/>
      <c r="I157" s="997"/>
      <c r="J157" s="997"/>
      <c r="K157" s="1037"/>
    </row>
    <row r="158" spans="2:11" ht="17.45" customHeight="1">
      <c r="B158" s="1033"/>
      <c r="C158" s="1034"/>
      <c r="D158" s="1034"/>
      <c r="E158" s="1035"/>
      <c r="F158" s="1035"/>
      <c r="G158" s="1036"/>
      <c r="H158" s="1035"/>
      <c r="I158" s="997"/>
      <c r="J158" s="997"/>
      <c r="K158" s="1037"/>
    </row>
    <row r="159" spans="2:11" ht="17.45" customHeight="1">
      <c r="B159" s="1033"/>
      <c r="C159" s="1034"/>
      <c r="D159" s="1034"/>
      <c r="E159" s="1035"/>
      <c r="F159" s="1035"/>
      <c r="G159" s="1036"/>
      <c r="H159" s="1035"/>
      <c r="I159" s="997"/>
      <c r="J159" s="997"/>
      <c r="K159" s="1037"/>
    </row>
    <row r="160" spans="2:11" ht="17.45" customHeight="1">
      <c r="B160" s="1033"/>
      <c r="C160" s="1034"/>
      <c r="D160" s="1034"/>
      <c r="E160" s="1035"/>
      <c r="F160" s="1035"/>
      <c r="G160" s="1036"/>
      <c r="H160" s="1035"/>
      <c r="I160" s="997"/>
      <c r="J160" s="997"/>
      <c r="K160" s="1037"/>
    </row>
    <row r="161" spans="2:11" ht="17.45" customHeight="1">
      <c r="B161" s="1033"/>
      <c r="C161" s="1034"/>
      <c r="D161" s="1034"/>
      <c r="E161" s="1035"/>
      <c r="F161" s="1035"/>
      <c r="G161" s="1036"/>
      <c r="H161" s="1035"/>
      <c r="I161" s="997"/>
      <c r="J161" s="997"/>
      <c r="K161" s="1037"/>
    </row>
    <row r="162" spans="2:11" ht="17.45" customHeight="1">
      <c r="B162" s="1033"/>
      <c r="C162" s="1034"/>
      <c r="D162" s="1034"/>
      <c r="E162" s="1035"/>
      <c r="F162" s="1035"/>
      <c r="G162" s="1036"/>
      <c r="H162" s="1035"/>
      <c r="I162" s="997"/>
      <c r="J162" s="997"/>
      <c r="K162" s="1037"/>
    </row>
    <row r="163" spans="2:11" ht="17.45" customHeight="1">
      <c r="B163" s="1033"/>
      <c r="C163" s="1034"/>
      <c r="D163" s="1034"/>
      <c r="E163" s="1035"/>
      <c r="F163" s="1035"/>
      <c r="G163" s="1036"/>
      <c r="H163" s="1035"/>
      <c r="I163" s="997"/>
      <c r="J163" s="997"/>
      <c r="K163" s="1037"/>
    </row>
    <row r="164" spans="2:11" ht="17.45" customHeight="1">
      <c r="B164" s="1033"/>
      <c r="C164" s="1034"/>
      <c r="D164" s="1034"/>
      <c r="E164" s="1035"/>
      <c r="F164" s="1035"/>
      <c r="G164" s="1036"/>
      <c r="H164" s="1035"/>
      <c r="I164" s="997"/>
      <c r="J164" s="997"/>
      <c r="K164" s="1037"/>
    </row>
    <row r="165" spans="2:11" ht="17.45" customHeight="1">
      <c r="B165" s="1033"/>
      <c r="C165" s="1034"/>
      <c r="D165" s="1034"/>
      <c r="E165" s="1035"/>
      <c r="F165" s="1035"/>
      <c r="G165" s="1036"/>
      <c r="H165" s="1035"/>
      <c r="I165" s="997"/>
      <c r="J165" s="997"/>
      <c r="K165" s="1037"/>
    </row>
    <row r="166" spans="2:11" ht="17.45" customHeight="1">
      <c r="B166" s="1033"/>
      <c r="C166" s="1034"/>
      <c r="D166" s="1034"/>
      <c r="E166" s="1035"/>
      <c r="F166" s="1035"/>
      <c r="G166" s="1036"/>
      <c r="H166" s="1035"/>
      <c r="I166" s="997"/>
      <c r="J166" s="997"/>
      <c r="K166" s="1037"/>
    </row>
    <row r="167" spans="2:11" ht="17.45" customHeight="1">
      <c r="B167" s="1033"/>
      <c r="C167" s="1034"/>
      <c r="D167" s="1034"/>
      <c r="E167" s="1035"/>
      <c r="F167" s="1035"/>
      <c r="G167" s="1036"/>
      <c r="H167" s="1035"/>
      <c r="I167" s="997"/>
      <c r="J167" s="997"/>
      <c r="K167" s="1037"/>
    </row>
    <row r="168" spans="2:11" ht="17.45" customHeight="1">
      <c r="B168" s="1033"/>
      <c r="C168" s="1034"/>
      <c r="D168" s="1034"/>
      <c r="E168" s="1035"/>
      <c r="F168" s="1035"/>
      <c r="G168" s="1036"/>
      <c r="H168" s="1035"/>
      <c r="I168" s="997"/>
      <c r="J168" s="997"/>
      <c r="K168" s="1037"/>
    </row>
    <row r="169" spans="2:11" ht="17.45" customHeight="1">
      <c r="B169" s="1033"/>
      <c r="C169" s="1034"/>
      <c r="D169" s="1034"/>
      <c r="E169" s="1035"/>
      <c r="F169" s="1035"/>
      <c r="G169" s="1036"/>
      <c r="H169" s="1035"/>
      <c r="I169" s="997"/>
      <c r="J169" s="997"/>
      <c r="K169" s="1037"/>
    </row>
    <row r="170" spans="2:11" ht="17.45" customHeight="1">
      <c r="B170" s="1033"/>
      <c r="C170" s="1034"/>
      <c r="D170" s="1034"/>
      <c r="E170" s="1035"/>
      <c r="F170" s="1035"/>
      <c r="G170" s="1036"/>
      <c r="H170" s="1035"/>
      <c r="I170" s="997"/>
      <c r="J170" s="997"/>
      <c r="K170" s="1037"/>
    </row>
    <row r="171" spans="2:11" ht="17.45" customHeight="1">
      <c r="B171" s="1033"/>
      <c r="C171" s="1034"/>
      <c r="D171" s="1034"/>
      <c r="E171" s="1035"/>
      <c r="F171" s="1035"/>
      <c r="G171" s="1036"/>
      <c r="H171" s="1035"/>
      <c r="I171" s="997"/>
      <c r="J171" s="997"/>
      <c r="K171" s="1037"/>
    </row>
    <row r="172" spans="2:11" ht="17.45" customHeight="1">
      <c r="B172" s="1033"/>
      <c r="C172" s="1034"/>
      <c r="D172" s="1034"/>
      <c r="E172" s="1035"/>
      <c r="F172" s="1035"/>
      <c r="G172" s="1036"/>
      <c r="H172" s="1035"/>
      <c r="I172" s="997"/>
      <c r="J172" s="997"/>
      <c r="K172" s="1037"/>
    </row>
    <row r="173" spans="2:11" ht="17.45" customHeight="1">
      <c r="B173" s="1033"/>
      <c r="C173" s="1034"/>
      <c r="D173" s="1034"/>
      <c r="E173" s="1035"/>
      <c r="F173" s="1035"/>
      <c r="G173" s="1036"/>
      <c r="H173" s="1035"/>
      <c r="I173" s="997"/>
      <c r="J173" s="997"/>
      <c r="K173" s="1037"/>
    </row>
    <row r="174" spans="2:11" ht="17.45" customHeight="1">
      <c r="B174" s="1033"/>
      <c r="C174" s="1034"/>
      <c r="D174" s="1034"/>
      <c r="E174" s="1035"/>
      <c r="F174" s="1035"/>
      <c r="G174" s="1036"/>
      <c r="H174" s="1035"/>
      <c r="I174" s="997"/>
      <c r="J174" s="997"/>
      <c r="K174" s="1037"/>
    </row>
    <row r="175" spans="2:11" ht="17.45" customHeight="1">
      <c r="B175" s="1033"/>
      <c r="C175" s="1034"/>
      <c r="D175" s="1034"/>
      <c r="E175" s="1035"/>
      <c r="F175" s="1035"/>
      <c r="G175" s="1036"/>
      <c r="H175" s="1035"/>
      <c r="I175" s="997"/>
      <c r="J175" s="997"/>
      <c r="K175" s="1037"/>
    </row>
    <row r="176" spans="2:11" ht="17.45" customHeight="1">
      <c r="B176" s="1033"/>
      <c r="C176" s="1034"/>
      <c r="D176" s="1034"/>
      <c r="E176" s="1035"/>
      <c r="F176" s="1035"/>
      <c r="G176" s="1036"/>
      <c r="H176" s="1035"/>
      <c r="I176" s="997"/>
      <c r="J176" s="997"/>
      <c r="K176" s="1037"/>
    </row>
    <row r="177" spans="2:11" ht="17.45" customHeight="1">
      <c r="B177" s="1033"/>
      <c r="C177" s="1034"/>
      <c r="D177" s="1034"/>
      <c r="E177" s="1035"/>
      <c r="F177" s="1035"/>
      <c r="G177" s="1036"/>
      <c r="H177" s="1035"/>
      <c r="I177" s="997"/>
      <c r="J177" s="997"/>
      <c r="K177" s="1037"/>
    </row>
    <row r="178" spans="2:11" ht="17.45" customHeight="1">
      <c r="B178" s="1033"/>
      <c r="C178" s="1034"/>
      <c r="D178" s="1034"/>
      <c r="E178" s="1035"/>
      <c r="F178" s="1035"/>
      <c r="G178" s="1036"/>
      <c r="H178" s="1035"/>
      <c r="I178" s="997"/>
      <c r="J178" s="997"/>
      <c r="K178" s="1037"/>
    </row>
    <row r="179" spans="2:11" ht="17.45" customHeight="1">
      <c r="B179" s="1033"/>
      <c r="C179" s="1034"/>
      <c r="D179" s="1034"/>
      <c r="E179" s="1035"/>
      <c r="F179" s="1035"/>
      <c r="G179" s="1036"/>
      <c r="H179" s="1035"/>
      <c r="I179" s="997"/>
      <c r="J179" s="997"/>
      <c r="K179" s="1037"/>
    </row>
    <row r="180" spans="2:11" ht="17.45" customHeight="1">
      <c r="B180" s="1033"/>
      <c r="C180" s="1034"/>
      <c r="D180" s="1034"/>
      <c r="E180" s="1035"/>
      <c r="F180" s="1035"/>
      <c r="G180" s="1036"/>
      <c r="H180" s="1035"/>
      <c r="I180" s="997"/>
      <c r="J180" s="997"/>
      <c r="K180" s="1037"/>
    </row>
    <row r="181" spans="2:11" ht="17.45" customHeight="1">
      <c r="B181" s="1033"/>
      <c r="C181" s="1034"/>
      <c r="D181" s="1034"/>
      <c r="E181" s="1035"/>
      <c r="F181" s="1035"/>
      <c r="G181" s="1036"/>
      <c r="H181" s="1035"/>
      <c r="I181" s="997"/>
      <c r="J181" s="997"/>
      <c r="K181" s="1037"/>
    </row>
    <row r="182" spans="2:11" ht="17.45" customHeight="1">
      <c r="B182" s="1033"/>
      <c r="C182" s="1034"/>
      <c r="D182" s="1034"/>
      <c r="E182" s="1035"/>
      <c r="F182" s="1035"/>
      <c r="G182" s="1036"/>
      <c r="H182" s="1035"/>
      <c r="I182" s="997"/>
      <c r="J182" s="997"/>
      <c r="K182" s="1037"/>
    </row>
    <row r="183" spans="2:11" ht="17.45" customHeight="1">
      <c r="B183" s="1033"/>
      <c r="C183" s="1034"/>
      <c r="D183" s="1034"/>
      <c r="E183" s="1035"/>
      <c r="F183" s="1035"/>
      <c r="G183" s="1036"/>
      <c r="H183" s="1035"/>
      <c r="I183" s="997"/>
      <c r="J183" s="997"/>
      <c r="K183" s="1037"/>
    </row>
    <row r="184" spans="2:11" ht="17.45" customHeight="1">
      <c r="B184" s="1033"/>
      <c r="C184" s="1034"/>
      <c r="D184" s="1034"/>
      <c r="E184" s="1035"/>
      <c r="F184" s="1035"/>
      <c r="G184" s="1036"/>
      <c r="H184" s="1035"/>
      <c r="I184" s="997"/>
      <c r="J184" s="997"/>
      <c r="K184" s="1037"/>
    </row>
    <row r="185" spans="2:11" ht="17.45" customHeight="1">
      <c r="B185" s="1033"/>
      <c r="C185" s="1034"/>
      <c r="D185" s="1034"/>
      <c r="E185" s="1035"/>
      <c r="F185" s="1035"/>
      <c r="G185" s="1036"/>
      <c r="H185" s="1035"/>
      <c r="I185" s="997"/>
      <c r="J185" s="997"/>
      <c r="K185" s="1037"/>
    </row>
    <row r="186" spans="2:11" ht="17.45" customHeight="1">
      <c r="B186" s="1033"/>
      <c r="C186" s="1034"/>
      <c r="D186" s="1034"/>
      <c r="E186" s="1035"/>
      <c r="F186" s="1035"/>
      <c r="G186" s="1036"/>
      <c r="H186" s="1035"/>
      <c r="I186" s="997"/>
      <c r="J186" s="997"/>
      <c r="K186" s="1037"/>
    </row>
    <row r="187" spans="2:11" ht="17.45" customHeight="1">
      <c r="B187" s="1033"/>
      <c r="C187" s="1034"/>
      <c r="D187" s="1034"/>
      <c r="E187" s="1035"/>
      <c r="F187" s="1035"/>
      <c r="G187" s="1036"/>
      <c r="H187" s="1035"/>
      <c r="I187" s="997"/>
      <c r="J187" s="997"/>
      <c r="K187" s="1037"/>
    </row>
    <row r="188" spans="2:11" ht="17.45" customHeight="1">
      <c r="B188" s="1033"/>
      <c r="C188" s="1034"/>
      <c r="D188" s="1034"/>
      <c r="E188" s="1035"/>
      <c r="F188" s="1035"/>
      <c r="G188" s="1036"/>
      <c r="H188" s="1035"/>
      <c r="I188" s="997"/>
      <c r="J188" s="997"/>
      <c r="K188" s="1037"/>
    </row>
    <row r="189" spans="2:11" ht="17.45" customHeight="1">
      <c r="B189" s="1033"/>
      <c r="C189" s="1034"/>
      <c r="D189" s="1034"/>
      <c r="E189" s="1035"/>
      <c r="F189" s="1035"/>
      <c r="G189" s="1036"/>
      <c r="H189" s="1035"/>
      <c r="I189" s="997"/>
      <c r="J189" s="997"/>
      <c r="K189" s="1037"/>
    </row>
    <row r="190" spans="2:11" ht="17.45" customHeight="1">
      <c r="B190" s="1033"/>
      <c r="C190" s="1034"/>
      <c r="D190" s="1034"/>
      <c r="E190" s="1035"/>
      <c r="F190" s="1035"/>
      <c r="G190" s="1036"/>
      <c r="H190" s="1035"/>
      <c r="I190" s="997"/>
      <c r="J190" s="997"/>
      <c r="K190" s="1037"/>
    </row>
    <row r="191" spans="2:11" ht="17.45" customHeight="1">
      <c r="B191" s="1033"/>
      <c r="C191" s="1034"/>
      <c r="D191" s="1034"/>
      <c r="E191" s="1035"/>
      <c r="F191" s="1035"/>
      <c r="G191" s="1036"/>
      <c r="H191" s="1035"/>
      <c r="I191" s="997"/>
      <c r="J191" s="997"/>
      <c r="K191" s="1037"/>
    </row>
    <row r="192" spans="2:11" ht="17.45" customHeight="1">
      <c r="B192" s="1033"/>
      <c r="C192" s="1034"/>
      <c r="D192" s="1034"/>
      <c r="E192" s="1035"/>
      <c r="F192" s="1035"/>
      <c r="G192" s="1036"/>
      <c r="H192" s="1035"/>
      <c r="I192" s="997"/>
      <c r="J192" s="997"/>
      <c r="K192" s="1037"/>
    </row>
    <row r="193" spans="2:11" ht="17.45" customHeight="1">
      <c r="B193" s="1033"/>
      <c r="C193" s="1034"/>
      <c r="D193" s="1034"/>
      <c r="E193" s="1035"/>
      <c r="F193" s="1035"/>
      <c r="G193" s="1036"/>
      <c r="H193" s="1035"/>
      <c r="I193" s="997"/>
      <c r="J193" s="997"/>
      <c r="K193" s="1037"/>
    </row>
    <row r="194" spans="2:11" ht="17.45" customHeight="1">
      <c r="B194" s="1033"/>
      <c r="C194" s="1034"/>
      <c r="D194" s="1034"/>
      <c r="E194" s="1035"/>
      <c r="F194" s="1035"/>
      <c r="G194" s="1036"/>
      <c r="H194" s="1035"/>
      <c r="I194" s="997"/>
      <c r="J194" s="997"/>
      <c r="K194" s="1037"/>
    </row>
    <row r="195" spans="2:11" ht="17.45" customHeight="1">
      <c r="B195" s="1033"/>
      <c r="C195" s="1034"/>
      <c r="D195" s="1034"/>
      <c r="E195" s="1035"/>
      <c r="F195" s="1035"/>
      <c r="G195" s="1036"/>
      <c r="H195" s="1035"/>
      <c r="I195" s="997"/>
      <c r="J195" s="997"/>
      <c r="K195" s="1037"/>
    </row>
    <row r="196" spans="2:11" ht="17.45" customHeight="1">
      <c r="B196" s="1033"/>
      <c r="C196" s="1034"/>
      <c r="D196" s="1034"/>
      <c r="E196" s="1035"/>
      <c r="F196" s="1035"/>
      <c r="G196" s="1036"/>
      <c r="H196" s="1035"/>
      <c r="I196" s="997"/>
      <c r="J196" s="997"/>
      <c r="K196" s="1037"/>
    </row>
    <row r="197" spans="2:11" ht="17.45" customHeight="1">
      <c r="B197" s="1033"/>
      <c r="C197" s="1034"/>
      <c r="D197" s="1034"/>
      <c r="E197" s="1035"/>
      <c r="F197" s="1035"/>
      <c r="G197" s="1036"/>
      <c r="H197" s="1035"/>
      <c r="I197" s="997"/>
      <c r="J197" s="997"/>
      <c r="K197" s="1037"/>
    </row>
    <row r="198" spans="2:11" ht="17.45" customHeight="1">
      <c r="B198" s="1033"/>
      <c r="C198" s="1034"/>
      <c r="D198" s="1034"/>
      <c r="E198" s="1035"/>
      <c r="F198" s="1035"/>
      <c r="G198" s="1036"/>
      <c r="H198" s="1035"/>
      <c r="I198" s="997"/>
      <c r="J198" s="997"/>
      <c r="K198" s="1037"/>
    </row>
    <row r="199" spans="2:11" ht="17.45" customHeight="1">
      <c r="B199" s="1033"/>
      <c r="C199" s="1034"/>
      <c r="D199" s="1034"/>
      <c r="E199" s="1035"/>
      <c r="F199" s="1035"/>
      <c r="G199" s="1036"/>
      <c r="H199" s="1035"/>
      <c r="I199" s="997"/>
      <c r="J199" s="997"/>
      <c r="K199" s="1037"/>
    </row>
    <row r="200" spans="2:11" ht="17.45" customHeight="1">
      <c r="B200" s="1033"/>
      <c r="C200" s="1034"/>
      <c r="D200" s="1034"/>
      <c r="E200" s="1035"/>
      <c r="F200" s="1035"/>
      <c r="G200" s="1036"/>
      <c r="H200" s="1035"/>
      <c r="I200" s="997"/>
      <c r="J200" s="997"/>
      <c r="K200" s="1037"/>
    </row>
    <row r="201" spans="2:11" ht="17.45" customHeight="1">
      <c r="B201" s="1033"/>
      <c r="C201" s="1034"/>
      <c r="D201" s="1034"/>
      <c r="E201" s="1035"/>
      <c r="F201" s="1035"/>
      <c r="G201" s="1036"/>
      <c r="H201" s="1035"/>
      <c r="I201" s="997"/>
      <c r="J201" s="997"/>
      <c r="K201" s="1037"/>
    </row>
    <row r="202" spans="2:11" ht="17.45" customHeight="1">
      <c r="B202" s="1033"/>
      <c r="C202" s="1034"/>
      <c r="D202" s="1034"/>
      <c r="E202" s="1035"/>
      <c r="F202" s="1035"/>
      <c r="G202" s="1036"/>
      <c r="H202" s="1035"/>
      <c r="I202" s="997"/>
      <c r="J202" s="997"/>
      <c r="K202" s="1037"/>
    </row>
    <row r="203" spans="2:11" ht="17.45" customHeight="1">
      <c r="B203" s="1033"/>
      <c r="C203" s="1034"/>
      <c r="D203" s="1034"/>
      <c r="E203" s="1035"/>
      <c r="F203" s="1035"/>
      <c r="G203" s="1036"/>
      <c r="H203" s="1035"/>
      <c r="I203" s="997"/>
      <c r="J203" s="997"/>
      <c r="K203" s="1037"/>
    </row>
    <row r="204" spans="2:11" ht="17.45" customHeight="1">
      <c r="B204" s="1033"/>
      <c r="C204" s="1034"/>
      <c r="D204" s="1034"/>
      <c r="E204" s="1035"/>
      <c r="F204" s="1035"/>
      <c r="G204" s="1036"/>
      <c r="H204" s="1035"/>
      <c r="I204" s="997"/>
      <c r="J204" s="997"/>
      <c r="K204" s="1037"/>
    </row>
    <row r="205" spans="2:11" ht="17.45" customHeight="1">
      <c r="B205" s="1033"/>
      <c r="C205" s="1034"/>
      <c r="D205" s="1034"/>
      <c r="E205" s="1035"/>
      <c r="F205" s="1035"/>
      <c r="G205" s="1036"/>
      <c r="H205" s="1035"/>
      <c r="I205" s="997"/>
      <c r="J205" s="997"/>
      <c r="K205" s="1037"/>
    </row>
    <row r="206" spans="2:11" ht="17.45" customHeight="1">
      <c r="B206" s="1033"/>
      <c r="C206" s="1034"/>
      <c r="D206" s="1034"/>
      <c r="E206" s="1035"/>
      <c r="F206" s="1035"/>
      <c r="G206" s="1036"/>
      <c r="H206" s="1035"/>
      <c r="I206" s="997"/>
      <c r="J206" s="997"/>
      <c r="K206" s="1037"/>
    </row>
    <row r="207" spans="2:11" ht="17.45" customHeight="1">
      <c r="B207" s="1033"/>
      <c r="C207" s="1034"/>
      <c r="D207" s="1034"/>
      <c r="E207" s="1035"/>
      <c r="F207" s="1035"/>
      <c r="G207" s="1036"/>
      <c r="H207" s="1035"/>
      <c r="I207" s="997"/>
      <c r="J207" s="997"/>
      <c r="K207" s="1037"/>
    </row>
    <row r="208" spans="2:11" ht="17.45" customHeight="1">
      <c r="B208" s="1033"/>
      <c r="C208" s="1034"/>
      <c r="D208" s="1034"/>
      <c r="E208" s="1035"/>
      <c r="F208" s="1035"/>
      <c r="G208" s="1036"/>
      <c r="H208" s="1035"/>
      <c r="I208" s="997"/>
      <c r="J208" s="997"/>
      <c r="K208" s="1037"/>
    </row>
    <row r="209" spans="2:11" ht="17.45" customHeight="1">
      <c r="B209" s="1033"/>
      <c r="C209" s="1034"/>
      <c r="D209" s="1034"/>
      <c r="E209" s="1035"/>
      <c r="F209" s="1035"/>
      <c r="G209" s="1036"/>
      <c r="H209" s="1035"/>
      <c r="I209" s="997"/>
      <c r="J209" s="997"/>
      <c r="K209" s="1037"/>
    </row>
    <row r="210" spans="2:11" ht="17.45" customHeight="1">
      <c r="B210" s="1033"/>
      <c r="C210" s="1034"/>
      <c r="D210" s="1034"/>
      <c r="E210" s="1035"/>
      <c r="F210" s="1035"/>
      <c r="G210" s="1036"/>
      <c r="H210" s="1035"/>
      <c r="I210" s="997"/>
      <c r="J210" s="997"/>
      <c r="K210" s="1037"/>
    </row>
    <row r="211" spans="2:11" ht="17.45" customHeight="1">
      <c r="B211" s="1033"/>
      <c r="C211" s="1034"/>
      <c r="D211" s="1034"/>
      <c r="E211" s="1035"/>
      <c r="F211" s="1035"/>
      <c r="G211" s="1036"/>
      <c r="H211" s="1035"/>
      <c r="I211" s="997"/>
      <c r="J211" s="997"/>
      <c r="K211" s="1037"/>
    </row>
    <row r="212" spans="2:11" ht="17.45" customHeight="1">
      <c r="B212" s="1033"/>
      <c r="C212" s="1034"/>
      <c r="D212" s="1034"/>
      <c r="E212" s="1035"/>
      <c r="F212" s="1035"/>
      <c r="G212" s="1036"/>
      <c r="H212" s="1035"/>
      <c r="I212" s="997"/>
      <c r="J212" s="997"/>
      <c r="K212" s="1037"/>
    </row>
    <row r="213" spans="2:11" ht="17.45" customHeight="1">
      <c r="B213" s="1033"/>
      <c r="C213" s="1034"/>
      <c r="D213" s="1034"/>
      <c r="E213" s="1035"/>
      <c r="F213" s="1035"/>
      <c r="G213" s="1036"/>
      <c r="H213" s="1035"/>
      <c r="I213" s="997"/>
      <c r="J213" s="997"/>
      <c r="K213" s="1037"/>
    </row>
    <row r="214" spans="2:11" ht="17.45" customHeight="1">
      <c r="B214" s="1033"/>
      <c r="C214" s="1034"/>
      <c r="D214" s="1034"/>
      <c r="E214" s="1035"/>
      <c r="F214" s="1035"/>
      <c r="G214" s="1036"/>
      <c r="H214" s="1035"/>
      <c r="I214" s="997"/>
      <c r="J214" s="997"/>
      <c r="K214" s="1037"/>
    </row>
    <row r="215" spans="2:11" ht="17.45" customHeight="1">
      <c r="B215" s="1033"/>
      <c r="C215" s="1034"/>
      <c r="D215" s="1034"/>
      <c r="E215" s="1035"/>
      <c r="F215" s="1035"/>
      <c r="G215" s="1036"/>
      <c r="H215" s="1035"/>
      <c r="I215" s="997"/>
      <c r="J215" s="997"/>
      <c r="K215" s="1037"/>
    </row>
    <row r="216" spans="2:11" ht="17.45" customHeight="1">
      <c r="B216" s="1033"/>
      <c r="C216" s="1034"/>
      <c r="D216" s="1034"/>
      <c r="E216" s="1035"/>
      <c r="F216" s="1035"/>
      <c r="G216" s="1036"/>
      <c r="H216" s="1035"/>
      <c r="I216" s="997"/>
      <c r="J216" s="997"/>
      <c r="K216" s="1037"/>
    </row>
    <row r="217" spans="2:11" ht="17.45" customHeight="1">
      <c r="B217" s="1033"/>
      <c r="C217" s="1034"/>
      <c r="D217" s="1034"/>
      <c r="E217" s="1035"/>
      <c r="F217" s="1035"/>
      <c r="G217" s="1036"/>
      <c r="H217" s="1035"/>
      <c r="I217" s="997"/>
      <c r="J217" s="997"/>
      <c r="K217" s="1037"/>
    </row>
    <row r="218" spans="2:11" ht="17.45" customHeight="1">
      <c r="B218" s="1033"/>
      <c r="C218" s="1034"/>
      <c r="D218" s="1034"/>
      <c r="E218" s="1035"/>
      <c r="F218" s="1035"/>
      <c r="G218" s="1036"/>
      <c r="H218" s="1035"/>
      <c r="I218" s="997"/>
      <c r="J218" s="997"/>
      <c r="K218" s="1037"/>
    </row>
    <row r="219" spans="2:11" ht="17.45" customHeight="1">
      <c r="B219" s="1033"/>
      <c r="C219" s="1034"/>
      <c r="D219" s="1034"/>
      <c r="E219" s="1035"/>
      <c r="F219" s="1035"/>
      <c r="G219" s="1036"/>
      <c r="H219" s="1035"/>
      <c r="I219" s="997"/>
      <c r="J219" s="997"/>
      <c r="K219" s="1037"/>
    </row>
    <row r="220" spans="2:11" ht="17.45" customHeight="1">
      <c r="B220" s="1033"/>
      <c r="C220" s="1034"/>
      <c r="D220" s="1034"/>
      <c r="E220" s="1035"/>
      <c r="F220" s="1035"/>
      <c r="G220" s="1036"/>
      <c r="H220" s="1035"/>
      <c r="I220" s="997"/>
      <c r="J220" s="997"/>
      <c r="K220" s="1037"/>
    </row>
    <row r="221" spans="2:11" ht="17.45" customHeight="1">
      <c r="B221" s="1033"/>
      <c r="C221" s="1034"/>
      <c r="D221" s="1034"/>
      <c r="E221" s="1035"/>
      <c r="F221" s="1035"/>
      <c r="G221" s="1036"/>
      <c r="H221" s="1035"/>
      <c r="I221" s="997"/>
      <c r="J221" s="997"/>
      <c r="K221" s="1037"/>
    </row>
    <row r="222" spans="2:11" ht="17.45" customHeight="1">
      <c r="B222" s="1033"/>
      <c r="C222" s="1034"/>
      <c r="D222" s="1034"/>
      <c r="E222" s="1035"/>
      <c r="F222" s="1035"/>
      <c r="G222" s="1036"/>
      <c r="H222" s="1035"/>
      <c r="I222" s="997"/>
      <c r="J222" s="997"/>
      <c r="K222" s="1037"/>
    </row>
    <row r="223" spans="2:11" ht="17.45" customHeight="1" thickBot="1">
      <c r="B223" s="1087"/>
      <c r="C223" s="1088"/>
      <c r="D223" s="1088"/>
      <c r="E223" s="1089"/>
      <c r="F223" s="1089"/>
      <c r="G223" s="1090"/>
      <c r="H223" s="1089"/>
      <c r="I223" s="1091"/>
      <c r="J223" s="1091"/>
      <c r="K223" s="1092"/>
    </row>
    <row r="224" spans="2:11" ht="17.25" thickBot="1">
      <c r="I224" s="1096"/>
      <c r="J224" s="1096"/>
    </row>
    <row r="225" spans="2:11" ht="18" thickTop="1" thickBot="1">
      <c r="B225" s="1097"/>
      <c r="C225" s="1098"/>
      <c r="D225" s="1098"/>
      <c r="E225" s="1099"/>
      <c r="F225" s="1099" t="s">
        <v>658</v>
      </c>
      <c r="G225" s="1100">
        <f>SUBTOTAL(109,표1[금 액])</f>
        <v>0</v>
      </c>
      <c r="H225" s="1099"/>
      <c r="I225" s="1099">
        <f>SUBTOTAL(103,표1[금반지])</f>
        <v>0</v>
      </c>
      <c r="J225" s="1101">
        <f>SUBTOTAL(103,표1[금k/돈3.75g])</f>
        <v>0</v>
      </c>
      <c r="K225" s="1102"/>
    </row>
    <row r="226" spans="2:11" ht="17.25" thickTop="1"/>
  </sheetData>
  <sheetProtection algorithmName="SHA-512" hashValue="rzoxJ2CcQpE2xcRRw3AeC1FUDEEMWptf2EFkDhOo7+r6zHBM/Oozg6ftVSnOYHvkEulbHxeOUsQtvSV8xpSunw==" saltValue="74jcTyKIE0yyNeHuUQN59g==" spinCount="100000" sheet="1" objects="1" scenarios="1" formatCells="0" formatColumns="0" formatRows="0" insertColumns="0" insertRows="0" sort="0" autoFilter="0" pivotTables="0"/>
  <mergeCells count="65">
    <mergeCell ref="B1:G1"/>
    <mergeCell ref="W32:AF32"/>
    <mergeCell ref="W33:AF33"/>
    <mergeCell ref="W36:AF36"/>
    <mergeCell ref="W35:AF35"/>
    <mergeCell ref="W34:AF34"/>
    <mergeCell ref="W27:AF27"/>
    <mergeCell ref="W28:AF28"/>
    <mergeCell ref="W29:AF29"/>
    <mergeCell ref="W30:AF30"/>
    <mergeCell ref="W31:AF31"/>
    <mergeCell ref="T2:T3"/>
    <mergeCell ref="U2:U3"/>
    <mergeCell ref="M8:N8"/>
    <mergeCell ref="Q8:R8"/>
    <mergeCell ref="M15:N15"/>
    <mergeCell ref="W37:AF37"/>
    <mergeCell ref="W23:AF23"/>
    <mergeCell ref="W21:AF22"/>
    <mergeCell ref="W4:X4"/>
    <mergeCell ref="M6:N6"/>
    <mergeCell ref="Q6:R6"/>
    <mergeCell ref="M7:N7"/>
    <mergeCell ref="Q7:R7"/>
    <mergeCell ref="W24:AF24"/>
    <mergeCell ref="W25:AF25"/>
    <mergeCell ref="W26:AF26"/>
    <mergeCell ref="Q11:R12"/>
    <mergeCell ref="T11:U12"/>
    <mergeCell ref="W11:X12"/>
    <mergeCell ref="Y11:Y12"/>
    <mergeCell ref="Q15:R15"/>
    <mergeCell ref="B2:E3"/>
    <mergeCell ref="M2:P3"/>
    <mergeCell ref="M4:N4"/>
    <mergeCell ref="O4:P4"/>
    <mergeCell ref="Q4:R4"/>
    <mergeCell ref="W2:Z3"/>
    <mergeCell ref="H3:K3"/>
    <mergeCell ref="W19:AE19"/>
    <mergeCell ref="W20:AE20"/>
    <mergeCell ref="M5:N5"/>
    <mergeCell ref="O5:P5"/>
    <mergeCell ref="Q5:R5"/>
    <mergeCell ref="T4:U4"/>
    <mergeCell ref="Z11:Z12"/>
    <mergeCell ref="M13:N13"/>
    <mergeCell ref="O13:P13"/>
    <mergeCell ref="Q13:R13"/>
    <mergeCell ref="M14:N14"/>
    <mergeCell ref="Q14:R14"/>
    <mergeCell ref="M11:N12"/>
    <mergeCell ref="O11:P12"/>
    <mergeCell ref="M16:N16"/>
    <mergeCell ref="Q16:R16"/>
    <mergeCell ref="M37:V37"/>
    <mergeCell ref="M45:V45"/>
    <mergeCell ref="M38:V38"/>
    <mergeCell ref="M46:V46"/>
    <mergeCell ref="M39:V39"/>
    <mergeCell ref="M40:V40"/>
    <mergeCell ref="M41:V41"/>
    <mergeCell ref="M42:V42"/>
    <mergeCell ref="M43:V43"/>
    <mergeCell ref="M44:V44"/>
  </mergeCells>
  <phoneticPr fontId="5" type="noConversion"/>
  <dataValidations count="6">
    <dataValidation type="list" allowBlank="1" showInputMessage="1" showErrorMessage="1" sqref="J5:J223">
      <formula1>"24K/1돈,18K/1돈,24K/1돈반,18K/1돈반,18K/2돈,18K/반돈,24K/반돈,24K/2돈,18K/2돈,기타,24K1g"</formula1>
    </dataValidation>
    <dataValidation type="list" allowBlank="1" showInputMessage="1" showErrorMessage="1" sqref="E5:E223">
      <formula1>"친구,회사직원,친척,거래처,기타"</formula1>
    </dataValidation>
    <dataValidation type="list" allowBlank="1" showInputMessage="1" showErrorMessage="1" sqref="I5:I223">
      <formula1>"금반지,금팔찌,기타"</formula1>
    </dataValidation>
    <dataValidation type="list" allowBlank="1" showInputMessage="1" showErrorMessage="1" sqref="F5:F224">
      <formula1>"결혼,부고,돌잔치,백일,입학,졸업,칠순,팔순,개업,기타"</formula1>
    </dataValidation>
    <dataValidation type="list" allowBlank="1" showInputMessage="1" showErrorMessage="1" sqref="E224">
      <formula1>"친구,회사,친척,기타"</formula1>
    </dataValidation>
    <dataValidation type="list" allowBlank="1" showInputMessage="1" showErrorMessage="1" sqref="C5:C223">
      <formula1>"보냄,받음"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100"/>
  <sheetViews>
    <sheetView workbookViewId="0">
      <selection activeCell="N17" sqref="N17"/>
    </sheetView>
  </sheetViews>
  <sheetFormatPr defaultRowHeight="16.5"/>
  <cols>
    <col min="1" max="1" width="3.125" customWidth="1"/>
    <col min="2" max="2" width="9.375" style="1103" bestFit="1" customWidth="1"/>
    <col min="3" max="3" width="20.375" style="1103" customWidth="1"/>
    <col min="4" max="4" width="12.125" style="1103" customWidth="1"/>
    <col min="5" max="5" width="16.5" style="1127" customWidth="1"/>
    <col min="6" max="6" width="16" style="1103" customWidth="1"/>
    <col min="7" max="7" width="21.625" style="1103" customWidth="1"/>
    <col min="8" max="8" width="12.125" style="1104" customWidth="1"/>
    <col min="9" max="10" width="31.5" style="1104" customWidth="1"/>
    <col min="11" max="11" width="16.625" style="1104" customWidth="1"/>
  </cols>
  <sheetData>
    <row r="1" spans="2:11" ht="42" customHeight="1">
      <c r="B1" s="1770" t="s">
        <v>661</v>
      </c>
      <c r="C1" s="1770"/>
      <c r="D1" s="1770"/>
      <c r="E1" s="1770"/>
      <c r="F1" s="1770"/>
      <c r="G1" s="1770"/>
    </row>
    <row r="2" spans="2:11" ht="33.75" customHeight="1" thickBot="1">
      <c r="B2" s="1105" t="s">
        <v>662</v>
      </c>
      <c r="C2" s="1106" t="s">
        <v>663</v>
      </c>
      <c r="D2" s="1106" t="s">
        <v>664</v>
      </c>
      <c r="E2" s="1107" t="s">
        <v>665</v>
      </c>
      <c r="F2" s="1106" t="s">
        <v>666</v>
      </c>
      <c r="G2" s="1108" t="s">
        <v>667</v>
      </c>
      <c r="H2" s="1109" t="s">
        <v>668</v>
      </c>
      <c r="I2" s="1109" t="s">
        <v>669</v>
      </c>
      <c r="J2" s="1110" t="s">
        <v>670</v>
      </c>
      <c r="K2" s="1111" t="s">
        <v>671</v>
      </c>
    </row>
    <row r="3" spans="2:11" ht="17.25" thickTop="1">
      <c r="B3" s="1112"/>
      <c r="C3" s="1113"/>
      <c r="D3" s="1113"/>
      <c r="E3" s="1114"/>
      <c r="F3" s="1113"/>
      <c r="G3" s="1113"/>
      <c r="H3" s="1115"/>
      <c r="I3" s="1115"/>
      <c r="J3" s="1115"/>
      <c r="K3" s="1116"/>
    </row>
    <row r="4" spans="2:11">
      <c r="B4" s="1117"/>
      <c r="C4" s="1118"/>
      <c r="D4" s="1118"/>
      <c r="E4" s="1119"/>
      <c r="F4" s="1118"/>
      <c r="G4" s="1118"/>
      <c r="H4" s="1120"/>
      <c r="I4" s="1120"/>
      <c r="J4" s="1120"/>
      <c r="K4" s="1121"/>
    </row>
    <row r="5" spans="2:11">
      <c r="B5" s="1117"/>
      <c r="C5" s="1118"/>
      <c r="D5" s="1118"/>
      <c r="E5" s="1119"/>
      <c r="F5" s="1118"/>
      <c r="G5" s="1118"/>
      <c r="H5" s="1120"/>
      <c r="I5" s="1120"/>
      <c r="J5" s="1120"/>
      <c r="K5" s="1121"/>
    </row>
    <row r="6" spans="2:11">
      <c r="B6" s="1117"/>
      <c r="C6" s="1118"/>
      <c r="D6" s="1118"/>
      <c r="E6" s="1119"/>
      <c r="F6" s="1118"/>
      <c r="G6" s="1118"/>
      <c r="H6" s="1120"/>
      <c r="I6" s="1120"/>
      <c r="J6" s="1120"/>
      <c r="K6" s="1121"/>
    </row>
    <row r="7" spans="2:11">
      <c r="B7" s="1117"/>
      <c r="C7" s="1118"/>
      <c r="D7" s="1118"/>
      <c r="E7" s="1119"/>
      <c r="F7" s="1118"/>
      <c r="G7" s="1118"/>
      <c r="H7" s="1120"/>
      <c r="I7" s="1120"/>
      <c r="J7" s="1120"/>
      <c r="K7" s="1121"/>
    </row>
    <row r="8" spans="2:11">
      <c r="B8" s="1117"/>
      <c r="C8" s="1118"/>
      <c r="D8" s="1118"/>
      <c r="E8" s="1119"/>
      <c r="F8" s="1118"/>
      <c r="G8" s="1118"/>
      <c r="H8" s="1120"/>
      <c r="I8" s="1120"/>
      <c r="J8" s="1120"/>
      <c r="K8" s="1121"/>
    </row>
    <row r="9" spans="2:11">
      <c r="B9" s="1117"/>
      <c r="C9" s="1118"/>
      <c r="D9" s="1118"/>
      <c r="E9" s="1119"/>
      <c r="F9" s="1118"/>
      <c r="G9" s="1118"/>
      <c r="H9" s="1120"/>
      <c r="I9" s="1120"/>
      <c r="J9" s="1120"/>
      <c r="K9" s="1121"/>
    </row>
    <row r="10" spans="2:11">
      <c r="B10" s="1117"/>
      <c r="C10" s="1118"/>
      <c r="D10" s="1118"/>
      <c r="E10" s="1119"/>
      <c r="F10" s="1118"/>
      <c r="G10" s="1118"/>
      <c r="H10" s="1120"/>
      <c r="I10" s="1120"/>
      <c r="J10" s="1120"/>
      <c r="K10" s="1121"/>
    </row>
    <row r="11" spans="2:11">
      <c r="B11" s="1117"/>
      <c r="C11" s="1118"/>
      <c r="D11" s="1118"/>
      <c r="E11" s="1119"/>
      <c r="F11" s="1118"/>
      <c r="G11" s="1118"/>
      <c r="H11" s="1120"/>
      <c r="I11" s="1120"/>
      <c r="J11" s="1120"/>
      <c r="K11" s="1121"/>
    </row>
    <row r="12" spans="2:11">
      <c r="B12" s="1117"/>
      <c r="C12" s="1118"/>
      <c r="D12" s="1118"/>
      <c r="E12" s="1119"/>
      <c r="F12" s="1118"/>
      <c r="G12" s="1118"/>
      <c r="H12" s="1120"/>
      <c r="I12" s="1120"/>
      <c r="J12" s="1120"/>
      <c r="K12" s="1121"/>
    </row>
    <row r="13" spans="2:11">
      <c r="B13" s="1117"/>
      <c r="C13" s="1118"/>
      <c r="D13" s="1118"/>
      <c r="E13" s="1119"/>
      <c r="F13" s="1118"/>
      <c r="G13" s="1118"/>
      <c r="H13" s="1120"/>
      <c r="I13" s="1120"/>
      <c r="J13" s="1120"/>
      <c r="K13" s="1121"/>
    </row>
    <row r="14" spans="2:11">
      <c r="B14" s="1122"/>
      <c r="C14" s="1123"/>
      <c r="D14" s="1123"/>
      <c r="E14" s="1124"/>
      <c r="F14" s="1123"/>
      <c r="G14" s="1123"/>
      <c r="H14" s="1125"/>
      <c r="I14" s="1125"/>
      <c r="J14" s="1125"/>
      <c r="K14" s="1126"/>
    </row>
    <row r="15" spans="2:11">
      <c r="B15" s="1117"/>
      <c r="C15" s="1118"/>
      <c r="D15" s="1118"/>
      <c r="E15" s="1119"/>
      <c r="F15" s="1118"/>
      <c r="G15" s="1118"/>
      <c r="H15" s="1120"/>
      <c r="I15" s="1120"/>
      <c r="J15" s="1120"/>
      <c r="K15" s="1126"/>
    </row>
    <row r="16" spans="2:11">
      <c r="B16" s="1117"/>
      <c r="C16" s="1118"/>
      <c r="D16" s="1118"/>
      <c r="E16" s="1119"/>
      <c r="F16" s="1118"/>
      <c r="G16" s="1118"/>
      <c r="H16" s="1120"/>
      <c r="I16" s="1120"/>
      <c r="J16" s="1120"/>
      <c r="K16" s="1126"/>
    </row>
    <row r="17" spans="2:11">
      <c r="B17" s="1117"/>
      <c r="C17" s="1118"/>
      <c r="D17" s="1118"/>
      <c r="E17" s="1119"/>
      <c r="F17" s="1118"/>
      <c r="G17" s="1118"/>
      <c r="H17" s="1120"/>
      <c r="I17" s="1120"/>
      <c r="J17" s="1120"/>
      <c r="K17" s="1126"/>
    </row>
    <row r="18" spans="2:11">
      <c r="B18" s="1117"/>
      <c r="C18" s="1118"/>
      <c r="D18" s="1118"/>
      <c r="E18" s="1119"/>
      <c r="F18" s="1118"/>
      <c r="G18" s="1118"/>
      <c r="H18" s="1120"/>
      <c r="I18" s="1120"/>
      <c r="J18" s="1120"/>
      <c r="K18" s="1126"/>
    </row>
    <row r="19" spans="2:11">
      <c r="B19" s="1117"/>
      <c r="C19" s="1118"/>
      <c r="D19" s="1118"/>
      <c r="E19" s="1119"/>
      <c r="F19" s="1118"/>
      <c r="G19" s="1118"/>
      <c r="H19" s="1120"/>
      <c r="I19" s="1120"/>
      <c r="J19" s="1120"/>
      <c r="K19" s="1126"/>
    </row>
    <row r="20" spans="2:11">
      <c r="B20" s="1117"/>
      <c r="C20" s="1118"/>
      <c r="D20" s="1118"/>
      <c r="E20" s="1119"/>
      <c r="F20" s="1118"/>
      <c r="G20" s="1118"/>
      <c r="H20" s="1120"/>
      <c r="I20" s="1120"/>
      <c r="J20" s="1120"/>
      <c r="K20" s="1126"/>
    </row>
    <row r="21" spans="2:11">
      <c r="B21" s="1117"/>
      <c r="C21" s="1118"/>
      <c r="D21" s="1118"/>
      <c r="E21" s="1119"/>
      <c r="F21" s="1118"/>
      <c r="G21" s="1118"/>
      <c r="H21" s="1120"/>
      <c r="I21" s="1120"/>
      <c r="J21" s="1120"/>
      <c r="K21" s="1126"/>
    </row>
    <row r="22" spans="2:11">
      <c r="B22" s="1117"/>
      <c r="C22" s="1118"/>
      <c r="D22" s="1118"/>
      <c r="E22" s="1119"/>
      <c r="F22" s="1118"/>
      <c r="G22" s="1118"/>
      <c r="H22" s="1120"/>
      <c r="I22" s="1120"/>
      <c r="J22" s="1120"/>
      <c r="K22" s="1126"/>
    </row>
    <row r="23" spans="2:11">
      <c r="B23" s="1117"/>
      <c r="C23" s="1118"/>
      <c r="D23" s="1118"/>
      <c r="E23" s="1119"/>
      <c r="F23" s="1118"/>
      <c r="G23" s="1118"/>
      <c r="H23" s="1120"/>
      <c r="I23" s="1120"/>
      <c r="J23" s="1120"/>
      <c r="K23" s="1126"/>
    </row>
    <row r="24" spans="2:11">
      <c r="B24" s="1117"/>
      <c r="C24" s="1118"/>
      <c r="D24" s="1118"/>
      <c r="E24" s="1119"/>
      <c r="F24" s="1118"/>
      <c r="G24" s="1118"/>
      <c r="H24" s="1120"/>
      <c r="I24" s="1120"/>
      <c r="J24" s="1120"/>
      <c r="K24" s="1126"/>
    </row>
    <row r="25" spans="2:11">
      <c r="B25" s="1117"/>
      <c r="C25" s="1118"/>
      <c r="D25" s="1118"/>
      <c r="E25" s="1119"/>
      <c r="F25" s="1118"/>
      <c r="G25" s="1118"/>
      <c r="H25" s="1120"/>
      <c r="I25" s="1120"/>
      <c r="J25" s="1120"/>
      <c r="K25" s="1126"/>
    </row>
    <row r="26" spans="2:11">
      <c r="B26" s="1117"/>
      <c r="C26" s="1118"/>
      <c r="D26" s="1118"/>
      <c r="E26" s="1119"/>
      <c r="F26" s="1118"/>
      <c r="G26" s="1118"/>
      <c r="H26" s="1120"/>
      <c r="I26" s="1120"/>
      <c r="J26" s="1120"/>
      <c r="K26" s="1126"/>
    </row>
    <row r="27" spans="2:11">
      <c r="B27" s="1117"/>
      <c r="C27" s="1118"/>
      <c r="D27" s="1118"/>
      <c r="E27" s="1119"/>
      <c r="F27" s="1118"/>
      <c r="G27" s="1118"/>
      <c r="H27" s="1120"/>
      <c r="I27" s="1120"/>
      <c r="J27" s="1120"/>
      <c r="K27" s="1126"/>
    </row>
    <row r="28" spans="2:11">
      <c r="B28" s="1117"/>
      <c r="C28" s="1118"/>
      <c r="D28" s="1118"/>
      <c r="E28" s="1119"/>
      <c r="F28" s="1118"/>
      <c r="G28" s="1118"/>
      <c r="H28" s="1120"/>
      <c r="I28" s="1120"/>
      <c r="J28" s="1120"/>
      <c r="K28" s="1126"/>
    </row>
    <row r="29" spans="2:11">
      <c r="B29" s="1117"/>
      <c r="C29" s="1118"/>
      <c r="D29" s="1118"/>
      <c r="E29" s="1119"/>
      <c r="F29" s="1118"/>
      <c r="G29" s="1118"/>
      <c r="H29" s="1120"/>
      <c r="I29" s="1120"/>
      <c r="J29" s="1120"/>
      <c r="K29" s="1126"/>
    </row>
    <row r="30" spans="2:11">
      <c r="B30" s="1117"/>
      <c r="C30" s="1118"/>
      <c r="D30" s="1118"/>
      <c r="E30" s="1119"/>
      <c r="F30" s="1118"/>
      <c r="G30" s="1118"/>
      <c r="H30" s="1120"/>
      <c r="I30" s="1120"/>
      <c r="J30" s="1120"/>
      <c r="K30" s="1126"/>
    </row>
    <row r="31" spans="2:11">
      <c r="B31" s="1117"/>
      <c r="C31" s="1118"/>
      <c r="D31" s="1118"/>
      <c r="E31" s="1119"/>
      <c r="F31" s="1118"/>
      <c r="G31" s="1118"/>
      <c r="H31" s="1120"/>
      <c r="I31" s="1120"/>
      <c r="J31" s="1120"/>
      <c r="K31" s="1126"/>
    </row>
    <row r="32" spans="2:11">
      <c r="B32" s="1117"/>
      <c r="C32" s="1118"/>
      <c r="D32" s="1118"/>
      <c r="E32" s="1119"/>
      <c r="F32" s="1118"/>
      <c r="G32" s="1118"/>
      <c r="H32" s="1120"/>
      <c r="I32" s="1120"/>
      <c r="J32" s="1120"/>
      <c r="K32" s="1126"/>
    </row>
    <row r="33" spans="2:11">
      <c r="B33" s="1117"/>
      <c r="C33" s="1118"/>
      <c r="D33" s="1118"/>
      <c r="E33" s="1119"/>
      <c r="F33" s="1118"/>
      <c r="G33" s="1118"/>
      <c r="H33" s="1120"/>
      <c r="I33" s="1120"/>
      <c r="J33" s="1120"/>
      <c r="K33" s="1126"/>
    </row>
    <row r="34" spans="2:11">
      <c r="B34" s="1117"/>
      <c r="C34" s="1118"/>
      <c r="D34" s="1118"/>
      <c r="E34" s="1119"/>
      <c r="F34" s="1118"/>
      <c r="G34" s="1118"/>
      <c r="H34" s="1120"/>
      <c r="I34" s="1120"/>
      <c r="J34" s="1120"/>
      <c r="K34" s="1126"/>
    </row>
    <row r="35" spans="2:11">
      <c r="B35" s="1117"/>
      <c r="C35" s="1118"/>
      <c r="D35" s="1118"/>
      <c r="E35" s="1119"/>
      <c r="F35" s="1118"/>
      <c r="G35" s="1118"/>
      <c r="H35" s="1120"/>
      <c r="I35" s="1120"/>
      <c r="J35" s="1120"/>
      <c r="K35" s="1126"/>
    </row>
    <row r="36" spans="2:11">
      <c r="B36" s="1117"/>
      <c r="C36" s="1118"/>
      <c r="D36" s="1118"/>
      <c r="E36" s="1119"/>
      <c r="F36" s="1118"/>
      <c r="G36" s="1118"/>
      <c r="H36" s="1120"/>
      <c r="I36" s="1120"/>
      <c r="J36" s="1120"/>
      <c r="K36" s="1126"/>
    </row>
    <row r="37" spans="2:11">
      <c r="B37" s="1117"/>
      <c r="C37" s="1118"/>
      <c r="D37" s="1118"/>
      <c r="E37" s="1119"/>
      <c r="F37" s="1118"/>
      <c r="G37" s="1118"/>
      <c r="H37" s="1120"/>
      <c r="I37" s="1120"/>
      <c r="J37" s="1120"/>
      <c r="K37" s="1126"/>
    </row>
    <row r="38" spans="2:11">
      <c r="B38" s="1117"/>
      <c r="C38" s="1118"/>
      <c r="D38" s="1118"/>
      <c r="E38" s="1119"/>
      <c r="F38" s="1118"/>
      <c r="G38" s="1118"/>
      <c r="H38" s="1120"/>
      <c r="I38" s="1120"/>
      <c r="J38" s="1120"/>
      <c r="K38" s="1126"/>
    </row>
    <row r="39" spans="2:11">
      <c r="B39" s="1117"/>
      <c r="C39" s="1118"/>
      <c r="D39" s="1118"/>
      <c r="E39" s="1119"/>
      <c r="F39" s="1118"/>
      <c r="G39" s="1118"/>
      <c r="H39" s="1120"/>
      <c r="I39" s="1120"/>
      <c r="J39" s="1120"/>
      <c r="K39" s="1126"/>
    </row>
    <row r="40" spans="2:11">
      <c r="B40" s="1117"/>
      <c r="C40" s="1118"/>
      <c r="D40" s="1118"/>
      <c r="E40" s="1119"/>
      <c r="F40" s="1118"/>
      <c r="G40" s="1118"/>
      <c r="H40" s="1120"/>
      <c r="I40" s="1120"/>
      <c r="J40" s="1120"/>
      <c r="K40" s="1126"/>
    </row>
    <row r="41" spans="2:11">
      <c r="B41" s="1117"/>
      <c r="C41" s="1118"/>
      <c r="D41" s="1118"/>
      <c r="E41" s="1119"/>
      <c r="F41" s="1118"/>
      <c r="G41" s="1118"/>
      <c r="H41" s="1120"/>
      <c r="I41" s="1120"/>
      <c r="J41" s="1120"/>
      <c r="K41" s="1126"/>
    </row>
    <row r="42" spans="2:11">
      <c r="B42" s="1117"/>
      <c r="C42" s="1118"/>
      <c r="D42" s="1118"/>
      <c r="E42" s="1119"/>
      <c r="F42" s="1118"/>
      <c r="G42" s="1118"/>
      <c r="H42" s="1120"/>
      <c r="I42" s="1120"/>
      <c r="J42" s="1120"/>
      <c r="K42" s="1126"/>
    </row>
    <row r="43" spans="2:11">
      <c r="B43" s="1117"/>
      <c r="C43" s="1118"/>
      <c r="D43" s="1118"/>
      <c r="E43" s="1119"/>
      <c r="F43" s="1118"/>
      <c r="G43" s="1118"/>
      <c r="H43" s="1120"/>
      <c r="I43" s="1120"/>
      <c r="J43" s="1120"/>
      <c r="K43" s="1126"/>
    </row>
    <row r="44" spans="2:11">
      <c r="B44" s="1117"/>
      <c r="C44" s="1118"/>
      <c r="D44" s="1118"/>
      <c r="E44" s="1119"/>
      <c r="F44" s="1118"/>
      <c r="G44" s="1118"/>
      <c r="H44" s="1120"/>
      <c r="I44" s="1120"/>
      <c r="J44" s="1120"/>
      <c r="K44" s="1126"/>
    </row>
    <row r="45" spans="2:11">
      <c r="B45" s="1117"/>
      <c r="C45" s="1118"/>
      <c r="D45" s="1118"/>
      <c r="E45" s="1119"/>
      <c r="F45" s="1118"/>
      <c r="G45" s="1118"/>
      <c r="H45" s="1120"/>
      <c r="I45" s="1120"/>
      <c r="J45" s="1120"/>
      <c r="K45" s="1126"/>
    </row>
    <row r="46" spans="2:11">
      <c r="B46" s="1117"/>
      <c r="C46" s="1118"/>
      <c r="D46" s="1118"/>
      <c r="E46" s="1119"/>
      <c r="F46" s="1118"/>
      <c r="G46" s="1118"/>
      <c r="H46" s="1120"/>
      <c r="I46" s="1120"/>
      <c r="J46" s="1120"/>
      <c r="K46" s="1126"/>
    </row>
    <row r="47" spans="2:11">
      <c r="B47" s="1117"/>
      <c r="C47" s="1118"/>
      <c r="D47" s="1118"/>
      <c r="E47" s="1119"/>
      <c r="F47" s="1118"/>
      <c r="G47" s="1118"/>
      <c r="H47" s="1120"/>
      <c r="I47" s="1120"/>
      <c r="J47" s="1120"/>
      <c r="K47" s="1126"/>
    </row>
    <row r="48" spans="2:11">
      <c r="B48" s="1117"/>
      <c r="C48" s="1118"/>
      <c r="D48" s="1118"/>
      <c r="E48" s="1119"/>
      <c r="F48" s="1118"/>
      <c r="G48" s="1118"/>
      <c r="H48" s="1120"/>
      <c r="I48" s="1120"/>
      <c r="J48" s="1120"/>
      <c r="K48" s="1126"/>
    </row>
    <row r="49" spans="2:11">
      <c r="B49" s="1117"/>
      <c r="C49" s="1118"/>
      <c r="D49" s="1118"/>
      <c r="E49" s="1119"/>
      <c r="F49" s="1118"/>
      <c r="G49" s="1118"/>
      <c r="H49" s="1120"/>
      <c r="I49" s="1120"/>
      <c r="J49" s="1120"/>
      <c r="K49" s="1126"/>
    </row>
    <row r="50" spans="2:11">
      <c r="B50" s="1117"/>
      <c r="C50" s="1118"/>
      <c r="D50" s="1118"/>
      <c r="E50" s="1119"/>
      <c r="F50" s="1118"/>
      <c r="G50" s="1118"/>
      <c r="H50" s="1120"/>
      <c r="I50" s="1120"/>
      <c r="J50" s="1120"/>
      <c r="K50" s="1126"/>
    </row>
    <row r="51" spans="2:11">
      <c r="B51" s="1117"/>
      <c r="C51" s="1118"/>
      <c r="D51" s="1118"/>
      <c r="E51" s="1119"/>
      <c r="F51" s="1118"/>
      <c r="G51" s="1118"/>
      <c r="H51" s="1120"/>
      <c r="I51" s="1120"/>
      <c r="J51" s="1120"/>
      <c r="K51" s="1126"/>
    </row>
    <row r="52" spans="2:11">
      <c r="B52" s="1117"/>
      <c r="C52" s="1118"/>
      <c r="D52" s="1118"/>
      <c r="E52" s="1119"/>
      <c r="F52" s="1118"/>
      <c r="G52" s="1118"/>
      <c r="H52" s="1120"/>
      <c r="I52" s="1120"/>
      <c r="J52" s="1120"/>
      <c r="K52" s="1126"/>
    </row>
    <row r="53" spans="2:11">
      <c r="B53" s="1117"/>
      <c r="C53" s="1118"/>
      <c r="D53" s="1118"/>
      <c r="E53" s="1119"/>
      <c r="F53" s="1118"/>
      <c r="G53" s="1118"/>
      <c r="H53" s="1120"/>
      <c r="I53" s="1120"/>
      <c r="J53" s="1120"/>
      <c r="K53" s="1126"/>
    </row>
    <row r="54" spans="2:11">
      <c r="B54" s="1117"/>
      <c r="C54" s="1118"/>
      <c r="D54" s="1118"/>
      <c r="E54" s="1119"/>
      <c r="F54" s="1118"/>
      <c r="G54" s="1118"/>
      <c r="H54" s="1120"/>
      <c r="I54" s="1120"/>
      <c r="J54" s="1120"/>
      <c r="K54" s="1126"/>
    </row>
    <row r="55" spans="2:11">
      <c r="B55" s="1117"/>
      <c r="C55" s="1118"/>
      <c r="D55" s="1118"/>
      <c r="E55" s="1119"/>
      <c r="F55" s="1118"/>
      <c r="G55" s="1118"/>
      <c r="H55" s="1120"/>
      <c r="I55" s="1120"/>
      <c r="J55" s="1120"/>
      <c r="K55" s="1126"/>
    </row>
    <row r="56" spans="2:11">
      <c r="B56" s="1117"/>
      <c r="C56" s="1118"/>
      <c r="D56" s="1118"/>
      <c r="E56" s="1119"/>
      <c r="F56" s="1118"/>
      <c r="G56" s="1118"/>
      <c r="H56" s="1120"/>
      <c r="I56" s="1120"/>
      <c r="J56" s="1120"/>
      <c r="K56" s="1126"/>
    </row>
    <row r="57" spans="2:11">
      <c r="B57" s="1117"/>
      <c r="C57" s="1118"/>
      <c r="D57" s="1118"/>
      <c r="E57" s="1119"/>
      <c r="F57" s="1118"/>
      <c r="G57" s="1118"/>
      <c r="H57" s="1120"/>
      <c r="I57" s="1120"/>
      <c r="J57" s="1120"/>
      <c r="K57" s="1126"/>
    </row>
    <row r="58" spans="2:11">
      <c r="B58" s="1117"/>
      <c r="C58" s="1118"/>
      <c r="D58" s="1118"/>
      <c r="E58" s="1119"/>
      <c r="F58" s="1118"/>
      <c r="G58" s="1118"/>
      <c r="H58" s="1120"/>
      <c r="I58" s="1120"/>
      <c r="J58" s="1120"/>
      <c r="K58" s="1126"/>
    </row>
    <row r="59" spans="2:11">
      <c r="B59" s="1117"/>
      <c r="C59" s="1118"/>
      <c r="D59" s="1118"/>
      <c r="E59" s="1119"/>
      <c r="F59" s="1118"/>
      <c r="G59" s="1118"/>
      <c r="H59" s="1120"/>
      <c r="I59" s="1120"/>
      <c r="J59" s="1120"/>
      <c r="K59" s="1126"/>
    </row>
    <row r="60" spans="2:11">
      <c r="B60" s="1117"/>
      <c r="C60" s="1118"/>
      <c r="D60" s="1118"/>
      <c r="E60" s="1119"/>
      <c r="F60" s="1118"/>
      <c r="G60" s="1118"/>
      <c r="H60" s="1120"/>
      <c r="I60" s="1120"/>
      <c r="J60" s="1120"/>
      <c r="K60" s="1126"/>
    </row>
    <row r="61" spans="2:11">
      <c r="B61" s="1117"/>
      <c r="C61" s="1118"/>
      <c r="D61" s="1118"/>
      <c r="E61" s="1119"/>
      <c r="F61" s="1118"/>
      <c r="G61" s="1118"/>
      <c r="H61" s="1120"/>
      <c r="I61" s="1120"/>
      <c r="J61" s="1120"/>
      <c r="K61" s="1126"/>
    </row>
    <row r="62" spans="2:11">
      <c r="B62" s="1117"/>
      <c r="C62" s="1118"/>
      <c r="D62" s="1118"/>
      <c r="E62" s="1119"/>
      <c r="F62" s="1118"/>
      <c r="G62" s="1118"/>
      <c r="H62" s="1120"/>
      <c r="I62" s="1120"/>
      <c r="J62" s="1120"/>
      <c r="K62" s="1126"/>
    </row>
    <row r="63" spans="2:11">
      <c r="B63" s="1117"/>
      <c r="C63" s="1118"/>
      <c r="D63" s="1118"/>
      <c r="E63" s="1119"/>
      <c r="F63" s="1118"/>
      <c r="G63" s="1118"/>
      <c r="H63" s="1120"/>
      <c r="I63" s="1120"/>
      <c r="J63" s="1120"/>
      <c r="K63" s="1126"/>
    </row>
    <row r="64" spans="2:11">
      <c r="B64" s="1117"/>
      <c r="C64" s="1118"/>
      <c r="D64" s="1118"/>
      <c r="E64" s="1119"/>
      <c r="F64" s="1118"/>
      <c r="G64" s="1118"/>
      <c r="H64" s="1120"/>
      <c r="I64" s="1120"/>
      <c r="J64" s="1120"/>
      <c r="K64" s="1126"/>
    </row>
    <row r="65" spans="2:11">
      <c r="B65" s="1117"/>
      <c r="C65" s="1118"/>
      <c r="D65" s="1118"/>
      <c r="E65" s="1119"/>
      <c r="F65" s="1118"/>
      <c r="G65" s="1118"/>
      <c r="H65" s="1120"/>
      <c r="I65" s="1120"/>
      <c r="J65" s="1120"/>
      <c r="K65" s="1126"/>
    </row>
    <row r="66" spans="2:11">
      <c r="B66" s="1117"/>
      <c r="C66" s="1118"/>
      <c r="D66" s="1118"/>
      <c r="E66" s="1119"/>
      <c r="F66" s="1118"/>
      <c r="G66" s="1118"/>
      <c r="H66" s="1120"/>
      <c r="I66" s="1120"/>
      <c r="J66" s="1120"/>
      <c r="K66" s="1126"/>
    </row>
    <row r="67" spans="2:11">
      <c r="B67" s="1117"/>
      <c r="C67" s="1118"/>
      <c r="D67" s="1118"/>
      <c r="E67" s="1119"/>
      <c r="F67" s="1118"/>
      <c r="G67" s="1118"/>
      <c r="H67" s="1120"/>
      <c r="I67" s="1120"/>
      <c r="J67" s="1120"/>
      <c r="K67" s="1126"/>
    </row>
    <row r="68" spans="2:11">
      <c r="B68" s="1117"/>
      <c r="C68" s="1118"/>
      <c r="D68" s="1118"/>
      <c r="E68" s="1119"/>
      <c r="F68" s="1118"/>
      <c r="G68" s="1118"/>
      <c r="H68" s="1120"/>
      <c r="I68" s="1120"/>
      <c r="J68" s="1120"/>
      <c r="K68" s="1126"/>
    </row>
    <row r="69" spans="2:11">
      <c r="B69" s="1117"/>
      <c r="C69" s="1118"/>
      <c r="D69" s="1118"/>
      <c r="E69" s="1119"/>
      <c r="F69" s="1118"/>
      <c r="G69" s="1118"/>
      <c r="H69" s="1120"/>
      <c r="I69" s="1120"/>
      <c r="J69" s="1120"/>
      <c r="K69" s="1126"/>
    </row>
    <row r="70" spans="2:11">
      <c r="B70" s="1117"/>
      <c r="C70" s="1118"/>
      <c r="D70" s="1118"/>
      <c r="E70" s="1119"/>
      <c r="F70" s="1118"/>
      <c r="G70" s="1118"/>
      <c r="H70" s="1120"/>
      <c r="I70" s="1120"/>
      <c r="J70" s="1120"/>
      <c r="K70" s="1126"/>
    </row>
    <row r="71" spans="2:11">
      <c r="B71" s="1117"/>
      <c r="C71" s="1118"/>
      <c r="D71" s="1118"/>
      <c r="E71" s="1119"/>
      <c r="F71" s="1118"/>
      <c r="G71" s="1118"/>
      <c r="H71" s="1120"/>
      <c r="I71" s="1120"/>
      <c r="J71" s="1120"/>
      <c r="K71" s="1126"/>
    </row>
    <row r="72" spans="2:11">
      <c r="B72" s="1117"/>
      <c r="C72" s="1118"/>
      <c r="D72" s="1118"/>
      <c r="E72" s="1119"/>
      <c r="F72" s="1118"/>
      <c r="G72" s="1118"/>
      <c r="H72" s="1120"/>
      <c r="I72" s="1120"/>
      <c r="J72" s="1120"/>
      <c r="K72" s="1126"/>
    </row>
    <row r="73" spans="2:11">
      <c r="B73" s="1117"/>
      <c r="C73" s="1118"/>
      <c r="D73" s="1118"/>
      <c r="E73" s="1119"/>
      <c r="F73" s="1118"/>
      <c r="G73" s="1118"/>
      <c r="H73" s="1120"/>
      <c r="I73" s="1120"/>
      <c r="J73" s="1120"/>
      <c r="K73" s="1126"/>
    </row>
    <row r="74" spans="2:11">
      <c r="B74" s="1117"/>
      <c r="C74" s="1118"/>
      <c r="D74" s="1118"/>
      <c r="E74" s="1119"/>
      <c r="F74" s="1118"/>
      <c r="G74" s="1118"/>
      <c r="H74" s="1120"/>
      <c r="I74" s="1120"/>
      <c r="J74" s="1120"/>
      <c r="K74" s="1126"/>
    </row>
    <row r="75" spans="2:11">
      <c r="B75" s="1117"/>
      <c r="C75" s="1118"/>
      <c r="D75" s="1118"/>
      <c r="E75" s="1119"/>
      <c r="F75" s="1118"/>
      <c r="G75" s="1118"/>
      <c r="H75" s="1120"/>
      <c r="I75" s="1120"/>
      <c r="J75" s="1120"/>
      <c r="K75" s="1126"/>
    </row>
    <row r="76" spans="2:11">
      <c r="B76" s="1117"/>
      <c r="C76" s="1118"/>
      <c r="D76" s="1118"/>
      <c r="E76" s="1119"/>
      <c r="F76" s="1118"/>
      <c r="G76" s="1118"/>
      <c r="H76" s="1120"/>
      <c r="I76" s="1120"/>
      <c r="J76" s="1120"/>
      <c r="K76" s="1126"/>
    </row>
    <row r="77" spans="2:11">
      <c r="B77" s="1117"/>
      <c r="C77" s="1118"/>
      <c r="D77" s="1118"/>
      <c r="E77" s="1119"/>
      <c r="F77" s="1118"/>
      <c r="G77" s="1118"/>
      <c r="H77" s="1120"/>
      <c r="I77" s="1120"/>
      <c r="J77" s="1120"/>
      <c r="K77" s="1126"/>
    </row>
    <row r="78" spans="2:11">
      <c r="B78" s="1117"/>
      <c r="C78" s="1118"/>
      <c r="D78" s="1118"/>
      <c r="E78" s="1119"/>
      <c r="F78" s="1118"/>
      <c r="G78" s="1118"/>
      <c r="H78" s="1120"/>
      <c r="I78" s="1120"/>
      <c r="J78" s="1120"/>
      <c r="K78" s="1126"/>
    </row>
    <row r="79" spans="2:11">
      <c r="B79" s="1117"/>
      <c r="C79" s="1118"/>
      <c r="D79" s="1118"/>
      <c r="E79" s="1119"/>
      <c r="F79" s="1118"/>
      <c r="G79" s="1118"/>
      <c r="H79" s="1120"/>
      <c r="I79" s="1120"/>
      <c r="J79" s="1120"/>
      <c r="K79" s="1126"/>
    </row>
    <row r="80" spans="2:11">
      <c r="B80" s="1117"/>
      <c r="C80" s="1118"/>
      <c r="D80" s="1118"/>
      <c r="E80" s="1119"/>
      <c r="F80" s="1118"/>
      <c r="G80" s="1118"/>
      <c r="H80" s="1120"/>
      <c r="I80" s="1120"/>
      <c r="J80" s="1120"/>
      <c r="K80" s="1126"/>
    </row>
    <row r="81" spans="2:11">
      <c r="B81" s="1117"/>
      <c r="C81" s="1118"/>
      <c r="D81" s="1118"/>
      <c r="E81" s="1119"/>
      <c r="F81" s="1118"/>
      <c r="G81" s="1118"/>
      <c r="H81" s="1120"/>
      <c r="I81" s="1120"/>
      <c r="J81" s="1120"/>
      <c r="K81" s="1126"/>
    </row>
    <row r="82" spans="2:11">
      <c r="B82" s="1117"/>
      <c r="C82" s="1118"/>
      <c r="D82" s="1118"/>
      <c r="E82" s="1119"/>
      <c r="F82" s="1118"/>
      <c r="G82" s="1118"/>
      <c r="H82" s="1120"/>
      <c r="I82" s="1120"/>
      <c r="J82" s="1120"/>
      <c r="K82" s="1126"/>
    </row>
    <row r="83" spans="2:11">
      <c r="B83" s="1117"/>
      <c r="C83" s="1118"/>
      <c r="D83" s="1118"/>
      <c r="E83" s="1119"/>
      <c r="F83" s="1118"/>
      <c r="G83" s="1118"/>
      <c r="H83" s="1120"/>
      <c r="I83" s="1120"/>
      <c r="J83" s="1120"/>
      <c r="K83" s="1126"/>
    </row>
    <row r="84" spans="2:11">
      <c r="B84" s="1117"/>
      <c r="C84" s="1118"/>
      <c r="D84" s="1118"/>
      <c r="E84" s="1119"/>
      <c r="F84" s="1118"/>
      <c r="G84" s="1118"/>
      <c r="H84" s="1120"/>
      <c r="I84" s="1120"/>
      <c r="J84" s="1120"/>
      <c r="K84" s="1126"/>
    </row>
    <row r="85" spans="2:11">
      <c r="B85" s="1117"/>
      <c r="C85" s="1118"/>
      <c r="D85" s="1118"/>
      <c r="E85" s="1119"/>
      <c r="F85" s="1118"/>
      <c r="G85" s="1118"/>
      <c r="H85" s="1120"/>
      <c r="I85" s="1120"/>
      <c r="J85" s="1120"/>
      <c r="K85" s="1126"/>
    </row>
    <row r="86" spans="2:11">
      <c r="B86" s="1117"/>
      <c r="C86" s="1118"/>
      <c r="D86" s="1118"/>
      <c r="E86" s="1119"/>
      <c r="F86" s="1118"/>
      <c r="G86" s="1118"/>
      <c r="H86" s="1120"/>
      <c r="I86" s="1120"/>
      <c r="J86" s="1120"/>
      <c r="K86" s="1126"/>
    </row>
    <row r="87" spans="2:11">
      <c r="B87" s="1117"/>
      <c r="C87" s="1118"/>
      <c r="D87" s="1118"/>
      <c r="E87" s="1119"/>
      <c r="F87" s="1118"/>
      <c r="G87" s="1118"/>
      <c r="H87" s="1120"/>
      <c r="I87" s="1120"/>
      <c r="J87" s="1120"/>
      <c r="K87" s="1126"/>
    </row>
    <row r="88" spans="2:11">
      <c r="B88" s="1117"/>
      <c r="C88" s="1118"/>
      <c r="D88" s="1118"/>
      <c r="E88" s="1119"/>
      <c r="F88" s="1118"/>
      <c r="G88" s="1118"/>
      <c r="H88" s="1120"/>
      <c r="I88" s="1120"/>
      <c r="J88" s="1120"/>
      <c r="K88" s="1126"/>
    </row>
    <row r="89" spans="2:11">
      <c r="B89" s="1117"/>
      <c r="C89" s="1118"/>
      <c r="D89" s="1118"/>
      <c r="E89" s="1119"/>
      <c r="F89" s="1118"/>
      <c r="G89" s="1118"/>
      <c r="H89" s="1120"/>
      <c r="I89" s="1120"/>
      <c r="J89" s="1120"/>
      <c r="K89" s="1126"/>
    </row>
    <row r="90" spans="2:11">
      <c r="B90" s="1117"/>
      <c r="C90" s="1118"/>
      <c r="D90" s="1118"/>
      <c r="E90" s="1119"/>
      <c r="F90" s="1118"/>
      <c r="G90" s="1118"/>
      <c r="H90" s="1120"/>
      <c r="I90" s="1120"/>
      <c r="J90" s="1120"/>
      <c r="K90" s="1126"/>
    </row>
    <row r="91" spans="2:11">
      <c r="B91" s="1117"/>
      <c r="C91" s="1118"/>
      <c r="D91" s="1118"/>
      <c r="E91" s="1119"/>
      <c r="F91" s="1118"/>
      <c r="G91" s="1118"/>
      <c r="H91" s="1120"/>
      <c r="I91" s="1120"/>
      <c r="J91" s="1120"/>
      <c r="K91" s="1126"/>
    </row>
    <row r="92" spans="2:11">
      <c r="B92" s="1117"/>
      <c r="C92" s="1118"/>
      <c r="D92" s="1118"/>
      <c r="E92" s="1119"/>
      <c r="F92" s="1118"/>
      <c r="G92" s="1118"/>
      <c r="H92" s="1120"/>
      <c r="I92" s="1120"/>
      <c r="J92" s="1120"/>
      <c r="K92" s="1126"/>
    </row>
    <row r="93" spans="2:11">
      <c r="B93" s="1117"/>
      <c r="C93" s="1118"/>
      <c r="D93" s="1118"/>
      <c r="E93" s="1119"/>
      <c r="F93" s="1118"/>
      <c r="G93" s="1118"/>
      <c r="H93" s="1120"/>
      <c r="I93" s="1120"/>
      <c r="J93" s="1120"/>
      <c r="K93" s="1126"/>
    </row>
    <row r="94" spans="2:11">
      <c r="B94" s="1117"/>
      <c r="C94" s="1118"/>
      <c r="D94" s="1118"/>
      <c r="E94" s="1119"/>
      <c r="F94" s="1118"/>
      <c r="G94" s="1118"/>
      <c r="H94" s="1120"/>
      <c r="I94" s="1120"/>
      <c r="J94" s="1120"/>
      <c r="K94" s="1126"/>
    </row>
    <row r="95" spans="2:11">
      <c r="B95" s="1117"/>
      <c r="C95" s="1118"/>
      <c r="D95" s="1118"/>
      <c r="E95" s="1119"/>
      <c r="F95" s="1118"/>
      <c r="G95" s="1118"/>
      <c r="H95" s="1120"/>
      <c r="I95" s="1120"/>
      <c r="J95" s="1120"/>
      <c r="K95" s="1126"/>
    </row>
    <row r="96" spans="2:11">
      <c r="B96" s="1117"/>
      <c r="C96" s="1118"/>
      <c r="D96" s="1118"/>
      <c r="E96" s="1119"/>
      <c r="F96" s="1118"/>
      <c r="G96" s="1118"/>
      <c r="H96" s="1120"/>
      <c r="I96" s="1120"/>
      <c r="J96" s="1120"/>
      <c r="K96" s="1126"/>
    </row>
    <row r="97" spans="2:11">
      <c r="B97" s="1117"/>
      <c r="C97" s="1118"/>
      <c r="D97" s="1118"/>
      <c r="E97" s="1119"/>
      <c r="F97" s="1118"/>
      <c r="G97" s="1118"/>
      <c r="H97" s="1120"/>
      <c r="I97" s="1120"/>
      <c r="J97" s="1120"/>
      <c r="K97" s="1126"/>
    </row>
    <row r="98" spans="2:11">
      <c r="B98" s="1117"/>
      <c r="C98" s="1118"/>
      <c r="D98" s="1118"/>
      <c r="E98" s="1119"/>
      <c r="F98" s="1118"/>
      <c r="G98" s="1118"/>
      <c r="H98" s="1120"/>
      <c r="I98" s="1120"/>
      <c r="J98" s="1120"/>
      <c r="K98" s="1126"/>
    </row>
    <row r="99" spans="2:11">
      <c r="B99" s="1117"/>
      <c r="C99" s="1118"/>
      <c r="D99" s="1118"/>
      <c r="E99" s="1119"/>
      <c r="F99" s="1118"/>
      <c r="G99" s="1118"/>
      <c r="H99" s="1120"/>
      <c r="I99" s="1120"/>
      <c r="J99" s="1120"/>
      <c r="K99" s="1126"/>
    </row>
    <row r="100" spans="2:11">
      <c r="B100" s="1117"/>
      <c r="C100" s="1118"/>
      <c r="D100" s="1118"/>
      <c r="E100" s="1119"/>
      <c r="F100" s="1118"/>
      <c r="G100" s="1118"/>
      <c r="H100" s="1120"/>
      <c r="I100" s="1120"/>
      <c r="J100" s="1120"/>
      <c r="K100" s="1126"/>
    </row>
  </sheetData>
  <mergeCells count="1">
    <mergeCell ref="B1:G1"/>
  </mergeCells>
  <phoneticPr fontId="5" type="noConversion"/>
  <dataValidations count="1">
    <dataValidation type="list" allowBlank="1" showInputMessage="1" showErrorMessage="1" promptTitle="분류 항목" prompt="분류 항목을 선택하세요." sqref="B3:B100">
      <formula1>"개인,거래처,매입처,은행,협력사,기타"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Q1:U38"/>
  <sheetViews>
    <sheetView showGridLines="0" workbookViewId="0">
      <selection activeCell="R24" sqref="R24"/>
    </sheetView>
  </sheetViews>
  <sheetFormatPr defaultRowHeight="16.5"/>
  <cols>
    <col min="1" max="1" width="4.5" customWidth="1"/>
    <col min="2" max="4" width="23.625" customWidth="1"/>
    <col min="5" max="5" width="4.5" customWidth="1"/>
    <col min="6" max="7" width="2.125" customWidth="1"/>
    <col min="16" max="16" width="6.875" customWidth="1"/>
    <col min="18" max="18" width="9.625" bestFit="1" customWidth="1"/>
    <col min="19" max="19" width="12.75" bestFit="1" customWidth="1"/>
    <col min="20" max="20" width="10.125" bestFit="1" customWidth="1"/>
    <col min="21" max="21" width="12.375" bestFit="1" customWidth="1"/>
  </cols>
  <sheetData>
    <row r="1" spans="17:21">
      <c r="Q1" s="1262"/>
      <c r="R1" s="1262"/>
      <c r="S1" s="1262"/>
      <c r="T1" s="1262"/>
      <c r="U1" s="1262"/>
    </row>
    <row r="2" spans="17:21">
      <c r="Q2" s="908"/>
      <c r="R2" s="908"/>
      <c r="S2" s="908"/>
      <c r="T2" s="908"/>
      <c r="U2" s="908"/>
    </row>
    <row r="3" spans="17:21">
      <c r="Q3" s="909"/>
      <c r="R3" s="909"/>
      <c r="S3" s="910"/>
      <c r="T3" s="910"/>
      <c r="U3" s="909"/>
    </row>
    <row r="4" spans="17:21">
      <c r="Q4" s="909"/>
      <c r="R4" s="909"/>
      <c r="S4" s="910"/>
      <c r="T4" s="910"/>
      <c r="U4" s="909"/>
    </row>
    <row r="6" spans="17:21" ht="24.75" customHeight="1"/>
    <row r="8" spans="17:21" ht="19.5" customHeight="1"/>
    <row r="9" spans="17:21" ht="19.5" customHeight="1"/>
    <row r="10" spans="17:21" ht="19.5" customHeight="1"/>
    <row r="11" spans="17:21" ht="19.5" customHeight="1"/>
    <row r="12" spans="17:21" ht="19.5" customHeight="1"/>
    <row r="13" spans="17:21" ht="19.5" customHeight="1"/>
    <row r="14" spans="17:21" ht="19.5" customHeight="1"/>
    <row r="15" spans="17:21" ht="19.5" customHeight="1"/>
    <row r="16" spans="17:21" ht="19.5" customHeight="1"/>
    <row r="17" ht="19.5" customHeight="1"/>
    <row r="18" ht="19.5" customHeight="1"/>
    <row r="19" ht="19.5" customHeight="1"/>
    <row r="20" ht="9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9.75" customHeight="1"/>
    <row r="33" ht="19.5" customHeight="1"/>
    <row r="34" ht="19.5" customHeight="1"/>
    <row r="35" ht="19.5" customHeight="1"/>
    <row r="36" ht="19.5" customHeight="1"/>
    <row r="37" ht="15" customHeight="1"/>
    <row r="38" ht="30" customHeight="1"/>
  </sheetData>
  <sheetProtection algorithmName="SHA-512" hashValue="NOVuhgt/8G/bzHHnc1Ph+NiUcEMFYhpEUbov1O2Dx3ymLQ5kQUsaomD4YZTBuh63aLQGymJItXe5IWmNrJ0Qhg==" saltValue="WQELbFwUg73M/wetvadOYQ==" spinCount="100000" sheet="1" objects="1" scenarios="1"/>
  <mergeCells count="1">
    <mergeCell ref="Q1:U1"/>
  </mergeCells>
  <phoneticPr fontId="5" type="noConversion"/>
  <pageMargins left="0.39370078740157483" right="0.39370078740157483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D124"/>
  <sheetViews>
    <sheetView showGridLines="0" showZeros="0" tabSelected="1" topLeftCell="B1" zoomScaleNormal="100" workbookViewId="0">
      <selection activeCell="E3" sqref="E3"/>
    </sheetView>
  </sheetViews>
  <sheetFormatPr defaultRowHeight="16.5"/>
  <cols>
    <col min="1" max="1" width="1" customWidth="1"/>
    <col min="2" max="2" width="18.5" style="1" customWidth="1"/>
    <col min="3" max="3" width="13.875" style="2" customWidth="1"/>
    <col min="4" max="4" width="15.875" style="2" customWidth="1"/>
    <col min="5" max="5" width="9" style="2"/>
    <col min="6" max="6" width="3.5" style="2" customWidth="1"/>
    <col min="7" max="7" width="8" customWidth="1"/>
    <col min="8" max="8" width="12.875" customWidth="1"/>
    <col min="9" max="9" width="13.875" bestFit="1" customWidth="1"/>
    <col min="14" max="15" width="9" hidden="1" customWidth="1"/>
    <col min="16" max="16" width="2.875" customWidth="1"/>
    <col min="17" max="17" width="24.75" bestFit="1" customWidth="1"/>
    <col min="18" max="18" width="12.875" style="2" customWidth="1"/>
    <col min="19" max="19" width="9" customWidth="1"/>
    <col min="20" max="20" width="4.375" style="3" customWidth="1"/>
    <col min="21" max="21" width="11.375" style="3" customWidth="1"/>
    <col min="22" max="22" width="20.75" customWidth="1"/>
    <col min="23" max="23" width="3.5" customWidth="1"/>
  </cols>
  <sheetData>
    <row r="1" spans="2:28" ht="20.25" customHeight="1">
      <c r="B1" s="1309" t="s">
        <v>39</v>
      </c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  <c r="O1" s="1309"/>
      <c r="P1" s="1309"/>
      <c r="Q1" s="1309"/>
      <c r="R1" s="906"/>
      <c r="S1" s="595"/>
      <c r="T1" s="907"/>
      <c r="U1" s="907"/>
      <c r="V1" s="595"/>
      <c r="X1" s="1265" t="s">
        <v>539</v>
      </c>
      <c r="Y1" s="1265"/>
      <c r="Z1" s="1265"/>
      <c r="AA1" s="1265"/>
      <c r="AB1" s="912"/>
    </row>
    <row r="2" spans="2:28" ht="22.5" customHeight="1">
      <c r="B2" s="1317" t="s">
        <v>40</v>
      </c>
      <c r="C2" s="1318"/>
      <c r="D2" s="1318"/>
      <c r="E2" s="1318"/>
      <c r="F2" s="4"/>
      <c r="G2" s="1329" t="s">
        <v>41</v>
      </c>
      <c r="H2" s="1330"/>
      <c r="I2" s="1330"/>
      <c r="J2" s="1330"/>
      <c r="K2" s="1330"/>
      <c r="L2" s="1330"/>
      <c r="M2" s="1330"/>
      <c r="R2" s="1333" t="s">
        <v>42</v>
      </c>
      <c r="S2" s="1334"/>
      <c r="T2" s="1334"/>
      <c r="U2" s="1334"/>
      <c r="V2" s="1334"/>
      <c r="X2" s="1266"/>
      <c r="Y2" s="1266"/>
      <c r="Z2" s="1266"/>
      <c r="AA2" s="1266"/>
      <c r="AB2" s="912"/>
    </row>
    <row r="3" spans="2:28" ht="21" customHeight="1" thickBot="1">
      <c r="B3" s="5" t="s">
        <v>43</v>
      </c>
      <c r="C3" s="874"/>
      <c r="D3" s="874"/>
      <c r="E3" s="874"/>
      <c r="F3" s="6"/>
      <c r="G3" s="1331" t="s">
        <v>44</v>
      </c>
      <c r="H3" s="1331"/>
      <c r="I3" s="1331"/>
      <c r="J3" s="1332" t="str">
        <f ca="1">IF(TODAY() &gt; DATE(2027, 1, 10), "⚠️ 업데이트 필요 신라 (Daum Café)", "")</f>
        <v/>
      </c>
      <c r="K3" s="1332"/>
      <c r="L3" s="1332"/>
      <c r="M3" s="1332"/>
      <c r="N3" s="1332"/>
      <c r="O3" s="1332"/>
      <c r="P3" s="1332"/>
      <c r="Q3" s="879"/>
      <c r="R3" s="1325" t="s">
        <v>45</v>
      </c>
      <c r="S3" s="1326"/>
      <c r="T3" s="1335"/>
      <c r="U3" s="1336"/>
      <c r="V3" s="895" t="str">
        <f>IF(T3&gt;0,"(가로, 세로) "&amp;ROUNDUP(SQRT(T3*3.3025),2)&amp;"m"," ")</f>
        <v xml:space="preserve"> </v>
      </c>
      <c r="W3" s="612"/>
      <c r="X3" s="913" t="s">
        <v>536</v>
      </c>
      <c r="Y3" s="913" t="s">
        <v>537</v>
      </c>
      <c r="Z3" s="913" t="s">
        <v>538</v>
      </c>
      <c r="AA3" s="913" t="s">
        <v>542</v>
      </c>
      <c r="AB3" s="912"/>
    </row>
    <row r="4" spans="2:28" ht="17.25" customHeight="1" thickBot="1">
      <c r="B4" s="8" t="s">
        <v>46</v>
      </c>
      <c r="C4" s="9">
        <v>0.9</v>
      </c>
      <c r="D4" s="10" t="s">
        <v>47</v>
      </c>
      <c r="E4" s="11"/>
      <c r="F4" s="12"/>
      <c r="G4" s="13" t="s">
        <v>47</v>
      </c>
      <c r="H4" s="14" t="s">
        <v>48</v>
      </c>
      <c r="I4" s="16" t="s">
        <v>49</v>
      </c>
      <c r="K4" s="400"/>
      <c r="L4" s="408" t="s">
        <v>50</v>
      </c>
      <c r="M4" s="408" t="s">
        <v>51</v>
      </c>
      <c r="N4" s="408" t="s">
        <v>52</v>
      </c>
      <c r="O4" s="400"/>
      <c r="Q4" s="17"/>
      <c r="R4" s="1327" t="s">
        <v>53</v>
      </c>
      <c r="S4" s="1328"/>
      <c r="T4" s="1337"/>
      <c r="U4" s="1338"/>
      <c r="V4" s="18" t="str">
        <f>IF(T4&gt;0,"(가로, 세로) "&amp;ROUNDUP(SQRT(T4),2)&amp;"m"," ")</f>
        <v xml:space="preserve"> </v>
      </c>
      <c r="W4" s="612"/>
      <c r="X4" s="913" t="s">
        <v>260</v>
      </c>
      <c r="Y4" s="914"/>
      <c r="Z4" s="914"/>
      <c r="AA4" s="913">
        <f>Y4*Z4</f>
        <v>0</v>
      </c>
      <c r="AB4" s="912"/>
    </row>
    <row r="5" spans="2:28" ht="17.25" thickBot="1">
      <c r="B5" s="19" t="s">
        <v>54</v>
      </c>
      <c r="C5" s="877" t="s">
        <v>55</v>
      </c>
      <c r="D5" s="877" t="s">
        <v>56</v>
      </c>
      <c r="E5" s="20"/>
      <c r="F5" s="21"/>
      <c r="G5" s="22">
        <v>1</v>
      </c>
      <c r="H5" s="23" t="s">
        <v>57</v>
      </c>
      <c r="I5" s="412" t="s">
        <v>58</v>
      </c>
      <c r="J5" s="409"/>
      <c r="K5" s="407"/>
      <c r="L5" s="410">
        <v>0.3</v>
      </c>
      <c r="M5" s="410">
        <v>0.3</v>
      </c>
      <c r="N5" s="411">
        <f t="shared" ref="N5:N19" si="0">L5*M5</f>
        <v>0.09</v>
      </c>
      <c r="O5" s="400"/>
      <c r="Q5" s="24" t="s">
        <v>59</v>
      </c>
      <c r="R5" s="25">
        <f>ROUNDUP(E5*E6/3.3025,2)</f>
        <v>0</v>
      </c>
      <c r="S5" s="612" t="s">
        <v>60</v>
      </c>
      <c r="T5" s="1283">
        <f>ROUNDUP(E5*E6,2)</f>
        <v>0</v>
      </c>
      <c r="U5" s="1283"/>
      <c r="V5" s="26" t="s">
        <v>61</v>
      </c>
      <c r="W5" s="612"/>
      <c r="X5" s="913" t="s">
        <v>262</v>
      </c>
      <c r="Y5" s="914"/>
      <c r="Z5" s="914"/>
      <c r="AA5" s="913">
        <f t="shared" ref="AA5:AA7" si="1">Y5*Z5</f>
        <v>0</v>
      </c>
      <c r="AB5" s="912"/>
    </row>
    <row r="6" spans="2:28" ht="18" thickTop="1" thickBot="1">
      <c r="B6" s="27" t="str">
        <f>TEXT(E5*E6/3.3025,"0.00")&amp;"평"</f>
        <v>0.00평</v>
      </c>
      <c r="C6" s="28">
        <v>0.05</v>
      </c>
      <c r="D6" s="877" t="s">
        <v>62</v>
      </c>
      <c r="E6" s="20"/>
      <c r="F6" s="29"/>
      <c r="G6" s="30">
        <v>2</v>
      </c>
      <c r="H6" s="31" t="s">
        <v>57</v>
      </c>
      <c r="I6" s="413" t="s">
        <v>63</v>
      </c>
      <c r="J6" s="409"/>
      <c r="K6" s="407"/>
      <c r="L6" s="410">
        <v>0.3</v>
      </c>
      <c r="M6" s="410">
        <v>0.6</v>
      </c>
      <c r="N6" s="411">
        <f t="shared" si="0"/>
        <v>0.18</v>
      </c>
      <c r="O6" s="400"/>
      <c r="Q6" s="32" t="s">
        <v>64</v>
      </c>
      <c r="R6" s="33" t="s">
        <v>49</v>
      </c>
      <c r="S6" s="1296" t="s">
        <v>65</v>
      </c>
      <c r="T6" s="1285"/>
      <c r="U6" s="34" t="s">
        <v>66</v>
      </c>
      <c r="V6" s="35" t="s">
        <v>67</v>
      </c>
      <c r="W6" s="612"/>
      <c r="X6" s="913" t="s">
        <v>266</v>
      </c>
      <c r="Y6" s="914"/>
      <c r="Z6" s="914"/>
      <c r="AA6" s="913">
        <f t="shared" si="1"/>
        <v>0</v>
      </c>
      <c r="AB6" s="912"/>
    </row>
    <row r="7" spans="2:28" ht="17.25" thickTop="1">
      <c r="B7" s="19" t="s">
        <v>68</v>
      </c>
      <c r="C7" s="36" t="s">
        <v>69</v>
      </c>
      <c r="D7" s="37" t="s">
        <v>70</v>
      </c>
      <c r="E7" s="38"/>
      <c r="F7" s="29"/>
      <c r="G7" s="39">
        <v>3</v>
      </c>
      <c r="H7" s="23" t="s">
        <v>57</v>
      </c>
      <c r="I7" s="414" t="s">
        <v>71</v>
      </c>
      <c r="J7" s="409"/>
      <c r="K7" s="407"/>
      <c r="L7" s="410">
        <v>0.45</v>
      </c>
      <c r="M7" s="410">
        <v>0.45</v>
      </c>
      <c r="N7" s="411">
        <f t="shared" si="0"/>
        <v>0.20250000000000001</v>
      </c>
      <c r="O7" s="400"/>
      <c r="Q7" s="40">
        <f>IF(E4=5,B8&amp;" ",B8)</f>
        <v>0</v>
      </c>
      <c r="R7" s="41" t="str">
        <f>C8</f>
        <v/>
      </c>
      <c r="S7" s="42">
        <f>IFERROR(ROUNDUP((E5*E6-C26)/(C9*E9)*(1+C6),0),)</f>
        <v>0</v>
      </c>
      <c r="T7" s="43">
        <f>IF(S7&gt;1,"장",)</f>
        <v>0</v>
      </c>
      <c r="U7" s="44"/>
      <c r="V7" s="45"/>
      <c r="W7" s="46"/>
      <c r="X7" s="913" t="s">
        <v>270</v>
      </c>
      <c r="Y7" s="914"/>
      <c r="Z7" s="914"/>
      <c r="AA7" s="913">
        <f t="shared" si="1"/>
        <v>0</v>
      </c>
      <c r="AB7" s="912"/>
    </row>
    <row r="8" spans="2:28">
      <c r="B8" s="47">
        <f>IFERROR(VLOOKUP(E4,G4:N19,2,) &amp; VLOOKUP(크립바색상코드,G21:I27,2,) &amp;  VLOOKUP(E8,G21:I27,3,),)</f>
        <v>0</v>
      </c>
      <c r="C8" s="48" t="str">
        <f>IFERROR(VLOOKUP(E4,G4:N19,3),"")</f>
        <v/>
      </c>
      <c r="D8" s="49" t="s">
        <v>72</v>
      </c>
      <c r="E8" s="50"/>
      <c r="F8" s="29"/>
      <c r="G8" s="30">
        <v>4</v>
      </c>
      <c r="H8" s="31" t="s">
        <v>57</v>
      </c>
      <c r="I8" s="413" t="s">
        <v>73</v>
      </c>
      <c r="J8" s="409"/>
      <c r="K8" s="723"/>
      <c r="L8" s="410">
        <v>0.6</v>
      </c>
      <c r="M8" s="410">
        <v>0.6</v>
      </c>
      <c r="N8" s="411">
        <f t="shared" si="0"/>
        <v>0.36</v>
      </c>
      <c r="O8" s="400"/>
      <c r="Q8" s="51" t="str">
        <f>B11</f>
        <v>크립바</v>
      </c>
      <c r="R8" s="52">
        <f>C11</f>
        <v>4000</v>
      </c>
      <c r="S8" s="53">
        <f>IFERROR(ROUNDUP(E6/C9*E5/(C11/1000)*(1+C6),0),)</f>
        <v>0</v>
      </c>
      <c r="T8" s="54">
        <f t="shared" ref="T8:T21" si="2">IF(S8&gt;1,"개",)</f>
        <v>0</v>
      </c>
      <c r="U8" s="55"/>
      <c r="V8" s="56"/>
      <c r="W8" s="57"/>
      <c r="X8" s="917" t="s">
        <v>134</v>
      </c>
      <c r="Y8" s="917">
        <f>SUM(Y4:Y7)</f>
        <v>0</v>
      </c>
      <c r="Z8" s="917">
        <f t="shared" ref="Z8:AA8" si="3">SUM(Z4:Z7)</f>
        <v>0</v>
      </c>
      <c r="AA8" s="917">
        <f t="shared" si="3"/>
        <v>0</v>
      </c>
      <c r="AB8" s="912"/>
    </row>
    <row r="9" spans="2:28" ht="17.25" thickBot="1">
      <c r="B9" s="58" t="s">
        <v>74</v>
      </c>
      <c r="C9" s="59" t="str">
        <f>IFERROR(VLOOKUP(E4,G4:N19,6),"")</f>
        <v/>
      </c>
      <c r="D9" s="59" t="s">
        <v>51</v>
      </c>
      <c r="E9" s="60" t="str">
        <f>IFERROR(VLOOKUP(E4,G4:N19,7),"")</f>
        <v/>
      </c>
      <c r="F9" s="897"/>
      <c r="G9" s="61">
        <v>5</v>
      </c>
      <c r="H9" s="62" t="s">
        <v>75</v>
      </c>
      <c r="I9" s="415" t="s">
        <v>76</v>
      </c>
      <c r="J9" s="409"/>
      <c r="K9" s="407"/>
      <c r="L9" s="410">
        <v>0.6</v>
      </c>
      <c r="M9" s="410">
        <v>0.6</v>
      </c>
      <c r="N9" s="411">
        <f t="shared" si="0"/>
        <v>0.36</v>
      </c>
      <c r="O9" s="408"/>
      <c r="Q9" s="51" t="str">
        <f>B12</f>
        <v>캐 링 ks</v>
      </c>
      <c r="R9" s="52">
        <f>C12</f>
        <v>4000</v>
      </c>
      <c r="S9" s="53">
        <f>ROUNDUP(E5/C4*E6/(C12/1000)*(1+C6),0)</f>
        <v>0</v>
      </c>
      <c r="T9" s="54">
        <f t="shared" si="2"/>
        <v>0</v>
      </c>
      <c r="U9" s="55"/>
      <c r="V9" s="56"/>
      <c r="W9" s="57"/>
      <c r="X9" s="915" t="s">
        <v>540</v>
      </c>
      <c r="Y9" s="911">
        <f>ROUNDUP(SQRT(AA9),2)</f>
        <v>0</v>
      </c>
      <c r="Z9" s="911">
        <f>ROUNDUP(SQRT(AA9),2)</f>
        <v>0</v>
      </c>
      <c r="AA9" s="913">
        <f>SUM(AA4:AA7)</f>
        <v>0</v>
      </c>
      <c r="AB9" s="912"/>
    </row>
    <row r="10" spans="2:28" ht="18" thickTop="1" thickBot="1">
      <c r="B10" s="63" t="s">
        <v>77</v>
      </c>
      <c r="C10" s="876" t="s">
        <v>78</v>
      </c>
      <c r="D10" s="1274" t="s">
        <v>79</v>
      </c>
      <c r="E10" s="1275"/>
      <c r="F10" s="897"/>
      <c r="G10" s="64">
        <v>6</v>
      </c>
      <c r="H10" s="65" t="s">
        <v>80</v>
      </c>
      <c r="I10" s="412" t="s">
        <v>58</v>
      </c>
      <c r="J10" s="409"/>
      <c r="K10" s="407"/>
      <c r="L10" s="410">
        <v>0.3</v>
      </c>
      <c r="M10" s="410">
        <v>0.3</v>
      </c>
      <c r="N10" s="411">
        <f t="shared" si="0"/>
        <v>0.09</v>
      </c>
      <c r="O10" s="400"/>
      <c r="Q10" s="66" t="str">
        <f>IF(E12=1,B13,)</f>
        <v>마이너 KS</v>
      </c>
      <c r="R10" s="52">
        <f>IF(E12=1,C13,)</f>
        <v>4000</v>
      </c>
      <c r="S10" s="67">
        <f>IFERROR( IF(E12=1, ROUNDUP(E6/E13*E5/(C13/1000)*(1+C6), 0), 0) + IF(AND(E12=1, E16=2), ROUNDUP(E6/E17*E5/(C13/1000)*(1+C6), 0), 0), 0)</f>
        <v>0</v>
      </c>
      <c r="T10" s="54">
        <f t="shared" si="2"/>
        <v>0</v>
      </c>
      <c r="U10" s="55"/>
      <c r="V10" s="68"/>
      <c r="W10" s="57"/>
      <c r="X10" s="915" t="s">
        <v>541</v>
      </c>
      <c r="Y10" s="1267" t="str">
        <f>ROUNDUP((Y8+Z8)*2/3*1.05,0)&amp;"개"</f>
        <v>0개</v>
      </c>
      <c r="Z10" s="1267"/>
      <c r="AA10" s="916"/>
      <c r="AB10" s="912"/>
    </row>
    <row r="11" spans="2:28" ht="17.25" customHeight="1" thickTop="1">
      <c r="B11" s="69" t="s">
        <v>81</v>
      </c>
      <c r="C11" s="70">
        <v>4000</v>
      </c>
      <c r="D11" s="71"/>
      <c r="E11" s="72"/>
      <c r="F11" s="897"/>
      <c r="G11" s="73">
        <v>7</v>
      </c>
      <c r="H11" s="31" t="s">
        <v>80</v>
      </c>
      <c r="I11" s="413" t="s">
        <v>63</v>
      </c>
      <c r="J11" s="409"/>
      <c r="K11" s="407"/>
      <c r="L11" s="410">
        <v>0.3</v>
      </c>
      <c r="M11" s="410">
        <v>0.6</v>
      </c>
      <c r="N11" s="411">
        <f t="shared" si="0"/>
        <v>0.18</v>
      </c>
      <c r="O11" s="400"/>
      <c r="Q11" s="74" t="str">
        <f>B14</f>
        <v>SMC W/T 몰딩</v>
      </c>
      <c r="R11" s="75">
        <f>C14</f>
        <v>3000</v>
      </c>
      <c r="S11" s="53">
        <f>ROUNDUP((E5+E6)*2/(C14/1000)*(1+C6),0)</f>
        <v>0</v>
      </c>
      <c r="T11" s="54">
        <f t="shared" si="2"/>
        <v>0</v>
      </c>
      <c r="U11" s="55"/>
      <c r="V11" s="76"/>
      <c r="W11" s="46"/>
    </row>
    <row r="12" spans="2:28" ht="16.5" customHeight="1">
      <c r="B12" s="77" t="s">
        <v>82</v>
      </c>
      <c r="C12" s="78">
        <v>4000</v>
      </c>
      <c r="D12" s="79" t="s">
        <v>83</v>
      </c>
      <c r="E12" s="80">
        <v>1</v>
      </c>
      <c r="F12" s="897"/>
      <c r="G12" s="39">
        <v>8</v>
      </c>
      <c r="H12" s="23" t="s">
        <v>80</v>
      </c>
      <c r="I12" s="414" t="s">
        <v>71</v>
      </c>
      <c r="J12" s="409"/>
      <c r="K12" s="407"/>
      <c r="L12" s="410">
        <v>0.45</v>
      </c>
      <c r="M12" s="410">
        <v>0.45</v>
      </c>
      <c r="N12" s="411">
        <f t="shared" si="0"/>
        <v>0.20250000000000001</v>
      </c>
      <c r="O12" s="400"/>
      <c r="Q12" s="51" t="str">
        <f>B15</f>
        <v>볼 트</v>
      </c>
      <c r="R12" s="75">
        <f>C15</f>
        <v>3000</v>
      </c>
      <c r="S12" s="53">
        <f>ROUNDUP(E5/C4*E6/E15*(1+C6),0)</f>
        <v>0</v>
      </c>
      <c r="T12" s="54">
        <f t="shared" si="2"/>
        <v>0</v>
      </c>
      <c r="U12" s="55"/>
      <c r="V12" s="81"/>
      <c r="W12" s="57"/>
    </row>
    <row r="13" spans="2:28">
      <c r="B13" s="77" t="s">
        <v>84</v>
      </c>
      <c r="C13" s="78">
        <v>4000</v>
      </c>
      <c r="D13" s="82" t="s">
        <v>85</v>
      </c>
      <c r="E13" s="83">
        <v>2.5</v>
      </c>
      <c r="F13" s="897"/>
      <c r="G13" s="30">
        <v>9</v>
      </c>
      <c r="H13" s="31" t="s">
        <v>80</v>
      </c>
      <c r="I13" s="413" t="s">
        <v>73</v>
      </c>
      <c r="J13" s="409"/>
      <c r="K13" s="407"/>
      <c r="L13" s="410">
        <v>0.6</v>
      </c>
      <c r="M13" s="410">
        <v>0.6</v>
      </c>
      <c r="N13" s="411">
        <f t="shared" si="0"/>
        <v>0.36</v>
      </c>
      <c r="O13" s="400"/>
      <c r="Q13" s="84" t="str">
        <f>B16</f>
        <v>항가 150 KS</v>
      </c>
      <c r="R13" s="75"/>
      <c r="S13" s="53">
        <f>ROUNDUP(E5/C4*E6*(1+C6),0)</f>
        <v>0</v>
      </c>
      <c r="T13" s="54">
        <f t="shared" si="2"/>
        <v>0</v>
      </c>
      <c r="U13" s="85"/>
      <c r="V13" s="86"/>
      <c r="W13" s="46"/>
    </row>
    <row r="14" spans="2:28">
      <c r="B14" s="77" t="str">
        <f>IFERROR(IF(크NO&lt;6, "SMC", IF(크NO&lt;12, "A/L 담파", IF(크NO&lt;17, "STMC", ""))) &amp; VLOOKUP(IF(E14&gt;=1, E14, 크립바색상코드), $G$21:$H$27, 2, 0) &amp; " 몰딩", "")</f>
        <v>SMC W/T 몰딩</v>
      </c>
      <c r="C14" s="87">
        <v>3000</v>
      </c>
      <c r="D14" s="88" t="s">
        <v>86</v>
      </c>
      <c r="E14" s="80">
        <v>2</v>
      </c>
      <c r="F14" s="897"/>
      <c r="G14" s="89">
        <v>10</v>
      </c>
      <c r="H14" s="90" t="s">
        <v>87</v>
      </c>
      <c r="I14" s="416" t="s">
        <v>76</v>
      </c>
      <c r="J14" s="409"/>
      <c r="K14" s="407"/>
      <c r="L14" s="410">
        <v>0.6</v>
      </c>
      <c r="M14" s="410">
        <v>0.6</v>
      </c>
      <c r="N14" s="411">
        <f t="shared" si="0"/>
        <v>0.36</v>
      </c>
      <c r="O14" s="408"/>
      <c r="Q14" s="84" t="s">
        <v>88</v>
      </c>
      <c r="R14" s="75"/>
      <c r="S14" s="53">
        <f>ROUNDUP(E5/C4*E6*(1+C6),-1)</f>
        <v>0</v>
      </c>
      <c r="T14" s="54">
        <f t="shared" si="2"/>
        <v>0</v>
      </c>
      <c r="U14" s="85"/>
      <c r="V14" s="76"/>
      <c r="W14" s="46"/>
    </row>
    <row r="15" spans="2:28">
      <c r="B15" s="77" t="s">
        <v>89</v>
      </c>
      <c r="C15" s="91">
        <v>3000</v>
      </c>
      <c r="D15" s="88" t="s">
        <v>90</v>
      </c>
      <c r="E15" s="92">
        <v>1</v>
      </c>
      <c r="F15" s="897"/>
      <c r="G15" s="64">
        <v>11</v>
      </c>
      <c r="H15" s="65" t="s">
        <v>91</v>
      </c>
      <c r="I15" s="412" t="s">
        <v>58</v>
      </c>
      <c r="J15" s="409"/>
      <c r="K15" s="407"/>
      <c r="L15" s="410">
        <v>0.3</v>
      </c>
      <c r="M15" s="410">
        <v>0.3</v>
      </c>
      <c r="N15" s="411">
        <f t="shared" si="0"/>
        <v>0.09</v>
      </c>
      <c r="O15" s="400"/>
      <c r="Q15" s="93" t="s">
        <v>92</v>
      </c>
      <c r="R15" s="75"/>
      <c r="S15" s="53">
        <f>ROUNDUP(E5/C4*E6*(1+C6),0)</f>
        <v>0</v>
      </c>
      <c r="T15" s="54">
        <f t="shared" si="2"/>
        <v>0</v>
      </c>
      <c r="U15" s="85"/>
      <c r="V15" s="76"/>
      <c r="W15" s="46"/>
    </row>
    <row r="16" spans="2:28">
      <c r="B16" s="94" t="s">
        <v>93</v>
      </c>
      <c r="C16" s="95"/>
      <c r="D16" s="96" t="s">
        <v>94</v>
      </c>
      <c r="E16" s="80"/>
      <c r="F16" s="897"/>
      <c r="G16" s="30">
        <v>12</v>
      </c>
      <c r="H16" s="31" t="s">
        <v>91</v>
      </c>
      <c r="I16" s="413" t="s">
        <v>63</v>
      </c>
      <c r="J16" s="409"/>
      <c r="K16" s="407"/>
      <c r="L16" s="410">
        <v>0.3</v>
      </c>
      <c r="M16" s="410">
        <v>0.6</v>
      </c>
      <c r="N16" s="411">
        <f t="shared" si="0"/>
        <v>0.18</v>
      </c>
      <c r="O16" s="400"/>
      <c r="Q16" s="84" t="s">
        <v>95</v>
      </c>
      <c r="R16" s="75"/>
      <c r="S16" s="53">
        <f>ROUNDUP(E5/C4*E6*2*(1+C6),-1)</f>
        <v>0</v>
      </c>
      <c r="T16" s="54">
        <f t="shared" si="2"/>
        <v>0</v>
      </c>
      <c r="U16" s="85"/>
      <c r="V16" s="56"/>
      <c r="W16" s="46"/>
    </row>
    <row r="17" spans="2:30">
      <c r="B17" s="77"/>
      <c r="C17" s="1278" t="s">
        <v>96</v>
      </c>
      <c r="D17" s="1279"/>
      <c r="E17" s="80">
        <v>1.8</v>
      </c>
      <c r="F17" s="897"/>
      <c r="G17" s="39">
        <v>13</v>
      </c>
      <c r="H17" s="23" t="s">
        <v>91</v>
      </c>
      <c r="I17" s="414" t="s">
        <v>71</v>
      </c>
      <c r="J17" s="409"/>
      <c r="K17" s="407"/>
      <c r="L17" s="410">
        <v>0.45</v>
      </c>
      <c r="M17" s="410">
        <v>0.45</v>
      </c>
      <c r="N17" s="411">
        <f t="shared" si="0"/>
        <v>0.20250000000000001</v>
      </c>
      <c r="O17" s="400"/>
      <c r="Q17" s="84" t="s">
        <v>97</v>
      </c>
      <c r="R17" s="75"/>
      <c r="S17" s="53">
        <f>IFERROR(ROUNDUP(((가로/세로폭)+(세로/가로폭))*2*(1+로스),-1),)</f>
        <v>0</v>
      </c>
      <c r="T17" s="54">
        <f t="shared" si="2"/>
        <v>0</v>
      </c>
      <c r="U17" s="85"/>
      <c r="V17" s="97"/>
      <c r="W17" s="46"/>
    </row>
    <row r="18" spans="2:30">
      <c r="B18" s="77"/>
      <c r="C18" s="87"/>
      <c r="D18" s="88"/>
      <c r="E18" s="875"/>
      <c r="F18" s="897"/>
      <c r="G18" s="30">
        <v>14</v>
      </c>
      <c r="H18" s="31" t="s">
        <v>91</v>
      </c>
      <c r="I18" s="413" t="s">
        <v>73</v>
      </c>
      <c r="J18" s="409"/>
      <c r="K18" s="407"/>
      <c r="L18" s="410">
        <v>0.6</v>
      </c>
      <c r="M18" s="410">
        <v>0.6</v>
      </c>
      <c r="N18" s="411">
        <f t="shared" si="0"/>
        <v>0.36</v>
      </c>
      <c r="O18" s="400"/>
      <c r="Q18" s="98" t="str">
        <f>IF(E16&gt;0,"내진 크립바 크립","와이어 크립")</f>
        <v>와이어 크립</v>
      </c>
      <c r="R18" s="99"/>
      <c r="S18" s="100">
        <f>IFERROR(ROUNDUP(E6/C9*E5*(1+C6),-1),)</f>
        <v>0</v>
      </c>
      <c r="T18" s="54">
        <f t="shared" si="2"/>
        <v>0</v>
      </c>
      <c r="U18" s="85"/>
      <c r="V18" s="68"/>
      <c r="W18" s="46"/>
    </row>
    <row r="19" spans="2:30">
      <c r="B19" s="719" t="s">
        <v>98</v>
      </c>
      <c r="C19" s="718" t="s">
        <v>99</v>
      </c>
      <c r="D19" s="1269" t="s">
        <v>100</v>
      </c>
      <c r="E19" s="1270"/>
      <c r="F19" s="897"/>
      <c r="G19" s="89">
        <v>15</v>
      </c>
      <c r="H19" s="90" t="s">
        <v>101</v>
      </c>
      <c r="I19" s="416" t="s">
        <v>76</v>
      </c>
      <c r="J19" s="409"/>
      <c r="K19" s="407"/>
      <c r="L19" s="410">
        <v>0.6</v>
      </c>
      <c r="M19" s="410">
        <v>0.6</v>
      </c>
      <c r="N19" s="411">
        <f t="shared" si="0"/>
        <v>0.36</v>
      </c>
      <c r="O19" s="408"/>
      <c r="Q19" s="84" t="s">
        <v>102</v>
      </c>
      <c r="R19" s="75"/>
      <c r="S19" s="53">
        <f>IFERROR(ROUNDUP(ROUNDDOWN(E6/C9,0)*ROUNDDOWN(E5/(C11/1000),0)*(1+C6),-1),)</f>
        <v>0</v>
      </c>
      <c r="T19" s="54">
        <f t="shared" si="2"/>
        <v>0</v>
      </c>
      <c r="U19" s="85"/>
      <c r="V19" s="56"/>
      <c r="W19" s="46"/>
      <c r="X19" s="101"/>
      <c r="Y19" s="101"/>
      <c r="Z19" s="101"/>
      <c r="AA19" s="101"/>
      <c r="AB19" s="101"/>
      <c r="AC19" s="101"/>
      <c r="AD19" s="101"/>
    </row>
    <row r="20" spans="2:30">
      <c r="B20" s="77"/>
      <c r="C20" s="102">
        <f>IFERROR(VLOOKUP(E4,G4:N19,2,0) &amp; VLOOKUP(C23,G21:I27,2,0) &amp; VLOOKUP(C24,G21:I27,3,0),)</f>
        <v>0</v>
      </c>
      <c r="D20" s="1236">
        <f>IFERROR(VLOOKUP(E4,G4:N19,2,0) &amp; VLOOKUP(D23,G21:I27,2,0) &amp; VLOOKUP(D24,G21:I27,3,0),)</f>
        <v>0</v>
      </c>
      <c r="E20" s="1237">
        <f>IFERROR(VLOOKUP(E4,G4:N19,2,0) &amp; VLOOKUP(E23,G21:I27,2,0) &amp; VLOOKUP(E24,G21:I27,3,0),)</f>
        <v>0</v>
      </c>
      <c r="F20" s="897"/>
      <c r="G20" s="612"/>
      <c r="H20" s="612"/>
      <c r="I20" s="612"/>
      <c r="J20" s="612"/>
      <c r="K20" s="612"/>
      <c r="L20" s="612"/>
      <c r="M20" s="612"/>
      <c r="N20" s="612"/>
      <c r="O20" s="612"/>
      <c r="Q20" s="103" t="s">
        <v>103</v>
      </c>
      <c r="R20" s="104"/>
      <c r="S20" s="105">
        <f>ROUNDUP(ROUNDDOWN(E5/C4,0)*ROUNDDOWN(E6/(C12/1000),0)*(1+C6),-1)</f>
        <v>0</v>
      </c>
      <c r="T20" s="54">
        <f t="shared" si="2"/>
        <v>0</v>
      </c>
      <c r="U20" s="106"/>
      <c r="V20" s="107"/>
      <c r="W20" s="46"/>
      <c r="X20" s="101"/>
      <c r="Y20" s="101"/>
      <c r="Z20" s="101"/>
      <c r="AA20" s="101"/>
      <c r="AB20" s="101"/>
      <c r="AC20" s="101"/>
      <c r="AD20" s="101"/>
    </row>
    <row r="21" spans="2:30">
      <c r="B21" s="108" t="s">
        <v>104</v>
      </c>
      <c r="C21" s="109" t="s">
        <v>105</v>
      </c>
      <c r="D21" s="109" t="s">
        <v>106</v>
      </c>
      <c r="E21" s="110" t="s">
        <v>107</v>
      </c>
      <c r="F21" s="897"/>
      <c r="G21" s="111" t="s">
        <v>108</v>
      </c>
      <c r="H21" s="112" t="s">
        <v>109</v>
      </c>
      <c r="I21" s="113" t="s">
        <v>110</v>
      </c>
      <c r="K21" s="1312" t="s">
        <v>111</v>
      </c>
      <c r="L21" s="1313"/>
      <c r="M21" s="114">
        <f>S7 + SUM(S25:S27)</f>
        <v>0</v>
      </c>
      <c r="N21" s="612"/>
      <c r="O21" s="612"/>
      <c r="Q21" s="115" t="str">
        <f>IF(E12=1,"마이너크립",)</f>
        <v>마이너크립</v>
      </c>
      <c r="R21" s="99"/>
      <c r="S21" s="67">
        <f>IF(E12=1,ROUNDUP(E6/E13*E5*(1+C6),-1),)</f>
        <v>0</v>
      </c>
      <c r="T21" s="54">
        <f t="shared" si="2"/>
        <v>0</v>
      </c>
      <c r="U21" s="85"/>
      <c r="V21" s="56"/>
      <c r="W21" s="46"/>
      <c r="X21" s="116"/>
      <c r="Y21" s="117"/>
      <c r="Z21" s="117"/>
      <c r="AA21" s="117"/>
      <c r="AB21" s="117"/>
      <c r="AC21" s="117"/>
      <c r="AD21" s="117"/>
    </row>
    <row r="22" spans="2:30">
      <c r="B22" s="69" t="s">
        <v>112</v>
      </c>
      <c r="C22" s="118"/>
      <c r="D22" s="118"/>
      <c r="E22" s="119"/>
      <c r="F22" s="120"/>
      <c r="G22" s="121">
        <v>1</v>
      </c>
      <c r="H22" s="122" t="s">
        <v>113</v>
      </c>
      <c r="I22" s="123" t="s">
        <v>114</v>
      </c>
      <c r="K22" s="1297" t="s">
        <v>115</v>
      </c>
      <c r="L22" s="1286"/>
      <c r="M22" s="124">
        <f>IFERROR(M21*가로폭*세로폭,)</f>
        <v>0</v>
      </c>
      <c r="N22" s="612"/>
      <c r="O22" s="612"/>
      <c r="Q22" s="125">
        <f>IF(E16=2,"MB 크립",)</f>
        <v>0</v>
      </c>
      <c r="R22" s="99"/>
      <c r="S22" s="67">
        <f>IF(E16=2,ROUNDUP(E5*E6/E17*(1+C6),-1),)</f>
        <v>0</v>
      </c>
      <c r="T22" s="54">
        <f>IF(S22&gt;1,"개",)</f>
        <v>0</v>
      </c>
      <c r="U22" s="85"/>
      <c r="V22" s="68"/>
      <c r="W22" s="612"/>
      <c r="X22" s="126"/>
      <c r="Y22" s="127"/>
      <c r="Z22" s="127"/>
      <c r="AA22" s="127"/>
      <c r="AB22" s="127"/>
      <c r="AC22" s="127"/>
      <c r="AD22" s="127"/>
    </row>
    <row r="23" spans="2:30">
      <c r="B23" s="77" t="s">
        <v>116</v>
      </c>
      <c r="C23" s="128"/>
      <c r="D23" s="128"/>
      <c r="E23" s="129"/>
      <c r="F23" s="130"/>
      <c r="G23" s="131">
        <v>2</v>
      </c>
      <c r="H23" s="132" t="s">
        <v>117</v>
      </c>
      <c r="I23" s="123" t="s">
        <v>118</v>
      </c>
      <c r="K23" s="1297" t="s">
        <v>119</v>
      </c>
      <c r="L23" s="1286"/>
      <c r="M23" s="133">
        <f>T5</f>
        <v>0</v>
      </c>
      <c r="N23" s="612"/>
      <c r="O23" s="612"/>
      <c r="Q23" s="103" t="str">
        <f>IF(E4=5,"SMC 외부용 캡",IF(E4=10,"담파 외부용 캡",IF(E4=15,"STMC 외부용 캡","")))</f>
        <v/>
      </c>
      <c r="R23" s="104"/>
      <c r="S23" s="105">
        <f>IFERROR(IF(E4=5,S7,IF(E4=10,S7, IF(E4=15,S7,))),)</f>
        <v>0</v>
      </c>
      <c r="T23" s="134">
        <f>IF(S23&gt;1,"개",)</f>
        <v>0</v>
      </c>
      <c r="U23" s="135"/>
      <c r="V23" s="107"/>
      <c r="W23" s="612"/>
      <c r="X23" s="136"/>
      <c r="Y23" s="137"/>
      <c r="Z23" s="137"/>
      <c r="AA23" s="137"/>
      <c r="AB23" s="137"/>
      <c r="AC23" s="116"/>
      <c r="AD23" s="116"/>
    </row>
    <row r="24" spans="2:30" ht="16.5" customHeight="1">
      <c r="B24" s="77" t="s">
        <v>120</v>
      </c>
      <c r="C24" s="128"/>
      <c r="D24" s="128"/>
      <c r="E24" s="129"/>
      <c r="F24" s="138"/>
      <c r="G24" s="139">
        <v>3</v>
      </c>
      <c r="H24" s="140" t="s">
        <v>121</v>
      </c>
      <c r="I24" s="123" t="s">
        <v>122</v>
      </c>
      <c r="K24" s="1298" t="s">
        <v>123</v>
      </c>
      <c r="L24" s="1288"/>
      <c r="M24" s="133">
        <f>M22-M23</f>
        <v>0</v>
      </c>
      <c r="N24" s="612"/>
      <c r="O24" s="612"/>
      <c r="Q24" s="141"/>
      <c r="R24" s="99"/>
      <c r="S24" s="67"/>
      <c r="T24" s="142">
        <f t="shared" ref="T24" si="4">IF(S24&gt;1,"개",)</f>
        <v>0</v>
      </c>
      <c r="U24" s="85"/>
      <c r="V24" s="68"/>
      <c r="W24" s="612"/>
      <c r="X24" s="127"/>
      <c r="Y24" s="143"/>
      <c r="Z24" s="143"/>
      <c r="AA24" s="143"/>
      <c r="AB24" s="143"/>
      <c r="AC24" s="116"/>
      <c r="AD24" s="116"/>
    </row>
    <row r="25" spans="2:30" ht="17.25" thickBot="1">
      <c r="B25" s="144" t="s">
        <v>124</v>
      </c>
      <c r="C25" s="145">
        <f>IFERROR(VLOOKUP(크NO,G4:N19,6)*VLOOKUP(크NO,G4:N19,7)*C22,)</f>
        <v>0</v>
      </c>
      <c r="D25" s="145">
        <f>IFERROR(VLOOKUP(크NO,G4:N19,6)*VLOOKUP(크NO,G4:N19,7)*D22,)</f>
        <v>0</v>
      </c>
      <c r="E25" s="146">
        <f>IFERROR(VLOOKUP(크NO,G4:N19,6)*VLOOKUP(크NO,G4:N19,7)*E22,)</f>
        <v>0</v>
      </c>
      <c r="F25" s="138"/>
      <c r="G25" s="147">
        <v>4</v>
      </c>
      <c r="H25" s="148" t="s">
        <v>125</v>
      </c>
      <c r="I25" s="123" t="s">
        <v>126</v>
      </c>
      <c r="J25" s="149"/>
      <c r="K25" s="1306" t="s">
        <v>127</v>
      </c>
      <c r="L25" s="1307"/>
      <c r="M25" s="150">
        <f>IFERROR(M24/(가로폭*세로폭),)</f>
        <v>0</v>
      </c>
      <c r="N25" s="612"/>
      <c r="O25" s="612"/>
      <c r="Q25" s="151">
        <f>C20</f>
        <v>0</v>
      </c>
      <c r="R25" s="152"/>
      <c r="S25" s="153">
        <f>C22*(1+C27)</f>
        <v>0</v>
      </c>
      <c r="T25" s="142">
        <f>IF(S25&gt;1,"장",)</f>
        <v>0</v>
      </c>
      <c r="U25" s="135"/>
      <c r="V25" s="154"/>
      <c r="W25" s="612"/>
      <c r="X25" s="101"/>
      <c r="Y25" s="101"/>
      <c r="Z25" s="101"/>
      <c r="AA25" s="101"/>
      <c r="AB25" s="101"/>
      <c r="AC25" s="101"/>
      <c r="AD25" s="101"/>
    </row>
    <row r="26" spans="2:30" ht="17.25" thickBot="1">
      <c r="B26" s="155" t="s">
        <v>128</v>
      </c>
      <c r="C26" s="156">
        <f>SUM(C25:E25)</f>
        <v>0</v>
      </c>
      <c r="D26" s="157" t="s">
        <v>129</v>
      </c>
      <c r="E26" s="158">
        <f>T5-C26</f>
        <v>0</v>
      </c>
      <c r="F26" s="138"/>
      <c r="G26" s="159">
        <v>5</v>
      </c>
      <c r="H26" s="160" t="s">
        <v>130</v>
      </c>
      <c r="I26" s="857"/>
      <c r="L26" s="161"/>
      <c r="M26" s="612"/>
      <c r="N26" s="612"/>
      <c r="O26" s="612"/>
      <c r="Q26" s="162">
        <f>D20</f>
        <v>0</v>
      </c>
      <c r="R26" s="152"/>
      <c r="S26" s="153">
        <f>D22*(1+C27)</f>
        <v>0</v>
      </c>
      <c r="T26" s="142">
        <f t="shared" ref="T26:T27" si="5">IF(S26&gt;1,"장",)</f>
        <v>0</v>
      </c>
      <c r="U26" s="135"/>
      <c r="V26" s="154"/>
      <c r="W26" s="612"/>
    </row>
    <row r="27" spans="2:30" ht="17.25" thickBot="1">
      <c r="B27" s="163" t="s">
        <v>131</v>
      </c>
      <c r="C27" s="164">
        <v>0.02</v>
      </c>
      <c r="D27" s="165"/>
      <c r="E27" s="166"/>
      <c r="F27" s="138"/>
      <c r="G27" s="167">
        <v>6</v>
      </c>
      <c r="H27" s="168" t="s">
        <v>132</v>
      </c>
      <c r="I27" s="857"/>
      <c r="K27" s="877" t="s">
        <v>133</v>
      </c>
      <c r="L27" s="169"/>
      <c r="M27" s="612"/>
      <c r="N27" s="612"/>
      <c r="O27" s="612"/>
      <c r="Q27" s="162">
        <f>E20</f>
        <v>0</v>
      </c>
      <c r="R27" s="152"/>
      <c r="S27" s="153">
        <f>E22*(1+C27)</f>
        <v>0</v>
      </c>
      <c r="T27" s="142">
        <f t="shared" si="5"/>
        <v>0</v>
      </c>
      <c r="U27" s="135"/>
      <c r="V27" s="154"/>
      <c r="W27" s="612"/>
    </row>
    <row r="28" spans="2:30" ht="17.25" customHeight="1" thickBot="1">
      <c r="B28" s="170"/>
      <c r="C28" s="171"/>
      <c r="D28" s="172"/>
      <c r="E28" s="173"/>
      <c r="F28" s="138"/>
      <c r="K28" s="877" t="s">
        <v>51</v>
      </c>
      <c r="L28" s="169"/>
      <c r="M28" s="612"/>
      <c r="N28" s="612"/>
      <c r="O28" s="612"/>
      <c r="Q28" s="174"/>
      <c r="R28" s="175"/>
      <c r="S28" s="176"/>
      <c r="T28" s="177"/>
      <c r="U28" s="178"/>
      <c r="V28" s="179"/>
      <c r="W28" s="46"/>
    </row>
    <row r="29" spans="2:30" ht="17.25" thickTop="1">
      <c r="B29" s="180"/>
      <c r="C29" s="29"/>
      <c r="D29" s="29"/>
      <c r="E29" s="29"/>
      <c r="F29" s="897"/>
      <c r="J29" s="149"/>
      <c r="K29" s="877" t="s">
        <v>134</v>
      </c>
      <c r="L29" s="181">
        <f>L27*L28</f>
        <v>0</v>
      </c>
      <c r="M29" s="612"/>
      <c r="N29" s="612"/>
      <c r="O29" s="612"/>
      <c r="Q29" s="1281" t="s">
        <v>135</v>
      </c>
      <c r="R29" s="1281"/>
      <c r="S29" s="1281"/>
      <c r="T29" s="1281"/>
      <c r="U29" s="1281"/>
      <c r="V29" s="1281"/>
      <c r="W29" s="57"/>
    </row>
    <row r="30" spans="2:30" ht="20.25">
      <c r="B30" s="182" t="s">
        <v>136</v>
      </c>
      <c r="C30" s="897"/>
      <c r="D30" s="897"/>
      <c r="E30" s="897"/>
      <c r="F30" s="897"/>
      <c r="R30" s="874"/>
      <c r="T30" s="882"/>
      <c r="U30" s="882"/>
      <c r="W30" s="57"/>
    </row>
    <row r="31" spans="2:30" ht="17.25" thickBot="1">
      <c r="B31" s="183" t="s">
        <v>46</v>
      </c>
      <c r="C31" s="184">
        <v>0.9</v>
      </c>
      <c r="D31" s="877" t="s">
        <v>137</v>
      </c>
      <c r="E31" s="185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Q31" s="24" t="s">
        <v>59</v>
      </c>
      <c r="R31" s="25">
        <f>ROUNDUP(E32*E33/3.3025,2)</f>
        <v>0</v>
      </c>
      <c r="S31" s="612" t="s">
        <v>60</v>
      </c>
      <c r="T31" s="1283">
        <f>ROUNDUP(E32*E33,2)</f>
        <v>0</v>
      </c>
      <c r="U31" s="1283"/>
      <c r="V31" s="186" t="s">
        <v>61</v>
      </c>
      <c r="W31" s="57"/>
    </row>
    <row r="32" spans="2:30" ht="18" thickTop="1" thickBot="1">
      <c r="B32" s="183" t="s">
        <v>54</v>
      </c>
      <c r="C32" s="187" t="s">
        <v>55</v>
      </c>
      <c r="D32" s="188" t="s">
        <v>56</v>
      </c>
      <c r="E32" s="189"/>
      <c r="F32" s="897"/>
      <c r="G32" s="190" t="s">
        <v>47</v>
      </c>
      <c r="H32" s="14" t="s">
        <v>48</v>
      </c>
      <c r="I32" s="15" t="s">
        <v>49</v>
      </c>
      <c r="J32" s="16" t="s">
        <v>138</v>
      </c>
      <c r="K32" s="400"/>
      <c r="L32" s="408" t="s">
        <v>50</v>
      </c>
      <c r="M32" s="408" t="s">
        <v>51</v>
      </c>
      <c r="N32" s="408" t="s">
        <v>52</v>
      </c>
      <c r="O32" s="897"/>
      <c r="Q32" s="32" t="s">
        <v>64</v>
      </c>
      <c r="R32" s="33" t="s">
        <v>49</v>
      </c>
      <c r="S32" s="1284" t="s">
        <v>139</v>
      </c>
      <c r="T32" s="1285"/>
      <c r="U32" s="34" t="s">
        <v>66</v>
      </c>
      <c r="V32" s="35" t="s">
        <v>67</v>
      </c>
      <c r="W32" s="191"/>
    </row>
    <row r="33" spans="2:23">
      <c r="B33" s="192" t="str">
        <f>TEXT(E32*E33/3.3025,"0.00")&amp;"평"</f>
        <v>0.00평</v>
      </c>
      <c r="C33" s="193">
        <v>0.05</v>
      </c>
      <c r="D33" s="880" t="s">
        <v>62</v>
      </c>
      <c r="E33" s="194"/>
      <c r="F33" s="29"/>
      <c r="G33" s="195">
        <v>1</v>
      </c>
      <c r="H33" s="196" t="s">
        <v>140</v>
      </c>
      <c r="I33" s="197" t="s">
        <v>141</v>
      </c>
      <c r="J33" s="419">
        <v>18</v>
      </c>
      <c r="K33" s="404"/>
      <c r="L33" s="410">
        <v>0.3</v>
      </c>
      <c r="M33" s="410">
        <v>0.6</v>
      </c>
      <c r="N33" s="411">
        <f t="shared" ref="N33:N41" si="6">L33*M33*J33</f>
        <v>3.2399999999999998</v>
      </c>
      <c r="O33" s="612"/>
      <c r="Q33" s="198">
        <f>B35</f>
        <v>0</v>
      </c>
      <c r="R33" s="199">
        <f>C35</f>
        <v>0</v>
      </c>
      <c r="S33" s="200">
        <f>IFERROR(ROUNDUP((E32*E33)/(D36*E36*C36)*(1+C33),0),)</f>
        <v>0</v>
      </c>
      <c r="T33" s="201">
        <f>IF(S33&gt;1,"박스",)</f>
        <v>0</v>
      </c>
      <c r="U33" s="202"/>
      <c r="V33" s="45"/>
      <c r="W33" s="57"/>
    </row>
    <row r="34" spans="2:23">
      <c r="B34" s="203" t="s">
        <v>142</v>
      </c>
      <c r="C34" s="204" t="s">
        <v>69</v>
      </c>
      <c r="D34" s="205" t="s">
        <v>143</v>
      </c>
      <c r="E34" s="206"/>
      <c r="F34" s="29"/>
      <c r="G34" s="207">
        <v>2</v>
      </c>
      <c r="H34" s="208" t="s">
        <v>144</v>
      </c>
      <c r="I34" s="209" t="s">
        <v>141</v>
      </c>
      <c r="J34" s="420">
        <v>18</v>
      </c>
      <c r="K34" s="404"/>
      <c r="L34" s="410">
        <v>0.3</v>
      </c>
      <c r="M34" s="410">
        <v>0.6</v>
      </c>
      <c r="N34" s="411">
        <f t="shared" si="6"/>
        <v>3.2399999999999998</v>
      </c>
      <c r="O34" s="612"/>
      <c r="Q34" s="51" t="str">
        <f>B38</f>
        <v>KS 엠바</v>
      </c>
      <c r="R34" s="52">
        <f>C38</f>
        <v>4000</v>
      </c>
      <c r="S34" s="100">
        <f>IFERROR(ROUNDUP(E33/D36*E32/(C38/1000)*(1+C33),0),)</f>
        <v>0</v>
      </c>
      <c r="T34" s="134">
        <f t="shared" ref="T34:T48" si="7">IF(S34&gt;1,"개",)</f>
        <v>0</v>
      </c>
      <c r="U34" s="210"/>
      <c r="V34" s="56"/>
      <c r="W34" s="46"/>
    </row>
    <row r="35" spans="2:23">
      <c r="B35" s="211">
        <f>IFERROR(VLOOKUP(E31,G33:H41,2),)</f>
        <v>0</v>
      </c>
      <c r="C35" s="212">
        <f>IFERROR(VLOOKUP(E31,G33:I41,3),)</f>
        <v>0</v>
      </c>
      <c r="D35" s="213" t="s">
        <v>145</v>
      </c>
      <c r="E35" s="214" t="s">
        <v>51</v>
      </c>
      <c r="F35" s="29"/>
      <c r="G35" s="207">
        <v>3</v>
      </c>
      <c r="H35" s="208" t="s">
        <v>146</v>
      </c>
      <c r="I35" s="209" t="s">
        <v>141</v>
      </c>
      <c r="J35" s="420">
        <v>18</v>
      </c>
      <c r="K35" s="404"/>
      <c r="L35" s="410">
        <v>0.3</v>
      </c>
      <c r="M35" s="410">
        <v>0.6</v>
      </c>
      <c r="N35" s="411">
        <f t="shared" si="6"/>
        <v>3.2399999999999998</v>
      </c>
      <c r="O35" s="612"/>
      <c r="Q35" s="51" t="str">
        <f>B39</f>
        <v>캐 링 KS</v>
      </c>
      <c r="R35" s="52">
        <f>C39</f>
        <v>4000</v>
      </c>
      <c r="S35" s="100">
        <f>ROUNDUP(E32/C31*E33/(C39/1000)*(1+C33),0)</f>
        <v>0</v>
      </c>
      <c r="T35" s="134">
        <f t="shared" si="7"/>
        <v>0</v>
      </c>
      <c r="U35" s="210"/>
      <c r="V35" s="56"/>
      <c r="W35" s="46"/>
    </row>
    <row r="36" spans="2:23">
      <c r="B36" s="215" t="s">
        <v>147</v>
      </c>
      <c r="C36" s="216" t="str">
        <f>IFERROR(VLOOKUP(E31,G33:N41,4),"")</f>
        <v/>
      </c>
      <c r="D36" s="217">
        <f>IFERROR(VLOOKUP(E31,G33:N41,6),)</f>
        <v>0</v>
      </c>
      <c r="E36" s="218">
        <f>IFERROR(VLOOKUP(E31,G33:N41,7),)</f>
        <v>0</v>
      </c>
      <c r="F36" s="897"/>
      <c r="G36" s="207">
        <v>4</v>
      </c>
      <c r="H36" s="208" t="s">
        <v>148</v>
      </c>
      <c r="I36" s="209" t="s">
        <v>141</v>
      </c>
      <c r="J36" s="420">
        <v>24</v>
      </c>
      <c r="K36" s="404"/>
      <c r="L36" s="410">
        <v>0.3</v>
      </c>
      <c r="M36" s="410">
        <v>0.6</v>
      </c>
      <c r="N36" s="411">
        <f t="shared" si="6"/>
        <v>4.32</v>
      </c>
      <c r="O36" s="612"/>
      <c r="Q36" s="219" t="str">
        <f>IF(E40=1,B40,)</f>
        <v>마이너 KS</v>
      </c>
      <c r="R36" s="52">
        <f>IF(E40=1,C40,)</f>
        <v>4000</v>
      </c>
      <c r="S36" s="100">
        <f>IFERROR(IF(E40=1, ROUNDUP(E33/E41*E32/(C40/1000)*(1+C33), 0), 0) + IF(AND(E40=1, E44=2), ROUNDUP(E33/E45*E32/(C40/1000)*(1+C33), 0), 0), 0)</f>
        <v>0</v>
      </c>
      <c r="T36" s="134">
        <f t="shared" si="7"/>
        <v>0</v>
      </c>
      <c r="U36" s="210"/>
      <c r="V36" s="68"/>
      <c r="W36" s="46"/>
    </row>
    <row r="37" spans="2:23">
      <c r="B37" s="63" t="s">
        <v>77</v>
      </c>
      <c r="C37" s="876" t="s">
        <v>78</v>
      </c>
      <c r="D37" s="1274" t="s">
        <v>79</v>
      </c>
      <c r="E37" s="1275"/>
      <c r="F37" s="897"/>
      <c r="G37" s="207">
        <v>5</v>
      </c>
      <c r="H37" s="220" t="s">
        <v>149</v>
      </c>
      <c r="I37" s="221" t="s">
        <v>141</v>
      </c>
      <c r="J37" s="421">
        <v>18</v>
      </c>
      <c r="K37" s="405"/>
      <c r="L37" s="410">
        <v>0.3</v>
      </c>
      <c r="M37" s="410">
        <v>0.6</v>
      </c>
      <c r="N37" s="411">
        <f t="shared" si="6"/>
        <v>3.2399999999999998</v>
      </c>
      <c r="O37" s="612"/>
      <c r="Q37" s="222" t="str">
        <f>B41</f>
        <v/>
      </c>
      <c r="R37" s="52">
        <f>C41</f>
        <v>3000</v>
      </c>
      <c r="S37" s="100">
        <f>ROUNDUP((E32+E33)*2/(C41/1000)*(1+C33),0)</f>
        <v>0</v>
      </c>
      <c r="T37" s="134">
        <f t="shared" si="7"/>
        <v>0</v>
      </c>
      <c r="U37" s="210"/>
      <c r="V37" s="76"/>
      <c r="W37" s="46"/>
    </row>
    <row r="38" spans="2:23">
      <c r="B38" s="69" t="s">
        <v>150</v>
      </c>
      <c r="C38" s="70">
        <v>4000</v>
      </c>
      <c r="D38" s="71"/>
      <c r="E38" s="72"/>
      <c r="F38" s="897"/>
      <c r="G38" s="207">
        <v>6</v>
      </c>
      <c r="H38" s="208" t="s">
        <v>149</v>
      </c>
      <c r="I38" s="209" t="s">
        <v>73</v>
      </c>
      <c r="J38" s="420">
        <v>12</v>
      </c>
      <c r="K38" s="404"/>
      <c r="L38" s="410">
        <v>0.6</v>
      </c>
      <c r="M38" s="410">
        <v>0.6</v>
      </c>
      <c r="N38" s="411">
        <f t="shared" si="6"/>
        <v>4.32</v>
      </c>
      <c r="O38" s="612"/>
      <c r="Q38" s="51" t="str">
        <f>B42</f>
        <v>볼 트</v>
      </c>
      <c r="R38" s="52">
        <f>C42</f>
        <v>3000</v>
      </c>
      <c r="S38" s="100">
        <f>ROUNDUP(E32/C31*E33/E42*(1+C33),0)</f>
        <v>0</v>
      </c>
      <c r="T38" s="134">
        <f t="shared" si="7"/>
        <v>0</v>
      </c>
      <c r="U38" s="210"/>
      <c r="V38" s="81"/>
      <c r="W38" s="46"/>
    </row>
    <row r="39" spans="2:23">
      <c r="B39" s="77" t="s">
        <v>151</v>
      </c>
      <c r="C39" s="78">
        <v>4000</v>
      </c>
      <c r="D39" s="88"/>
      <c r="E39" s="223"/>
      <c r="F39" s="897"/>
      <c r="G39" s="224">
        <v>7</v>
      </c>
      <c r="H39" s="225" t="s">
        <v>152</v>
      </c>
      <c r="I39" s="226" t="s">
        <v>73</v>
      </c>
      <c r="J39" s="422">
        <v>10</v>
      </c>
      <c r="K39" s="405"/>
      <c r="L39" s="417">
        <v>0.6</v>
      </c>
      <c r="M39" s="417">
        <v>0.6</v>
      </c>
      <c r="N39" s="418">
        <f t="shared" si="6"/>
        <v>3.5999999999999996</v>
      </c>
      <c r="O39" s="612"/>
      <c r="Q39" s="74" t="str">
        <f>B43</f>
        <v>항가 150 KS</v>
      </c>
      <c r="R39" s="52"/>
      <c r="S39" s="100">
        <f>ROUNDUP(E32/C31*E33*(1+C33),0)</f>
        <v>0</v>
      </c>
      <c r="T39" s="134">
        <f t="shared" si="7"/>
        <v>0</v>
      </c>
      <c r="U39" s="227"/>
      <c r="V39" s="86"/>
      <c r="W39" s="46"/>
    </row>
    <row r="40" spans="2:23">
      <c r="B40" s="77" t="s">
        <v>84</v>
      </c>
      <c r="C40" s="78">
        <v>4000</v>
      </c>
      <c r="D40" s="79" t="s">
        <v>83</v>
      </c>
      <c r="E40" s="80">
        <v>1</v>
      </c>
      <c r="F40" s="897"/>
      <c r="G40" s="224">
        <v>8</v>
      </c>
      <c r="H40" s="228" t="s">
        <v>152</v>
      </c>
      <c r="I40" s="229" t="s">
        <v>153</v>
      </c>
      <c r="J40" s="423">
        <v>10</v>
      </c>
      <c r="K40" s="406"/>
      <c r="L40" s="417">
        <v>0.3</v>
      </c>
      <c r="M40" s="417">
        <v>1.21</v>
      </c>
      <c r="N40" s="418">
        <f t="shared" si="6"/>
        <v>3.63</v>
      </c>
      <c r="O40" s="612"/>
      <c r="Q40" s="74" t="s">
        <v>88</v>
      </c>
      <c r="R40" s="52"/>
      <c r="S40" s="100">
        <f>ROUNDUP(E32/C31*E33*(1+C33),-1)</f>
        <v>0</v>
      </c>
      <c r="T40" s="134">
        <f t="shared" si="7"/>
        <v>0</v>
      </c>
      <c r="U40" s="227"/>
      <c r="V40" s="76"/>
      <c r="W40" s="46"/>
    </row>
    <row r="41" spans="2:23" ht="17.25" thickBot="1">
      <c r="B41" s="77" t="str">
        <f>IFERROR((VLOOKUP(E34,G44:H50,2,0))&amp; " 몰딩","")</f>
        <v/>
      </c>
      <c r="C41" s="87">
        <v>3000</v>
      </c>
      <c r="D41" s="82" t="s">
        <v>85</v>
      </c>
      <c r="E41" s="230">
        <v>2.5</v>
      </c>
      <c r="F41" s="897"/>
      <c r="G41" s="231">
        <v>9</v>
      </c>
      <c r="H41" s="232" t="s">
        <v>152</v>
      </c>
      <c r="I41" s="233" t="s">
        <v>154</v>
      </c>
      <c r="J41" s="424">
        <v>10</v>
      </c>
      <c r="K41" s="406"/>
      <c r="L41" s="417">
        <v>0.39500000000000002</v>
      </c>
      <c r="M41" s="417">
        <v>1.21</v>
      </c>
      <c r="N41" s="418">
        <f t="shared" si="6"/>
        <v>4.7794999999999996</v>
      </c>
      <c r="O41" s="612"/>
      <c r="Q41" s="234" t="s">
        <v>92</v>
      </c>
      <c r="R41" s="52"/>
      <c r="S41" s="100">
        <f>ROUNDUP(E32/C31*E33*(1+C33),0)</f>
        <v>0</v>
      </c>
      <c r="T41" s="134">
        <f t="shared" si="7"/>
        <v>0</v>
      </c>
      <c r="U41" s="227"/>
      <c r="V41" s="56"/>
      <c r="W41" s="46"/>
    </row>
    <row r="42" spans="2:23">
      <c r="B42" s="77" t="s">
        <v>89</v>
      </c>
      <c r="C42" s="91">
        <v>3000</v>
      </c>
      <c r="D42" s="235" t="s">
        <v>90</v>
      </c>
      <c r="E42" s="92">
        <v>1</v>
      </c>
      <c r="F42" s="897"/>
      <c r="G42" s="1263" t="s">
        <v>677</v>
      </c>
      <c r="H42" s="1263"/>
      <c r="J42" s="612"/>
      <c r="K42" s="612"/>
      <c r="L42" s="612"/>
      <c r="M42" s="612"/>
      <c r="N42" s="612"/>
      <c r="O42" s="612"/>
      <c r="Q42" s="74" t="s">
        <v>95</v>
      </c>
      <c r="R42" s="52"/>
      <c r="S42" s="100">
        <f>ROUNDUP(E32/C31*E33*2*(1+C33),-1)</f>
        <v>0</v>
      </c>
      <c r="T42" s="134">
        <f t="shared" si="7"/>
        <v>0</v>
      </c>
      <c r="U42" s="227"/>
      <c r="V42" s="56"/>
      <c r="W42" s="46"/>
    </row>
    <row r="43" spans="2:23" ht="17.25" thickBot="1">
      <c r="B43" s="94" t="s">
        <v>93</v>
      </c>
      <c r="C43" s="236"/>
      <c r="D43" s="874"/>
      <c r="E43" s="166"/>
      <c r="F43" s="897"/>
      <c r="G43" s="1264"/>
      <c r="H43" s="1264"/>
      <c r="I43" s="612"/>
      <c r="J43" s="612"/>
      <c r="K43" s="612"/>
      <c r="L43" s="612"/>
      <c r="M43" s="612"/>
      <c r="N43" s="612"/>
      <c r="O43" s="612"/>
      <c r="Q43" s="74" t="str">
        <f>IF(E44="", "KS 크립", IF(E44&gt;0, "내진 엠바 크립", ""))</f>
        <v>KS 크립</v>
      </c>
      <c r="R43" s="52"/>
      <c r="S43" s="100">
        <f>IFERROR(ROUNDUP(E33/D36*E32*(1+C33),-1),)</f>
        <v>0</v>
      </c>
      <c r="T43" s="134">
        <f t="shared" si="7"/>
        <v>0</v>
      </c>
      <c r="U43" s="237"/>
      <c r="V43" s="68"/>
      <c r="W43" s="46"/>
    </row>
    <row r="44" spans="2:23">
      <c r="B44" s="77"/>
      <c r="C44" s="87"/>
      <c r="D44" s="96" t="s">
        <v>94</v>
      </c>
      <c r="E44" s="80"/>
      <c r="F44" s="897"/>
      <c r="G44" s="238" t="s">
        <v>155</v>
      </c>
      <c r="H44" s="238" t="s">
        <v>156</v>
      </c>
      <c r="I44" s="397"/>
      <c r="J44" s="612"/>
      <c r="K44" s="1310" t="str">
        <f>Q33&amp;" / 박스"</f>
        <v>0 / 박스</v>
      </c>
      <c r="L44" s="1311"/>
      <c r="M44" s="114">
        <f>S33</f>
        <v>0</v>
      </c>
      <c r="N44" s="612"/>
      <c r="O44" s="612"/>
      <c r="Q44" s="74" t="s">
        <v>157</v>
      </c>
      <c r="R44" s="52"/>
      <c r="S44" s="100">
        <f>IFERROR(ROUNDUP(ROUNDDOWN(E33/D36,0)*ROUNDDOWN(E32/(C38/1000),0)*(1+C33),-1),)</f>
        <v>0</v>
      </c>
      <c r="T44" s="134">
        <f t="shared" si="7"/>
        <v>0</v>
      </c>
      <c r="U44" s="227"/>
      <c r="V44" s="56"/>
      <c r="W44" s="46"/>
    </row>
    <row r="45" spans="2:23">
      <c r="B45" s="77"/>
      <c r="C45" s="1278" t="s">
        <v>96</v>
      </c>
      <c r="D45" s="1279"/>
      <c r="E45" s="80">
        <v>1.8</v>
      </c>
      <c r="F45" s="897"/>
      <c r="G45" s="240">
        <v>1</v>
      </c>
      <c r="H45" s="241" t="s">
        <v>158</v>
      </c>
      <c r="I45" s="398"/>
      <c r="J45" s="612"/>
      <c r="K45" s="1297" t="s">
        <v>115</v>
      </c>
      <c r="L45" s="1286"/>
      <c r="M45" s="242">
        <f>IFERROR(M44*D36*E36*C36,)</f>
        <v>0</v>
      </c>
      <c r="N45" s="612"/>
      <c r="O45" s="612"/>
      <c r="Q45" s="243" t="s">
        <v>159</v>
      </c>
      <c r="R45" s="244"/>
      <c r="S45" s="245">
        <f>ROUNDUP(ROUNDDOWN(E32/C31,0)*ROUNDDOWN(E33/(C39/1000),0)*(1+C33),-1)</f>
        <v>0</v>
      </c>
      <c r="T45" s="134">
        <f t="shared" si="7"/>
        <v>0</v>
      </c>
      <c r="U45" s="246"/>
      <c r="V45" s="107"/>
      <c r="W45" s="612"/>
    </row>
    <row r="46" spans="2:23">
      <c r="B46" s="77"/>
      <c r="C46" s="87"/>
      <c r="D46" s="88"/>
      <c r="E46" s="875"/>
      <c r="F46" s="897"/>
      <c r="G46" s="240">
        <v>2</v>
      </c>
      <c r="H46" s="241" t="s">
        <v>160</v>
      </c>
      <c r="I46" s="399"/>
      <c r="J46" s="612"/>
      <c r="K46" s="1297" t="s">
        <v>119</v>
      </c>
      <c r="L46" s="1286"/>
      <c r="M46" s="133">
        <f>T31</f>
        <v>0</v>
      </c>
      <c r="N46" s="612"/>
      <c r="O46" s="612"/>
      <c r="Q46" s="247" t="str">
        <f>IF(E40=1,"마이너크립",)</f>
        <v>마이너크립</v>
      </c>
      <c r="R46" s="52"/>
      <c r="S46" s="100">
        <f>IF(E40=1,ROUNDUP(E33/E41*E32*(1+C33),-1),)</f>
        <v>0</v>
      </c>
      <c r="T46" s="134">
        <f t="shared" si="7"/>
        <v>0</v>
      </c>
      <c r="U46" s="237"/>
      <c r="V46" s="56"/>
      <c r="W46" s="612"/>
    </row>
    <row r="47" spans="2:23">
      <c r="B47" s="719" t="s">
        <v>98</v>
      </c>
      <c r="C47" s="718" t="s">
        <v>99</v>
      </c>
      <c r="D47" s="1269" t="s">
        <v>100</v>
      </c>
      <c r="E47" s="1270"/>
      <c r="F47" s="897"/>
      <c r="G47" s="248">
        <v>3</v>
      </c>
      <c r="H47" s="249" t="s">
        <v>161</v>
      </c>
      <c r="I47" s="398"/>
      <c r="J47" s="612"/>
      <c r="K47" s="1298" t="s">
        <v>123</v>
      </c>
      <c r="L47" s="1288"/>
      <c r="M47" s="133">
        <f>M45-M46</f>
        <v>0</v>
      </c>
      <c r="N47" s="612"/>
      <c r="O47" s="612"/>
      <c r="Q47" s="98">
        <f>IF(E44=2,"MB 크립",)</f>
        <v>0</v>
      </c>
      <c r="R47" s="52"/>
      <c r="S47" s="100">
        <f>IF(E44=2,ROUNDUP(E32*E33/E45*(1+C33),-1),)</f>
        <v>0</v>
      </c>
      <c r="T47" s="134">
        <f t="shared" si="7"/>
        <v>0</v>
      </c>
      <c r="U47" s="237"/>
      <c r="V47" s="68"/>
      <c r="W47" s="612"/>
    </row>
    <row r="48" spans="2:23" ht="17.25" thickBot="1">
      <c r="B48" s="1271" t="s">
        <v>162</v>
      </c>
      <c r="C48" s="1272"/>
      <c r="D48" s="1272"/>
      <c r="E48" s="1273"/>
      <c r="F48" s="897"/>
      <c r="G48" s="248">
        <v>4</v>
      </c>
      <c r="H48" s="249" t="s">
        <v>163</v>
      </c>
      <c r="I48" s="398"/>
      <c r="J48" s="612"/>
      <c r="K48" s="1306" t="s">
        <v>164</v>
      </c>
      <c r="L48" s="1307"/>
      <c r="M48" s="250">
        <f>IFERROR(M47/(D36*E36*C36),)</f>
        <v>0</v>
      </c>
      <c r="N48" s="612"/>
      <c r="O48" s="612"/>
      <c r="Q48" s="243" t="str">
        <f>IF(E31=1,"마이텍스피스",IF(E31=2,"집텍스피스",IF(E31=3,"집텍스피스","")))</f>
        <v/>
      </c>
      <c r="R48" s="244"/>
      <c r="S48" s="245">
        <f>IF(Q48="", ,ROUNDUP(S33*6*18*(1+C33)/50,0)*50)</f>
        <v>0</v>
      </c>
      <c r="T48" s="134">
        <f t="shared" si="7"/>
        <v>0</v>
      </c>
      <c r="U48" s="251"/>
      <c r="V48" s="154"/>
      <c r="W48" s="612"/>
    </row>
    <row r="49" spans="2:23">
      <c r="B49" s="1268" t="s">
        <v>165</v>
      </c>
      <c r="C49" s="1269"/>
      <c r="D49" s="1269"/>
      <c r="E49" s="1270"/>
      <c r="F49" s="252"/>
      <c r="G49" s="253">
        <v>5</v>
      </c>
      <c r="H49" s="254" t="s">
        <v>166</v>
      </c>
      <c r="I49" s="398"/>
      <c r="J49" s="612"/>
      <c r="K49" s="612"/>
      <c r="L49" s="612"/>
      <c r="M49" s="612"/>
      <c r="N49" s="612"/>
      <c r="O49" s="612"/>
      <c r="Q49" s="162"/>
      <c r="R49" s="152"/>
      <c r="S49" s="153"/>
      <c r="T49" s="255"/>
      <c r="U49" s="251"/>
      <c r="V49" s="154"/>
      <c r="W49" s="612"/>
    </row>
    <row r="50" spans="2:23" ht="17.25" thickBot="1">
      <c r="B50" s="720"/>
      <c r="C50" s="721"/>
      <c r="D50" s="722"/>
      <c r="E50" s="173"/>
      <c r="F50" s="256"/>
      <c r="G50" s="253">
        <v>6</v>
      </c>
      <c r="H50" s="254" t="s">
        <v>167</v>
      </c>
      <c r="I50" s="399"/>
      <c r="J50" s="612"/>
      <c r="K50" s="612"/>
      <c r="L50" s="612"/>
      <c r="M50" s="612"/>
      <c r="N50" s="612"/>
      <c r="O50" s="612"/>
      <c r="Q50" s="174"/>
      <c r="R50" s="175"/>
      <c r="S50" s="176"/>
      <c r="T50" s="177"/>
      <c r="U50" s="257"/>
      <c r="V50" s="179"/>
      <c r="W50" s="46"/>
    </row>
    <row r="51" spans="2:23" ht="17.25" thickTop="1">
      <c r="B51" s="180"/>
      <c r="C51" s="29"/>
      <c r="D51" s="29"/>
      <c r="E51" s="29"/>
      <c r="F51" s="897"/>
      <c r="G51" s="612"/>
      <c r="H51" s="612"/>
      <c r="I51" s="612"/>
      <c r="J51" s="612"/>
      <c r="K51" s="612"/>
      <c r="L51" s="612"/>
      <c r="M51" s="612"/>
      <c r="N51" s="612"/>
      <c r="O51" s="612"/>
      <c r="Q51" s="1281"/>
      <c r="R51" s="1281"/>
      <c r="S51" s="1281"/>
      <c r="T51" s="1281"/>
      <c r="U51" s="1281"/>
      <c r="V51" s="1281"/>
      <c r="W51" s="57"/>
    </row>
    <row r="52" spans="2:23" ht="20.25">
      <c r="B52" s="1314" t="s">
        <v>168</v>
      </c>
      <c r="C52" s="1315"/>
      <c r="D52" s="1316"/>
      <c r="E52" s="1316"/>
      <c r="F52" s="897"/>
      <c r="G52" s="612"/>
      <c r="J52" s="612"/>
      <c r="K52" s="612"/>
      <c r="L52" s="612"/>
      <c r="M52" s="612"/>
      <c r="N52" s="612"/>
      <c r="O52" s="612"/>
      <c r="Q52" s="1289"/>
      <c r="R52" s="1289"/>
      <c r="S52" s="1289"/>
      <c r="T52" s="258"/>
      <c r="U52" s="258"/>
      <c r="V52" s="259"/>
      <c r="W52" s="57"/>
    </row>
    <row r="53" spans="2:23" ht="17.25" thickBot="1">
      <c r="B53" s="183" t="s">
        <v>46</v>
      </c>
      <c r="C53" s="260">
        <v>0.9</v>
      </c>
      <c r="D53" s="261"/>
      <c r="E53" s="262"/>
      <c r="F53" s="897"/>
      <c r="G53" s="612"/>
      <c r="J53" s="612"/>
      <c r="K53" s="330"/>
      <c r="L53" s="330"/>
      <c r="M53" s="330"/>
      <c r="N53" s="612"/>
      <c r="O53" s="612"/>
      <c r="Q53" s="24" t="s">
        <v>59</v>
      </c>
      <c r="R53" s="25">
        <f>ROUNDUP(E54*E55/3.3025,2)</f>
        <v>0</v>
      </c>
      <c r="S53" s="612" t="s">
        <v>60</v>
      </c>
      <c r="T53" s="1283">
        <f>ROUNDUP(E54*E55,2)</f>
        <v>0</v>
      </c>
      <c r="U53" s="1283"/>
      <c r="V53" s="26" t="s">
        <v>61</v>
      </c>
      <c r="W53" s="57"/>
    </row>
    <row r="54" spans="2:23" ht="18" thickTop="1" thickBot="1">
      <c r="B54" s="183" t="s">
        <v>54</v>
      </c>
      <c r="C54" s="187" t="s">
        <v>55</v>
      </c>
      <c r="D54" s="188" t="s">
        <v>56</v>
      </c>
      <c r="E54" s="189"/>
      <c r="F54" s="897"/>
      <c r="G54" s="1290" t="str">
        <f>B57&amp;" / 박스"</f>
        <v>마이톤 15T / 박스</v>
      </c>
      <c r="H54" s="1290"/>
      <c r="I54" s="263">
        <f>S55</f>
        <v>0</v>
      </c>
      <c r="J54" s="612"/>
      <c r="K54" s="1291"/>
      <c r="L54" s="1291"/>
      <c r="M54" s="330"/>
      <c r="N54" s="612"/>
      <c r="O54" s="612"/>
      <c r="Q54" s="32" t="s">
        <v>64</v>
      </c>
      <c r="R54" s="33" t="s">
        <v>49</v>
      </c>
      <c r="S54" s="1284" t="s">
        <v>139</v>
      </c>
      <c r="T54" s="1285"/>
      <c r="U54" s="34" t="s">
        <v>66</v>
      </c>
      <c r="V54" s="35" t="s">
        <v>67</v>
      </c>
      <c r="W54" s="191"/>
    </row>
    <row r="55" spans="2:23">
      <c r="B55" s="192" t="str">
        <f>TEXT(E54*E55/3.3025,"0.00")&amp;"평"</f>
        <v>0.00평</v>
      </c>
      <c r="C55" s="193">
        <v>0.05</v>
      </c>
      <c r="D55" s="880" t="s">
        <v>62</v>
      </c>
      <c r="E55" s="194"/>
      <c r="F55" s="29"/>
      <c r="G55" s="1286" t="s">
        <v>115</v>
      </c>
      <c r="H55" s="1286"/>
      <c r="I55" s="264">
        <f>I54*D57*E57*10</f>
        <v>0</v>
      </c>
      <c r="J55" s="612"/>
      <c r="K55" s="1292"/>
      <c r="L55" s="1292"/>
      <c r="M55" s="330"/>
      <c r="N55" s="612"/>
      <c r="O55" s="612"/>
      <c r="Q55" s="265" t="str">
        <f>B57</f>
        <v>마이톤 15T</v>
      </c>
      <c r="R55" s="41" t="str">
        <f>C57</f>
        <v>600×600</v>
      </c>
      <c r="S55" s="42">
        <f>ROUNDUP((E54*E55)/(D57*E57*10)*(1+C55),0)</f>
        <v>0</v>
      </c>
      <c r="T55" s="266">
        <f>IF(S55&gt;1,"박스",)</f>
        <v>0</v>
      </c>
      <c r="U55" s="202"/>
      <c r="V55" s="45"/>
      <c r="W55" s="57"/>
    </row>
    <row r="56" spans="2:23">
      <c r="B56" s="203" t="s">
        <v>142</v>
      </c>
      <c r="C56" s="204" t="s">
        <v>69</v>
      </c>
      <c r="D56" s="267" t="s">
        <v>50</v>
      </c>
      <c r="E56" s="268" t="s">
        <v>51</v>
      </c>
      <c r="F56" s="29"/>
      <c r="G56" s="1286" t="s">
        <v>119</v>
      </c>
      <c r="H56" s="1286"/>
      <c r="I56" s="156">
        <f>T53</f>
        <v>0</v>
      </c>
      <c r="J56" s="612"/>
      <c r="K56" s="330"/>
      <c r="L56" s="330"/>
      <c r="M56" s="330"/>
      <c r="N56" s="612"/>
      <c r="O56" s="612"/>
      <c r="Q56" s="269" t="str">
        <f>B60</f>
        <v>메인티바</v>
      </c>
      <c r="R56" s="75">
        <f>C60</f>
        <v>3660</v>
      </c>
      <c r="S56" s="53">
        <f>ROUNDUP(E55/D57*E54/(C60/1000)*(1+C55),0)</f>
        <v>0</v>
      </c>
      <c r="T56" s="270">
        <f t="shared" ref="T56:T67" si="8">IF(S56&gt;1,"개",)</f>
        <v>0</v>
      </c>
      <c r="U56" s="210"/>
      <c r="V56" s="56"/>
      <c r="W56" s="46"/>
    </row>
    <row r="57" spans="2:23">
      <c r="B57" s="271" t="s">
        <v>152</v>
      </c>
      <c r="C57" s="272" t="s">
        <v>169</v>
      </c>
      <c r="D57" s="273">
        <v>0.6</v>
      </c>
      <c r="E57" s="274">
        <v>0.6</v>
      </c>
      <c r="F57" s="29"/>
      <c r="G57" s="1287" t="s">
        <v>123</v>
      </c>
      <c r="H57" s="1288"/>
      <c r="I57" s="275">
        <f>I55-I56</f>
        <v>0</v>
      </c>
      <c r="J57" s="612"/>
      <c r="K57" s="375"/>
      <c r="L57" s="330"/>
      <c r="M57" s="330"/>
      <c r="N57" s="612"/>
      <c r="O57" s="612"/>
      <c r="Q57" s="269" t="str">
        <f>B61</f>
        <v>캐 링 KS</v>
      </c>
      <c r="R57" s="75">
        <f>C61</f>
        <v>4000</v>
      </c>
      <c r="S57" s="53">
        <f>ROUNDUP(E54/C53*E55/(C61/1000)*(1+C55),0)</f>
        <v>0</v>
      </c>
      <c r="T57" s="270">
        <f t="shared" si="8"/>
        <v>0</v>
      </c>
      <c r="U57" s="210"/>
      <c r="V57" s="56"/>
      <c r="W57" s="46"/>
    </row>
    <row r="58" spans="2:23">
      <c r="B58" s="276"/>
      <c r="C58" s="277"/>
      <c r="D58" s="276"/>
      <c r="E58" s="276"/>
      <c r="F58" s="897"/>
      <c r="G58" s="1286" t="s">
        <v>164</v>
      </c>
      <c r="H58" s="1286"/>
      <c r="I58" s="278">
        <f>I57/(D57*E57*10)</f>
        <v>0</v>
      </c>
      <c r="J58" s="612"/>
      <c r="K58" s="376"/>
      <c r="L58" s="330"/>
      <c r="M58" s="330"/>
      <c r="N58" s="612"/>
      <c r="O58" s="612"/>
      <c r="Q58" s="279" t="str">
        <f>IF(E62=1,B62,)</f>
        <v>마이너 KS</v>
      </c>
      <c r="R58" s="99">
        <f>IF(E62=1,C62,)</f>
        <v>4000</v>
      </c>
      <c r="S58" s="67">
        <f>IF(E62=1,ROUNDUP(E55/C53*E54/(C62/1000)*(1+C55),0),)</f>
        <v>0</v>
      </c>
      <c r="T58" s="270">
        <f t="shared" si="8"/>
        <v>0</v>
      </c>
      <c r="U58" s="210"/>
      <c r="V58" s="280"/>
      <c r="W58" s="46"/>
    </row>
    <row r="59" spans="2:23" ht="18" thickTop="1" thickBot="1">
      <c r="B59" s="63" t="s">
        <v>77</v>
      </c>
      <c r="C59" s="876" t="s">
        <v>78</v>
      </c>
      <c r="D59" s="1274" t="s">
        <v>79</v>
      </c>
      <c r="E59" s="1275"/>
      <c r="F59" s="897"/>
      <c r="G59" s="191"/>
      <c r="H59" s="612"/>
      <c r="I59" s="612"/>
      <c r="J59" s="612"/>
      <c r="K59" s="281"/>
      <c r="L59" s="612"/>
      <c r="M59" s="612"/>
      <c r="N59" s="612"/>
      <c r="O59" s="612"/>
      <c r="Q59" s="269" t="str">
        <f>B63</f>
        <v>티바몰딩</v>
      </c>
      <c r="R59" s="75">
        <f>C63</f>
        <v>3000</v>
      </c>
      <c r="S59" s="53">
        <f>ROUNDUP((E54+E55)*2/(C63/1000)*(1+C55),0)</f>
        <v>0</v>
      </c>
      <c r="T59" s="270">
        <f t="shared" si="8"/>
        <v>0</v>
      </c>
      <c r="U59" s="210"/>
      <c r="V59" s="76"/>
      <c r="W59" s="46"/>
    </row>
    <row r="60" spans="2:23" ht="17.25" thickTop="1">
      <c r="B60" s="69" t="s">
        <v>170</v>
      </c>
      <c r="C60" s="282">
        <v>3660</v>
      </c>
      <c r="D60" s="71"/>
      <c r="E60" s="72"/>
      <c r="F60" s="897"/>
      <c r="G60" s="1324" t="s">
        <v>171</v>
      </c>
      <c r="H60" s="1324"/>
      <c r="I60" s="1324"/>
      <c r="J60" s="1324"/>
      <c r="L60" s="395"/>
      <c r="M60" s="395"/>
      <c r="N60" s="612"/>
      <c r="O60" s="612"/>
      <c r="Q60" s="269" t="str">
        <f>B64</f>
        <v>볼 트</v>
      </c>
      <c r="R60" s="75">
        <f>C64</f>
        <v>3000</v>
      </c>
      <c r="S60" s="53">
        <f>ROUNDUP(E54/C53*E55/E64*(1+C55),0)</f>
        <v>0</v>
      </c>
      <c r="T60" s="270">
        <f t="shared" si="8"/>
        <v>0</v>
      </c>
      <c r="U60" s="210"/>
      <c r="V60" s="81"/>
      <c r="W60" s="46"/>
    </row>
    <row r="61" spans="2:23">
      <c r="B61" s="77" t="s">
        <v>151</v>
      </c>
      <c r="C61" s="78">
        <v>4000</v>
      </c>
      <c r="D61" s="88"/>
      <c r="E61" s="223"/>
      <c r="F61" s="897"/>
      <c r="G61" s="1324"/>
      <c r="H61" s="1324"/>
      <c r="I61" s="1324"/>
      <c r="J61" s="1324"/>
      <c r="K61" s="396"/>
      <c r="L61" s="395"/>
      <c r="M61" s="395"/>
      <c r="N61" s="612"/>
      <c r="O61" s="612"/>
      <c r="Q61" s="84" t="str">
        <f>B65</f>
        <v>항가 150 KS</v>
      </c>
      <c r="R61" s="75"/>
      <c r="S61" s="53">
        <f>ROUNDUP(E54/C53*E55*(1+C55),0)</f>
        <v>0</v>
      </c>
      <c r="T61" s="270">
        <f t="shared" si="8"/>
        <v>0</v>
      </c>
      <c r="U61" s="227"/>
      <c r="V61" s="86"/>
      <c r="W61" s="46"/>
    </row>
    <row r="62" spans="2:23">
      <c r="B62" s="77" t="s">
        <v>84</v>
      </c>
      <c r="C62" s="78">
        <v>4000</v>
      </c>
      <c r="D62" s="79" t="s">
        <v>83</v>
      </c>
      <c r="E62" s="80">
        <v>1</v>
      </c>
      <c r="F62" s="897"/>
      <c r="G62" s="1277" t="s">
        <v>172</v>
      </c>
      <c r="H62" s="1277"/>
      <c r="I62" s="1277"/>
      <c r="J62" s="1277"/>
      <c r="K62" s="396"/>
      <c r="L62" s="395"/>
      <c r="M62" s="395"/>
      <c r="N62" s="612"/>
      <c r="O62" s="612"/>
      <c r="Q62" s="84" t="s">
        <v>88</v>
      </c>
      <c r="R62" s="75"/>
      <c r="S62" s="53">
        <f>ROUNDUP(E54/C53*E55*(1+C55),-1)</f>
        <v>0</v>
      </c>
      <c r="T62" s="270">
        <f t="shared" si="8"/>
        <v>0</v>
      </c>
      <c r="U62" s="227"/>
      <c r="V62" s="76"/>
      <c r="W62" s="46"/>
    </row>
    <row r="63" spans="2:23" ht="16.5" customHeight="1">
      <c r="B63" s="77" t="s">
        <v>173</v>
      </c>
      <c r="C63" s="87">
        <v>3000</v>
      </c>
      <c r="D63" s="82" t="s">
        <v>85</v>
      </c>
      <c r="E63" s="230">
        <v>2.5</v>
      </c>
      <c r="F63" s="897"/>
      <c r="G63" s="1277" t="s">
        <v>174</v>
      </c>
      <c r="H63" s="1277"/>
      <c r="I63" s="1277"/>
      <c r="J63" s="1277"/>
      <c r="K63" s="283"/>
      <c r="L63" s="283"/>
      <c r="M63" s="395"/>
      <c r="N63" s="612"/>
      <c r="O63" s="612"/>
      <c r="Q63" s="93" t="s">
        <v>92</v>
      </c>
      <c r="R63" s="75"/>
      <c r="S63" s="53">
        <f>ROUNDUP(E54/C53*E55*(1+C55),0)</f>
        <v>0</v>
      </c>
      <c r="T63" s="270">
        <f t="shared" si="8"/>
        <v>0</v>
      </c>
      <c r="U63" s="227"/>
      <c r="V63" s="56"/>
      <c r="W63" s="46"/>
    </row>
    <row r="64" spans="2:23" ht="16.5" customHeight="1">
      <c r="B64" s="77" t="s">
        <v>89</v>
      </c>
      <c r="C64" s="91">
        <v>3000</v>
      </c>
      <c r="D64" s="88" t="s">
        <v>90</v>
      </c>
      <c r="E64" s="92">
        <v>1</v>
      </c>
      <c r="F64" s="897"/>
      <c r="G64" s="1276"/>
      <c r="H64" s="1277"/>
      <c r="I64" s="1277"/>
      <c r="J64" s="1277"/>
      <c r="K64" s="395"/>
      <c r="L64" s="395"/>
      <c r="M64" s="395"/>
      <c r="N64" s="612"/>
      <c r="O64" s="612"/>
      <c r="Q64" s="84" t="s">
        <v>95</v>
      </c>
      <c r="R64" s="75"/>
      <c r="S64" s="53">
        <f>ROUNDUP(E54/C53*E55*2*(1+C55),-1)</f>
        <v>0</v>
      </c>
      <c r="T64" s="270">
        <f t="shared" si="8"/>
        <v>0</v>
      </c>
      <c r="U64" s="227"/>
      <c r="V64" s="56"/>
      <c r="W64" s="46"/>
    </row>
    <row r="65" spans="2:23">
      <c r="B65" s="94" t="s">
        <v>93</v>
      </c>
      <c r="C65" s="236"/>
      <c r="D65" s="874"/>
      <c r="E65" s="166"/>
      <c r="F65" s="897"/>
      <c r="G65" s="1277" t="s">
        <v>175</v>
      </c>
      <c r="H65" s="1277"/>
      <c r="I65" s="1277"/>
      <c r="J65" s="1277"/>
      <c r="K65" s="395"/>
      <c r="L65" s="395"/>
      <c r="M65" s="395"/>
      <c r="N65" s="612"/>
      <c r="O65" s="612"/>
      <c r="Q65" s="93" t="s">
        <v>176</v>
      </c>
      <c r="R65" s="75"/>
      <c r="S65" s="53">
        <f>ROUNDUP(E55/D57*E54*(1+C55),-1)</f>
        <v>0</v>
      </c>
      <c r="T65" s="270">
        <f t="shared" si="8"/>
        <v>0</v>
      </c>
      <c r="U65" s="227"/>
      <c r="V65" s="68"/>
      <c r="W65" s="46"/>
    </row>
    <row r="66" spans="2:23">
      <c r="B66" s="77"/>
      <c r="C66" s="87"/>
      <c r="D66" s="88"/>
      <c r="E66" s="875"/>
      <c r="F66" s="897"/>
      <c r="G66" s="1277" t="s">
        <v>177</v>
      </c>
      <c r="H66" s="1277"/>
      <c r="I66" s="1277"/>
      <c r="J66" s="1277"/>
      <c r="K66" s="395"/>
      <c r="L66" s="395"/>
      <c r="M66" s="395"/>
      <c r="N66" s="612"/>
      <c r="O66" s="612"/>
      <c r="Q66" s="103" t="s">
        <v>103</v>
      </c>
      <c r="R66" s="104"/>
      <c r="S66" s="105">
        <f>ROUNDUP(S57,-1)</f>
        <v>0</v>
      </c>
      <c r="T66" s="270">
        <f t="shared" si="8"/>
        <v>0</v>
      </c>
      <c r="U66" s="246"/>
      <c r="V66" s="56"/>
      <c r="W66" s="46"/>
    </row>
    <row r="67" spans="2:23">
      <c r="B67" s="77"/>
      <c r="C67" s="87"/>
      <c r="D67" s="88"/>
      <c r="E67" s="875"/>
      <c r="F67" s="897"/>
      <c r="G67" s="1277"/>
      <c r="H67" s="1277"/>
      <c r="I67" s="1277"/>
      <c r="J67" s="1277"/>
      <c r="K67" s="395"/>
      <c r="L67" s="395"/>
      <c r="M67" s="395"/>
      <c r="N67" s="612"/>
      <c r="O67" s="612"/>
      <c r="Q67" s="284" t="str">
        <f>IF(E62=1,"마이너 크립",)</f>
        <v>마이너 크립</v>
      </c>
      <c r="R67" s="99"/>
      <c r="S67" s="67">
        <f>IF(E62=1,ROUNDUP(E55/E63*E54*(1+C55),-1),)</f>
        <v>0</v>
      </c>
      <c r="T67" s="270">
        <f t="shared" si="8"/>
        <v>0</v>
      </c>
      <c r="U67" s="251"/>
      <c r="V67" s="107"/>
      <c r="W67" s="46"/>
    </row>
    <row r="68" spans="2:23">
      <c r="B68" s="77"/>
      <c r="C68" s="87"/>
      <c r="D68" s="88"/>
      <c r="E68" s="875"/>
      <c r="F68" s="897"/>
      <c r="G68" s="1308" t="s">
        <v>98</v>
      </c>
      <c r="H68" s="1308"/>
      <c r="I68" s="1308"/>
      <c r="J68" s="1308"/>
      <c r="K68" s="395"/>
      <c r="L68" s="395"/>
      <c r="M68" s="395"/>
      <c r="N68" s="612"/>
      <c r="O68" s="612"/>
      <c r="Q68" s="84" t="s">
        <v>178</v>
      </c>
      <c r="R68" s="75">
        <v>600</v>
      </c>
      <c r="S68" s="53">
        <f>ROUNDUP(E54*E55/(D57*E57)*(1+C55),0)</f>
        <v>0</v>
      </c>
      <c r="T68" s="270">
        <f>IF(S68&gt;1,"개",)</f>
        <v>0</v>
      </c>
      <c r="U68" s="227"/>
      <c r="V68" s="56"/>
      <c r="W68" s="46"/>
    </row>
    <row r="69" spans="2:23">
      <c r="B69" s="77"/>
      <c r="C69" s="87"/>
      <c r="D69" s="88"/>
      <c r="E69" s="875"/>
      <c r="F69" s="897"/>
      <c r="G69" s="1282" t="s">
        <v>179</v>
      </c>
      <c r="H69" s="1282"/>
      <c r="I69" s="1282"/>
      <c r="J69" s="1282"/>
      <c r="K69" s="395"/>
      <c r="L69" s="395"/>
      <c r="M69" s="395"/>
      <c r="N69" s="612"/>
      <c r="O69" s="612"/>
      <c r="Q69" s="84"/>
      <c r="R69" s="75"/>
      <c r="S69" s="53"/>
      <c r="T69" s="270"/>
      <c r="U69" s="227"/>
      <c r="V69" s="56"/>
      <c r="W69" s="46"/>
    </row>
    <row r="70" spans="2:23">
      <c r="B70" s="77"/>
      <c r="C70" s="87"/>
      <c r="D70" s="88"/>
      <c r="E70" s="875"/>
      <c r="F70" s="897"/>
      <c r="K70" s="395"/>
      <c r="L70" s="395"/>
      <c r="M70" s="395"/>
      <c r="N70" s="612"/>
      <c r="O70" s="612"/>
      <c r="Q70" s="84"/>
      <c r="R70" s="75"/>
      <c r="S70" s="53"/>
      <c r="T70" s="270"/>
      <c r="U70" s="227"/>
      <c r="V70" s="56"/>
      <c r="W70" s="612"/>
    </row>
    <row r="71" spans="2:23">
      <c r="B71" s="719" t="s">
        <v>98</v>
      </c>
      <c r="C71" s="718" t="s">
        <v>99</v>
      </c>
      <c r="D71" s="1269" t="s">
        <v>100</v>
      </c>
      <c r="E71" s="1270"/>
      <c r="F71" s="897"/>
      <c r="K71" s="395"/>
      <c r="L71" s="395"/>
      <c r="M71" s="395"/>
      <c r="N71" s="612"/>
      <c r="O71" s="612"/>
      <c r="Q71" s="84"/>
      <c r="R71" s="75"/>
      <c r="S71" s="53"/>
      <c r="T71" s="270"/>
      <c r="U71" s="227"/>
      <c r="V71" s="56"/>
      <c r="W71" s="612"/>
    </row>
    <row r="72" spans="2:23">
      <c r="B72" s="1271" t="s">
        <v>162</v>
      </c>
      <c r="C72" s="1272"/>
      <c r="D72" s="1272"/>
      <c r="E72" s="1273"/>
      <c r="F72" s="897"/>
      <c r="G72" s="717" t="s">
        <v>162</v>
      </c>
      <c r="H72" s="717"/>
      <c r="I72" s="717"/>
      <c r="J72" s="717"/>
      <c r="K72" s="395"/>
      <c r="L72" s="395"/>
      <c r="M72" s="395"/>
      <c r="N72" s="612"/>
      <c r="O72" s="612"/>
      <c r="Q72" s="141"/>
      <c r="R72" s="99"/>
      <c r="S72" s="67"/>
      <c r="T72" s="142"/>
      <c r="U72" s="237"/>
      <c r="V72" s="56"/>
      <c r="W72" s="612"/>
    </row>
    <row r="73" spans="2:23" ht="18" customHeight="1">
      <c r="B73" s="1268" t="s">
        <v>165</v>
      </c>
      <c r="C73" s="1269"/>
      <c r="D73" s="1269"/>
      <c r="E73" s="1270"/>
      <c r="F73" s="252"/>
      <c r="G73" s="1280" t="s">
        <v>165</v>
      </c>
      <c r="H73" s="1280"/>
      <c r="I73" s="1280"/>
      <c r="J73" s="1280"/>
      <c r="K73" s="395"/>
      <c r="L73" s="395"/>
      <c r="M73" s="395"/>
      <c r="N73" s="612"/>
      <c r="O73" s="612"/>
      <c r="Q73" s="141"/>
      <c r="R73" s="99"/>
      <c r="S73" s="67"/>
      <c r="T73" s="142"/>
      <c r="U73" s="237"/>
      <c r="V73" s="68"/>
      <c r="W73" s="612"/>
    </row>
    <row r="74" spans="2:23" ht="17.25" thickBot="1">
      <c r="B74" s="720"/>
      <c r="C74" s="721"/>
      <c r="D74" s="722"/>
      <c r="E74" s="173"/>
      <c r="F74" s="285"/>
      <c r="G74" s="1280" t="s">
        <v>100</v>
      </c>
      <c r="H74" s="1280"/>
      <c r="I74" s="1280"/>
      <c r="J74" s="1280"/>
      <c r="K74" s="286"/>
      <c r="L74" s="286"/>
      <c r="M74" s="395"/>
      <c r="N74" s="612"/>
      <c r="O74" s="612"/>
      <c r="Q74" s="174"/>
      <c r="R74" s="175"/>
      <c r="S74" s="176"/>
      <c r="T74" s="177"/>
      <c r="U74" s="257"/>
      <c r="V74" s="179"/>
      <c r="W74" s="287"/>
    </row>
    <row r="75" spans="2:23" ht="17.25" thickTop="1">
      <c r="B75" s="180"/>
      <c r="C75" s="29"/>
      <c r="D75" s="29"/>
      <c r="E75" s="29"/>
      <c r="F75" s="897"/>
      <c r="G75" s="612"/>
      <c r="H75" s="612"/>
      <c r="I75" s="612"/>
      <c r="J75" s="612"/>
      <c r="K75" s="612"/>
      <c r="L75" s="612"/>
      <c r="M75" s="612"/>
      <c r="N75" s="612"/>
      <c r="O75" s="612"/>
      <c r="Q75" s="1281"/>
      <c r="R75" s="1281"/>
      <c r="S75" s="1281"/>
      <c r="T75" s="1281"/>
      <c r="U75" s="1281"/>
      <c r="V75" s="1281"/>
      <c r="W75" s="288"/>
    </row>
    <row r="76" spans="2:23" ht="20.25">
      <c r="B76" s="289" t="s">
        <v>180</v>
      </c>
      <c r="C76" s="897"/>
      <c r="D76" s="897"/>
      <c r="E76" s="897"/>
      <c r="F76" s="897"/>
      <c r="G76" s="612"/>
      <c r="H76" s="612"/>
      <c r="I76" s="612"/>
      <c r="J76" s="612"/>
      <c r="K76" s="612"/>
      <c r="L76" s="612"/>
      <c r="M76" s="612"/>
      <c r="N76" s="612"/>
      <c r="O76" s="612"/>
      <c r="Q76" s="612"/>
      <c r="R76" s="897"/>
      <c r="S76" s="612"/>
      <c r="T76" s="879"/>
      <c r="U76" s="879"/>
      <c r="V76" s="612"/>
      <c r="W76" s="57"/>
    </row>
    <row r="77" spans="2:23" ht="17.25" thickBot="1">
      <c r="B77" s="183" t="s">
        <v>46</v>
      </c>
      <c r="C77" s="184">
        <v>0.9</v>
      </c>
      <c r="D77" s="877" t="s">
        <v>47</v>
      </c>
      <c r="E77" s="290"/>
      <c r="F77" s="897"/>
      <c r="G77" s="612"/>
      <c r="H77" s="612"/>
      <c r="I77" s="612"/>
      <c r="J77" s="612"/>
      <c r="K77" s="612"/>
      <c r="L77" s="612"/>
      <c r="M77" s="612"/>
      <c r="N77" s="612"/>
      <c r="O77" s="612"/>
      <c r="Q77" s="24" t="s">
        <v>59</v>
      </c>
      <c r="R77" s="25">
        <f>ROUNDUP(E78*E79/3.3025,2)</f>
        <v>0</v>
      </c>
      <c r="S77" s="612" t="s">
        <v>60</v>
      </c>
      <c r="T77" s="1283">
        <f>ROUNDUP(E78*E79,2)</f>
        <v>0</v>
      </c>
      <c r="U77" s="1283"/>
      <c r="V77" s="26" t="s">
        <v>61</v>
      </c>
      <c r="W77" s="57"/>
    </row>
    <row r="78" spans="2:23" ht="18" thickTop="1" thickBot="1">
      <c r="B78" s="183" t="s">
        <v>54</v>
      </c>
      <c r="C78" s="187" t="s">
        <v>55</v>
      </c>
      <c r="D78" s="187" t="s">
        <v>56</v>
      </c>
      <c r="E78" s="291"/>
      <c r="F78" s="897"/>
      <c r="G78" s="292" t="s">
        <v>47</v>
      </c>
      <c r="H78" s="293" t="s">
        <v>48</v>
      </c>
      <c r="I78" s="294" t="s">
        <v>49</v>
      </c>
      <c r="J78" s="295" t="s">
        <v>181</v>
      </c>
      <c r="L78" s="612"/>
      <c r="M78" s="612"/>
      <c r="N78" s="612"/>
      <c r="O78" s="612"/>
      <c r="Q78" s="32" t="s">
        <v>64</v>
      </c>
      <c r="R78" s="33" t="s">
        <v>49</v>
      </c>
      <c r="S78" s="1284" t="s">
        <v>139</v>
      </c>
      <c r="T78" s="1285"/>
      <c r="U78" s="34" t="s">
        <v>66</v>
      </c>
      <c r="V78" s="35" t="s">
        <v>67</v>
      </c>
      <c r="W78" s="191"/>
    </row>
    <row r="79" spans="2:23" ht="17.25" thickTop="1">
      <c r="B79" s="192" t="str">
        <f>TEXT(E78*E79/3.3025,"0.00")&amp;"평"</f>
        <v>0.00평</v>
      </c>
      <c r="C79" s="193">
        <v>0.05</v>
      </c>
      <c r="D79" s="296" t="s">
        <v>182</v>
      </c>
      <c r="E79" s="194"/>
      <c r="F79" s="29"/>
      <c r="G79" s="297">
        <v>1</v>
      </c>
      <c r="H79" s="298" t="s">
        <v>183</v>
      </c>
      <c r="I79" s="299" t="s">
        <v>184</v>
      </c>
      <c r="J79" s="300">
        <v>100</v>
      </c>
      <c r="K79" s="403"/>
      <c r="L79" s="612"/>
      <c r="M79" s="612"/>
      <c r="N79" s="612"/>
      <c r="O79" s="612"/>
      <c r="Q79" s="265">
        <f>B81</f>
        <v>0</v>
      </c>
      <c r="R79" s="41">
        <f>E81</f>
        <v>0</v>
      </c>
      <c r="S79" s="301">
        <f>IF(E78&gt;0,ROUNDUP((E78/(C82/1000))*ROUNDUP((E79/(E81/1000)),0)*(1+E82),0),0)</f>
        <v>0</v>
      </c>
      <c r="T79" s="266">
        <f>IF(S79&gt;1,"개",)</f>
        <v>0</v>
      </c>
      <c r="U79" s="302"/>
      <c r="V79" s="303"/>
      <c r="W79" s="57"/>
    </row>
    <row r="80" spans="2:23" ht="17.25" thickBot="1">
      <c r="B80" s="1319" t="s">
        <v>185</v>
      </c>
      <c r="C80" s="1320"/>
      <c r="D80" s="304" t="s">
        <v>70</v>
      </c>
      <c r="E80" s="305"/>
      <c r="F80" s="29"/>
      <c r="G80" s="306">
        <v>2</v>
      </c>
      <c r="H80" s="307" t="s">
        <v>186</v>
      </c>
      <c r="I80" s="308" t="s">
        <v>187</v>
      </c>
      <c r="J80" s="309">
        <v>200</v>
      </c>
      <c r="K80" s="403"/>
      <c r="L80" s="612"/>
      <c r="M80" s="612"/>
      <c r="N80" s="612"/>
      <c r="O80" s="612"/>
      <c r="Q80" s="269" t="str">
        <f>B84</f>
        <v>KS 엠바</v>
      </c>
      <c r="R80" s="75">
        <f>C84</f>
        <v>4000</v>
      </c>
      <c r="S80" s="53">
        <f>ROUNDUP(E79/0.3*E78/(C84/1000)*(1+C79),0)</f>
        <v>0</v>
      </c>
      <c r="T80" s="310">
        <f t="shared" ref="T80:T93" si="9">IF(S80&gt;1,"개",)</f>
        <v>0</v>
      </c>
      <c r="U80" s="311"/>
      <c r="V80" s="56"/>
      <c r="W80" s="46"/>
    </row>
    <row r="81" spans="2:23">
      <c r="B81" s="1321">
        <f>IFERROR(VLOOKUP(E77,G78:J80,2)&amp;VLOOKUP(E80,G82:H84,2),)</f>
        <v>0</v>
      </c>
      <c r="C81" s="1322"/>
      <c r="D81" s="431" t="s">
        <v>188</v>
      </c>
      <c r="E81" s="312"/>
      <c r="F81" s="29"/>
      <c r="G81" s="57"/>
      <c r="H81" s="612"/>
      <c r="I81" s="612"/>
      <c r="J81" s="612"/>
      <c r="K81" s="612"/>
      <c r="L81" s="612"/>
      <c r="M81" s="612"/>
      <c r="N81" s="612"/>
      <c r="O81" s="612"/>
      <c r="Q81" s="269" t="str">
        <f>B85</f>
        <v>캐 링 KS</v>
      </c>
      <c r="R81" s="75">
        <f>C85</f>
        <v>4000</v>
      </c>
      <c r="S81" s="53">
        <f>ROUNDUP(E78/C77*E79/(C85/1000)*(1+C79),0)</f>
        <v>0</v>
      </c>
      <c r="T81" s="310">
        <f t="shared" si="9"/>
        <v>0</v>
      </c>
      <c r="U81" s="311"/>
      <c r="V81" s="56"/>
      <c r="W81" s="46"/>
    </row>
    <row r="82" spans="2:23" ht="17.25" thickBot="1">
      <c r="B82" s="58" t="s">
        <v>189</v>
      </c>
      <c r="C82" s="59">
        <f>IFERROR(VLOOKUP(E77,G78:J80,4),)</f>
        <v>0</v>
      </c>
      <c r="D82" s="313" t="s">
        <v>190</v>
      </c>
      <c r="E82" s="314">
        <v>0.02</v>
      </c>
      <c r="F82" s="897"/>
      <c r="G82" s="239" t="s">
        <v>155</v>
      </c>
      <c r="H82" s="239" t="s">
        <v>191</v>
      </c>
      <c r="I82" s="315"/>
      <c r="J82" s="315"/>
      <c r="K82" s="612"/>
      <c r="L82" s="612"/>
      <c r="M82" s="612"/>
      <c r="N82" s="612"/>
      <c r="O82" s="612"/>
      <c r="Q82" s="279" t="str">
        <f>IF(E86=1,B86,)</f>
        <v>마이너 KS</v>
      </c>
      <c r="R82" s="99">
        <f>IF(E86=1,C86,)</f>
        <v>4000</v>
      </c>
      <c r="S82" s="67">
        <f>IFERROR(IF(E86=1,ROUNDUP(E79/E87*E78/(C86/1000)*(1+C79),0),0) + IF(AND(E86=1, E90=2), ROUNDUP(E79/E91*E78/(C86/1000)*(1+C79),0),0),0)</f>
        <v>0</v>
      </c>
      <c r="T82" s="310">
        <f t="shared" si="9"/>
        <v>0</v>
      </c>
      <c r="U82" s="311"/>
      <c r="V82" s="68"/>
      <c r="W82" s="46"/>
    </row>
    <row r="83" spans="2:23">
      <c r="B83" s="63" t="s">
        <v>77</v>
      </c>
      <c r="C83" s="876" t="s">
        <v>78</v>
      </c>
      <c r="D83" s="1274" t="s">
        <v>79</v>
      </c>
      <c r="E83" s="1275"/>
      <c r="F83" s="897"/>
      <c r="G83" s="316">
        <v>1</v>
      </c>
      <c r="H83" s="317" t="s">
        <v>192</v>
      </c>
      <c r="I83" s="318"/>
      <c r="J83" s="318"/>
      <c r="K83" s="612"/>
      <c r="L83" s="612"/>
      <c r="M83" s="612"/>
      <c r="N83" s="612"/>
      <c r="O83" s="612"/>
      <c r="Q83" s="269">
        <f>B87</f>
        <v>0</v>
      </c>
      <c r="R83" s="75">
        <f>C87</f>
        <v>3000</v>
      </c>
      <c r="S83" s="53">
        <f>ROUNDUP((E78+E79)*2/(C87/1000)*(1+C79),)</f>
        <v>0</v>
      </c>
      <c r="T83" s="310">
        <f t="shared" si="9"/>
        <v>0</v>
      </c>
      <c r="U83" s="311"/>
      <c r="V83" s="76"/>
      <c r="W83" s="46"/>
    </row>
    <row r="84" spans="2:23">
      <c r="B84" s="69" t="s">
        <v>150</v>
      </c>
      <c r="C84" s="70">
        <v>4000</v>
      </c>
      <c r="D84" s="71"/>
      <c r="E84" s="72"/>
      <c r="F84" s="897"/>
      <c r="G84" s="239">
        <v>2</v>
      </c>
      <c r="H84" s="319" t="s">
        <v>193</v>
      </c>
      <c r="I84" s="612"/>
      <c r="J84" s="612"/>
      <c r="K84" s="612"/>
      <c r="L84" s="612"/>
      <c r="M84" s="612"/>
      <c r="N84" s="612"/>
      <c r="O84" s="612"/>
      <c r="Q84" s="269" t="str">
        <f>B88</f>
        <v>볼 트</v>
      </c>
      <c r="R84" s="75">
        <f>C88</f>
        <v>3000</v>
      </c>
      <c r="S84" s="53">
        <f>ROUNDUP(E78/C77*E79/E88*(1+C79),0)</f>
        <v>0</v>
      </c>
      <c r="T84" s="310">
        <f t="shared" si="9"/>
        <v>0</v>
      </c>
      <c r="U84" s="311"/>
      <c r="V84" s="81"/>
      <c r="W84" s="46"/>
    </row>
    <row r="85" spans="2:23">
      <c r="B85" s="77" t="s">
        <v>151</v>
      </c>
      <c r="C85" s="78">
        <v>4000</v>
      </c>
      <c r="D85" s="88"/>
      <c r="E85" s="223"/>
      <c r="F85" s="897"/>
      <c r="G85" s="320">
        <v>3</v>
      </c>
      <c r="H85" s="321" t="s">
        <v>194</v>
      </c>
      <c r="I85" s="612"/>
      <c r="J85" s="612"/>
      <c r="K85" s="612"/>
      <c r="L85" s="612"/>
      <c r="M85" s="612"/>
      <c r="N85" s="612"/>
      <c r="O85" s="612"/>
      <c r="Q85" s="84" t="str">
        <f>B89</f>
        <v>항가 150 KS</v>
      </c>
      <c r="R85" s="75"/>
      <c r="S85" s="53">
        <f>ROUNDUP(E78/C77*E79*(1+C79),0)</f>
        <v>0</v>
      </c>
      <c r="T85" s="310">
        <f t="shared" si="9"/>
        <v>0</v>
      </c>
      <c r="U85" s="322"/>
      <c r="V85" s="86"/>
      <c r="W85" s="46"/>
    </row>
    <row r="86" spans="2:23">
      <c r="B86" s="77" t="s">
        <v>84</v>
      </c>
      <c r="C86" s="78">
        <v>4000</v>
      </c>
      <c r="D86" s="79" t="s">
        <v>83</v>
      </c>
      <c r="E86" s="80">
        <v>1</v>
      </c>
      <c r="F86" s="897"/>
      <c r="G86" s="46"/>
      <c r="H86" s="612"/>
      <c r="I86" s="612"/>
      <c r="J86" s="612"/>
      <c r="K86" s="612"/>
      <c r="L86" s="612"/>
      <c r="M86" s="612"/>
      <c r="N86" s="612"/>
      <c r="O86" s="612"/>
      <c r="Q86" s="84" t="s">
        <v>88</v>
      </c>
      <c r="R86" s="75"/>
      <c r="S86" s="53">
        <f>ROUNDUP(E78/C77*E79*(1+C79),-1)</f>
        <v>0</v>
      </c>
      <c r="T86" s="310">
        <f t="shared" si="9"/>
        <v>0</v>
      </c>
      <c r="U86" s="322"/>
      <c r="V86" s="76"/>
      <c r="W86" s="46"/>
    </row>
    <row r="87" spans="2:23">
      <c r="B87" s="77">
        <f>IFERROR(VLOOKUP(E77,G78:J80,2)&amp;VLOOKUP(E80,G82:H84,2)&amp;" 몰딩",)</f>
        <v>0</v>
      </c>
      <c r="C87" s="87">
        <v>3000</v>
      </c>
      <c r="D87" s="82" t="s">
        <v>85</v>
      </c>
      <c r="E87" s="230">
        <v>2.5</v>
      </c>
      <c r="F87" s="897"/>
      <c r="G87" s="1310" t="str">
        <f>B81&amp;" "&amp;E81&amp;" 수량/장"</f>
        <v>0  수량/장</v>
      </c>
      <c r="H87" s="1311"/>
      <c r="I87" s="114">
        <f>S79</f>
        <v>0</v>
      </c>
      <c r="J87" s="612"/>
      <c r="K87" s="612"/>
      <c r="L87" s="612"/>
      <c r="M87" s="612"/>
      <c r="N87" s="612"/>
      <c r="O87" s="612"/>
      <c r="Q87" s="93" t="s">
        <v>92</v>
      </c>
      <c r="R87" s="75"/>
      <c r="S87" s="53">
        <f>ROUNDUP(E78/C77*E79*(1+C79),0)</f>
        <v>0</v>
      </c>
      <c r="T87" s="310">
        <f t="shared" si="9"/>
        <v>0</v>
      </c>
      <c r="U87" s="322"/>
      <c r="V87" s="56"/>
      <c r="W87" s="46"/>
    </row>
    <row r="88" spans="2:23">
      <c r="B88" s="77" t="s">
        <v>89</v>
      </c>
      <c r="C88" s="91">
        <v>3000</v>
      </c>
      <c r="D88" s="88" t="s">
        <v>90</v>
      </c>
      <c r="E88" s="92">
        <v>1</v>
      </c>
      <c r="F88" s="897"/>
      <c r="G88" s="1297" t="s">
        <v>115</v>
      </c>
      <c r="H88" s="1286"/>
      <c r="I88" s="124">
        <f>C82/1000*E81/1000*S79</f>
        <v>0</v>
      </c>
      <c r="J88" s="612"/>
      <c r="K88" s="612"/>
      <c r="L88" s="612"/>
      <c r="M88" s="612"/>
      <c r="N88" s="612"/>
      <c r="O88" s="612"/>
      <c r="Q88" s="84" t="s">
        <v>95</v>
      </c>
      <c r="R88" s="75"/>
      <c r="S88" s="53">
        <f>ROUNDUP(E78/C77*E79*2*(1+C79),-1)</f>
        <v>0</v>
      </c>
      <c r="T88" s="310">
        <f t="shared" si="9"/>
        <v>0</v>
      </c>
      <c r="U88" s="322"/>
      <c r="V88" s="56"/>
      <c r="W88" s="46"/>
    </row>
    <row r="89" spans="2:23">
      <c r="B89" s="94" t="s">
        <v>93</v>
      </c>
      <c r="C89" s="236"/>
      <c r="D89" s="323"/>
      <c r="E89" s="324"/>
      <c r="F89" s="897"/>
      <c r="G89" s="1297" t="s">
        <v>119</v>
      </c>
      <c r="H89" s="1286"/>
      <c r="I89" s="325">
        <f>T77</f>
        <v>0</v>
      </c>
      <c r="J89" s="612"/>
      <c r="K89" s="612"/>
      <c r="L89" s="612"/>
      <c r="M89" s="612"/>
      <c r="N89" s="612"/>
      <c r="O89" s="612"/>
      <c r="Q89" s="74" t="str">
        <f>IF(E90&gt;0, "내진 엠바 크립", "KS 크립")</f>
        <v>KS 크립</v>
      </c>
      <c r="R89" s="99"/>
      <c r="S89" s="67">
        <f>ROUNDUP(E79/0.3*E78*(1+C79),-1)</f>
        <v>0</v>
      </c>
      <c r="T89" s="310">
        <f t="shared" si="9"/>
        <v>0</v>
      </c>
      <c r="U89" s="326"/>
      <c r="V89" s="68"/>
      <c r="W89" s="46"/>
    </row>
    <row r="90" spans="2:23">
      <c r="B90" s="327"/>
      <c r="C90" s="87"/>
      <c r="D90" s="96" t="s">
        <v>94</v>
      </c>
      <c r="E90" s="80"/>
      <c r="F90" s="897"/>
      <c r="G90" s="1298" t="s">
        <v>123</v>
      </c>
      <c r="H90" s="1288"/>
      <c r="I90" s="133">
        <f>I88-I89</f>
        <v>0</v>
      </c>
      <c r="J90" s="612"/>
      <c r="K90" s="612"/>
      <c r="L90" s="612"/>
      <c r="M90" s="612"/>
      <c r="N90" s="612"/>
      <c r="O90" s="612"/>
      <c r="Q90" s="84" t="s">
        <v>195</v>
      </c>
      <c r="R90" s="75"/>
      <c r="S90" s="53">
        <f>ROUNDUP(S80,-1)</f>
        <v>0</v>
      </c>
      <c r="T90" s="310">
        <f t="shared" si="9"/>
        <v>0</v>
      </c>
      <c r="U90" s="322"/>
      <c r="V90" s="56"/>
      <c r="W90" s="46"/>
    </row>
    <row r="91" spans="2:23" ht="17.25" thickBot="1">
      <c r="B91" s="77"/>
      <c r="C91" s="1278" t="s">
        <v>96</v>
      </c>
      <c r="D91" s="1279"/>
      <c r="E91" s="80">
        <v>1.8</v>
      </c>
      <c r="F91" s="897"/>
      <c r="G91" s="1306" t="s">
        <v>127</v>
      </c>
      <c r="H91" s="1307"/>
      <c r="I91" s="250">
        <f>IFERROR(I90/(100/1000)/(E81/1000),)</f>
        <v>0</v>
      </c>
      <c r="J91" s="612"/>
      <c r="K91" s="612"/>
      <c r="L91" s="612"/>
      <c r="M91" s="612"/>
      <c r="N91" s="612"/>
      <c r="O91" s="612"/>
      <c r="Q91" s="103" t="s">
        <v>103</v>
      </c>
      <c r="R91" s="104"/>
      <c r="S91" s="105">
        <f>ROUNDUP(S81,-1)</f>
        <v>0</v>
      </c>
      <c r="T91" s="310">
        <f t="shared" si="9"/>
        <v>0</v>
      </c>
      <c r="U91" s="328"/>
      <c r="V91" s="107"/>
      <c r="W91" s="46"/>
    </row>
    <row r="92" spans="2:23">
      <c r="B92" s="77"/>
      <c r="C92" s="87"/>
      <c r="D92" s="88"/>
      <c r="E92" s="875"/>
      <c r="F92" s="897"/>
      <c r="H92" s="612"/>
      <c r="I92" s="612"/>
      <c r="J92" s="612"/>
      <c r="K92" s="612"/>
      <c r="L92" s="612"/>
      <c r="M92" s="612"/>
      <c r="N92" s="612"/>
      <c r="O92" s="612"/>
      <c r="Q92" s="284" t="str">
        <f>IF(E86=1,"마이너크립",)</f>
        <v>마이너크립</v>
      </c>
      <c r="R92" s="99"/>
      <c r="S92" s="67">
        <f>IF(E86=1,ROUNDUP(E79/E87*E78*(1+C79),-1),)</f>
        <v>0</v>
      </c>
      <c r="T92" s="310">
        <f t="shared" si="9"/>
        <v>0</v>
      </c>
      <c r="U92" s="326"/>
      <c r="V92" s="56"/>
      <c r="W92" s="612"/>
    </row>
    <row r="93" spans="2:23">
      <c r="B93" s="719" t="s">
        <v>98</v>
      </c>
      <c r="C93" s="718" t="s">
        <v>99</v>
      </c>
      <c r="D93" s="1269" t="s">
        <v>100</v>
      </c>
      <c r="E93" s="1270"/>
      <c r="F93" s="897"/>
      <c r="G93" s="46"/>
      <c r="H93" s="612"/>
      <c r="I93" s="612"/>
      <c r="J93" s="612"/>
      <c r="K93" s="612"/>
      <c r="L93" s="612"/>
      <c r="M93" s="612"/>
      <c r="N93" s="612"/>
      <c r="O93" s="612"/>
      <c r="Q93" s="141">
        <f>IF(E90=2,"MB 크립",)</f>
        <v>0</v>
      </c>
      <c r="R93" s="99"/>
      <c r="S93" s="67">
        <f>IF(E90=2,ROUNDUP(E78*E79/2*(1+C79),-1),)</f>
        <v>0</v>
      </c>
      <c r="T93" s="310">
        <f t="shared" si="9"/>
        <v>0</v>
      </c>
      <c r="U93" s="326"/>
      <c r="V93" s="68"/>
      <c r="W93" s="612"/>
    </row>
    <row r="94" spans="2:23">
      <c r="B94" s="1271" t="s">
        <v>162</v>
      </c>
      <c r="C94" s="1272"/>
      <c r="D94" s="1272"/>
      <c r="E94" s="1273"/>
      <c r="F94" s="897"/>
      <c r="G94" s="46"/>
      <c r="H94" s="612"/>
      <c r="I94" s="612"/>
      <c r="J94" s="612"/>
      <c r="K94" s="612"/>
      <c r="L94" s="612"/>
      <c r="M94" s="612"/>
      <c r="N94" s="612"/>
      <c r="O94" s="612"/>
      <c r="Q94" s="84" t="s">
        <v>196</v>
      </c>
      <c r="R94" s="75"/>
      <c r="S94" s="53">
        <f>IF(E78&gt;0,TRUNC(E79/(E81/999))*ROUNDUP(E78/3,0),)</f>
        <v>0</v>
      </c>
      <c r="T94" s="310">
        <f>IF(S94&gt;1,"개",)</f>
        <v>0</v>
      </c>
      <c r="U94" s="329"/>
      <c r="V94" s="56"/>
      <c r="W94" s="612"/>
    </row>
    <row r="95" spans="2:23">
      <c r="B95" s="1268" t="s">
        <v>165</v>
      </c>
      <c r="C95" s="1269"/>
      <c r="D95" s="1269"/>
      <c r="E95" s="1270"/>
      <c r="F95" s="252"/>
      <c r="G95" s="612"/>
      <c r="H95" s="612"/>
      <c r="I95" s="612"/>
      <c r="J95" s="612"/>
      <c r="K95" s="612"/>
      <c r="L95" s="612"/>
      <c r="M95" s="612"/>
      <c r="N95" s="612"/>
      <c r="O95" s="612"/>
      <c r="Q95" s="84"/>
      <c r="R95" s="75"/>
      <c r="S95" s="53"/>
      <c r="T95" s="310"/>
      <c r="U95" s="329"/>
      <c r="V95" s="56"/>
      <c r="W95" s="612"/>
    </row>
    <row r="96" spans="2:23" ht="17.25" thickBot="1">
      <c r="B96" s="720"/>
      <c r="C96" s="721"/>
      <c r="D96" s="722"/>
      <c r="E96" s="173"/>
      <c r="F96" s="285"/>
      <c r="G96" s="330"/>
      <c r="H96" s="612"/>
      <c r="I96" s="612"/>
      <c r="J96" s="612"/>
      <c r="K96" s="612"/>
      <c r="L96" s="612"/>
      <c r="M96" s="612"/>
      <c r="N96" s="612"/>
      <c r="O96" s="612"/>
      <c r="Q96" s="331"/>
      <c r="R96" s="332"/>
      <c r="S96" s="333"/>
      <c r="T96" s="334"/>
      <c r="U96" s="335"/>
      <c r="V96" s="336"/>
      <c r="W96" s="612"/>
    </row>
    <row r="97" spans="2:23" ht="17.25" thickTop="1">
      <c r="B97" s="180"/>
      <c r="C97" s="29"/>
      <c r="D97" s="29"/>
      <c r="E97" s="29"/>
      <c r="F97" s="897"/>
      <c r="G97" s="612"/>
      <c r="H97" s="612"/>
      <c r="I97" s="612"/>
      <c r="J97" s="612"/>
      <c r="K97" s="612"/>
      <c r="L97" s="612"/>
      <c r="M97" s="612"/>
      <c r="N97" s="612"/>
      <c r="O97" s="612"/>
      <c r="Q97" s="1281"/>
      <c r="R97" s="1281"/>
      <c r="S97" s="1281"/>
      <c r="T97" s="1281"/>
      <c r="U97" s="1281"/>
      <c r="V97" s="1281"/>
      <c r="W97" s="46"/>
    </row>
    <row r="98" spans="2:23">
      <c r="B98" s="884"/>
      <c r="C98" s="897"/>
      <c r="D98" s="874"/>
      <c r="E98" s="874"/>
      <c r="F98" s="897"/>
      <c r="G98" s="612"/>
      <c r="H98" s="612"/>
      <c r="I98" s="612"/>
      <c r="J98" s="612"/>
      <c r="K98" s="612"/>
      <c r="L98" s="612"/>
      <c r="M98" s="612"/>
      <c r="N98" s="612"/>
      <c r="O98" s="612"/>
      <c r="Q98" s="612"/>
      <c r="R98" s="897"/>
      <c r="S98" s="612"/>
      <c r="T98" s="879"/>
      <c r="U98" s="879"/>
      <c r="V98" s="612"/>
      <c r="W98" s="57"/>
    </row>
    <row r="99" spans="2:23" ht="20.25">
      <c r="B99" s="1323" t="s">
        <v>197</v>
      </c>
      <c r="C99" s="1323"/>
      <c r="D99" s="877" t="s">
        <v>47</v>
      </c>
      <c r="E99" s="290"/>
      <c r="F99" s="879"/>
      <c r="G99" s="612"/>
      <c r="H99" s="612"/>
      <c r="I99" s="612"/>
      <c r="J99" s="612"/>
      <c r="K99" s="612"/>
      <c r="L99" s="612"/>
      <c r="M99" s="612"/>
      <c r="N99" s="612"/>
      <c r="O99" s="612"/>
      <c r="Q99" s="612"/>
      <c r="R99" s="897"/>
      <c r="S99" s="612"/>
      <c r="T99" s="879"/>
      <c r="U99" s="879"/>
      <c r="V99" s="612"/>
      <c r="W99" s="57"/>
    </row>
    <row r="100" spans="2:23" ht="17.25" thickBot="1">
      <c r="B100" s="183" t="s">
        <v>46</v>
      </c>
      <c r="C100" s="184">
        <v>0.9</v>
      </c>
      <c r="D100" s="337" t="s">
        <v>198</v>
      </c>
      <c r="E100" s="338"/>
      <c r="F100" s="879"/>
      <c r="G100" s="46"/>
      <c r="H100" s="612"/>
      <c r="I100" s="46"/>
      <c r="J100" s="612"/>
      <c r="K100" s="612"/>
      <c r="L100" s="612"/>
      <c r="M100" s="612"/>
      <c r="N100" s="612"/>
      <c r="O100" s="612"/>
      <c r="Q100" s="24" t="s">
        <v>59</v>
      </c>
      <c r="R100" s="25">
        <f>ROUNDUP(E101*E102/3.3025,2)</f>
        <v>0</v>
      </c>
      <c r="S100" s="612" t="s">
        <v>60</v>
      </c>
      <c r="T100" s="1283">
        <f>ROUNDUP(E101*E102,2)</f>
        <v>0</v>
      </c>
      <c r="U100" s="1283"/>
      <c r="V100" s="26" t="s">
        <v>61</v>
      </c>
      <c r="W100" s="57"/>
    </row>
    <row r="101" spans="2:23" ht="18" thickTop="1" thickBot="1">
      <c r="B101" s="183" t="s">
        <v>54</v>
      </c>
      <c r="C101" s="187" t="s">
        <v>55</v>
      </c>
      <c r="D101" s="188" t="s">
        <v>56</v>
      </c>
      <c r="E101" s="194"/>
      <c r="F101" s="897"/>
      <c r="G101" s="190" t="s">
        <v>47</v>
      </c>
      <c r="H101" s="14" t="s">
        <v>48</v>
      </c>
      <c r="I101" s="16" t="s">
        <v>49</v>
      </c>
      <c r="K101" s="408"/>
      <c r="L101" s="408" t="s">
        <v>50</v>
      </c>
      <c r="M101" s="408" t="s">
        <v>51</v>
      </c>
      <c r="N101" s="408" t="s">
        <v>52</v>
      </c>
      <c r="O101" s="897"/>
      <c r="Q101" s="32" t="s">
        <v>64</v>
      </c>
      <c r="R101" s="33" t="s">
        <v>49</v>
      </c>
      <c r="S101" s="1284" t="s">
        <v>139</v>
      </c>
      <c r="T101" s="1285"/>
      <c r="U101" s="34" t="s">
        <v>66</v>
      </c>
      <c r="V101" s="35" t="s">
        <v>67</v>
      </c>
      <c r="W101" s="191"/>
    </row>
    <row r="102" spans="2:23" ht="17.25" thickTop="1">
      <c r="B102" s="192" t="str">
        <f>TEXT(E101*E102/3.3025,"0.00")&amp;"평"</f>
        <v>0.00평</v>
      </c>
      <c r="C102" s="193">
        <v>0.05</v>
      </c>
      <c r="D102" s="339" t="s">
        <v>62</v>
      </c>
      <c r="E102" s="340"/>
      <c r="F102" s="29"/>
      <c r="G102" s="341">
        <v>1</v>
      </c>
      <c r="H102" s="342" t="s">
        <v>199</v>
      </c>
      <c r="I102" s="427" t="s">
        <v>200</v>
      </c>
      <c r="J102" s="425" t="s">
        <v>201</v>
      </c>
      <c r="K102" s="401"/>
      <c r="L102" s="408">
        <v>0.9</v>
      </c>
      <c r="M102" s="408">
        <v>1.8</v>
      </c>
      <c r="N102" s="408">
        <f t="shared" ref="N102:N107" si="10">L102*M102</f>
        <v>1.62</v>
      </c>
      <c r="O102" s="897"/>
      <c r="Q102" s="265" t="str">
        <f>B104</f>
        <v/>
      </c>
      <c r="R102" s="41" t="str">
        <f>C104</f>
        <v/>
      </c>
      <c r="S102" s="42">
        <f>ROUNDUP(T100/1.62*E100*(1+C102),0)</f>
        <v>0</v>
      </c>
      <c r="T102" s="266">
        <f>IF(S102&gt;1,"장",)</f>
        <v>0</v>
      </c>
      <c r="U102" s="343"/>
      <c r="V102" s="45"/>
      <c r="W102" s="57"/>
    </row>
    <row r="103" spans="2:23">
      <c r="B103" s="203" t="s">
        <v>142</v>
      </c>
      <c r="C103" s="344" t="s">
        <v>69</v>
      </c>
      <c r="D103" s="865" t="s">
        <v>143</v>
      </c>
      <c r="E103" s="345"/>
      <c r="F103" s="29"/>
      <c r="G103" s="346">
        <v>2</v>
      </c>
      <c r="H103" s="347" t="s">
        <v>199</v>
      </c>
      <c r="I103" s="428" t="s">
        <v>202</v>
      </c>
      <c r="J103" s="425" t="s">
        <v>201</v>
      </c>
      <c r="K103" s="401"/>
      <c r="L103" s="408">
        <v>0.9</v>
      </c>
      <c r="M103" s="408">
        <v>2.4</v>
      </c>
      <c r="N103" s="426">
        <f t="shared" si="10"/>
        <v>2.16</v>
      </c>
      <c r="O103" s="897"/>
      <c r="Q103" s="74" t="str">
        <f>B107</f>
        <v>KS 엠바</v>
      </c>
      <c r="R103" s="52">
        <f>C107</f>
        <v>4000</v>
      </c>
      <c r="S103" s="100">
        <f>ROUNDUP(E102/0.3*E101/(C107/1000)*(1+C102)+(((E101+E102)*2)/(C107/1000)),0)</f>
        <v>0</v>
      </c>
      <c r="T103" s="348">
        <f t="shared" ref="T103:T116" si="11">IF(S103&gt;1,"개",)</f>
        <v>0</v>
      </c>
      <c r="U103" s="349"/>
      <c r="V103" s="56"/>
      <c r="W103" s="46"/>
    </row>
    <row r="104" spans="2:23">
      <c r="B104" s="350" t="str">
        <f>IFERROR(VLOOKUP(E99,G101:N111,2),"")</f>
        <v/>
      </c>
      <c r="C104" s="351" t="str">
        <f>IFERROR(VLOOKUP(E99,G101:N111,3),"")</f>
        <v/>
      </c>
      <c r="D104" s="866" t="s">
        <v>203</v>
      </c>
      <c r="E104" s="869"/>
      <c r="F104" s="29"/>
      <c r="G104" s="352">
        <v>3</v>
      </c>
      <c r="H104" s="353" t="s">
        <v>204</v>
      </c>
      <c r="I104" s="429" t="s">
        <v>200</v>
      </c>
      <c r="J104" s="425" t="s">
        <v>201</v>
      </c>
      <c r="K104" s="401"/>
      <c r="L104" s="408">
        <v>0.9</v>
      </c>
      <c r="M104" s="408">
        <v>1.8</v>
      </c>
      <c r="N104" s="408">
        <f t="shared" si="10"/>
        <v>1.62</v>
      </c>
      <c r="O104" s="354"/>
      <c r="Q104" s="74" t="str">
        <f>B108</f>
        <v>캐 링 KS</v>
      </c>
      <c r="R104" s="52">
        <f>C108</f>
        <v>4000</v>
      </c>
      <c r="S104" s="100">
        <f>ROUNDUP(E101/C100*E102/(C108/1000)*(1+C102),0)</f>
        <v>0</v>
      </c>
      <c r="T104" s="348">
        <f t="shared" si="11"/>
        <v>0</v>
      </c>
      <c r="U104" s="349"/>
      <c r="V104" s="56"/>
      <c r="W104" s="46"/>
    </row>
    <row r="105" spans="2:23">
      <c r="B105" s="276"/>
      <c r="C105" s="277"/>
      <c r="D105" s="273" t="str">
        <f>IFERROR(VLOOKUP(E99,G101:N111,6),"")</f>
        <v/>
      </c>
      <c r="E105" s="274" t="str">
        <f>IFERROR(VLOOKUP(E99,G101:N111,7),"")</f>
        <v/>
      </c>
      <c r="F105" s="897"/>
      <c r="G105" s="355">
        <v>4</v>
      </c>
      <c r="H105" s="347" t="s">
        <v>205</v>
      </c>
      <c r="I105" s="429" t="s">
        <v>200</v>
      </c>
      <c r="J105" s="425" t="s">
        <v>201</v>
      </c>
      <c r="K105" s="401"/>
      <c r="L105" s="408">
        <v>0.9</v>
      </c>
      <c r="M105" s="408">
        <v>1.8</v>
      </c>
      <c r="N105" s="408">
        <f t="shared" si="10"/>
        <v>1.62</v>
      </c>
      <c r="O105" s="897"/>
      <c r="Q105" s="74" t="str">
        <f>IF(E109=1,B109,)</f>
        <v>마이너 KS</v>
      </c>
      <c r="R105" s="52">
        <f>IF(E109=1,C109,)</f>
        <v>4000</v>
      </c>
      <c r="S105" s="100">
        <f>IFERROR(IF(E109=1, ROUNDUP(E102/E110*E101/(C109/1000)*(1+C102), 0), 0) + IF(AND(E109=1, E112=2), ROUNDUP(E102/E113*E101/(C109/1000)*(1+C102), 0), 0), 0)</f>
        <v>0</v>
      </c>
      <c r="T105" s="348">
        <f t="shared" si="11"/>
        <v>0</v>
      </c>
      <c r="U105" s="349"/>
      <c r="V105" s="68"/>
      <c r="W105" s="46"/>
    </row>
    <row r="106" spans="2:23">
      <c r="B106" s="63" t="s">
        <v>77</v>
      </c>
      <c r="C106" s="876" t="s">
        <v>78</v>
      </c>
      <c r="D106" s="1274" t="s">
        <v>79</v>
      </c>
      <c r="E106" s="1275"/>
      <c r="F106" s="897"/>
      <c r="G106" s="352">
        <v>5</v>
      </c>
      <c r="H106" s="356" t="s">
        <v>206</v>
      </c>
      <c r="I106" s="429" t="s">
        <v>200</v>
      </c>
      <c r="J106" s="425" t="s">
        <v>201</v>
      </c>
      <c r="K106" s="401"/>
      <c r="L106" s="408">
        <v>0.9</v>
      </c>
      <c r="M106" s="408">
        <v>1.8</v>
      </c>
      <c r="N106" s="408">
        <f t="shared" si="10"/>
        <v>1.62</v>
      </c>
      <c r="O106" s="897"/>
      <c r="Q106" s="74" t="str">
        <f>B110</f>
        <v/>
      </c>
      <c r="R106" s="52">
        <f>C110</f>
        <v>3000</v>
      </c>
      <c r="S106" s="100">
        <f>ROUNDUP((E101+E102)*2/(C110/1000)*(1+C102),0)</f>
        <v>0</v>
      </c>
      <c r="T106" s="348">
        <f t="shared" si="11"/>
        <v>0</v>
      </c>
      <c r="U106" s="349"/>
      <c r="V106" s="76"/>
      <c r="W106" s="46"/>
    </row>
    <row r="107" spans="2:23">
      <c r="B107" s="69" t="s">
        <v>150</v>
      </c>
      <c r="C107" s="357">
        <v>4000</v>
      </c>
      <c r="D107" s="71"/>
      <c r="E107" s="72"/>
      <c r="F107" s="897"/>
      <c r="G107" s="358">
        <v>6</v>
      </c>
      <c r="H107" s="359" t="s">
        <v>207</v>
      </c>
      <c r="I107" s="429" t="s">
        <v>200</v>
      </c>
      <c r="J107" s="425" t="s">
        <v>201</v>
      </c>
      <c r="K107" s="402"/>
      <c r="L107" s="408">
        <v>0.9</v>
      </c>
      <c r="M107" s="408">
        <v>1.8</v>
      </c>
      <c r="N107" s="408">
        <f t="shared" si="10"/>
        <v>1.62</v>
      </c>
      <c r="O107" s="897"/>
      <c r="Q107" s="74" t="str">
        <f>B111</f>
        <v>볼 트</v>
      </c>
      <c r="R107" s="52">
        <f>C111</f>
        <v>3000</v>
      </c>
      <c r="S107" s="100">
        <f>ROUNDUP(E101/C100*E102/E111*(1+C102),0)</f>
        <v>0</v>
      </c>
      <c r="T107" s="348">
        <f t="shared" si="11"/>
        <v>0</v>
      </c>
      <c r="U107" s="349"/>
      <c r="V107" s="81"/>
      <c r="W107" s="46"/>
    </row>
    <row r="108" spans="2:23">
      <c r="B108" s="77" t="s">
        <v>151</v>
      </c>
      <c r="C108" s="360">
        <v>4000</v>
      </c>
      <c r="D108" s="88"/>
      <c r="E108" s="223"/>
      <c r="F108" s="897"/>
      <c r="G108" s="346"/>
      <c r="H108" s="361"/>
      <c r="I108" s="429"/>
      <c r="J108" s="425"/>
      <c r="K108" s="402"/>
      <c r="L108" s="408"/>
      <c r="M108" s="408"/>
      <c r="N108" s="408"/>
      <c r="O108" s="897"/>
      <c r="Q108" s="74" t="str">
        <f>B112</f>
        <v>항가 150 KS</v>
      </c>
      <c r="R108" s="52"/>
      <c r="S108" s="100">
        <f>ROUNDUP(E101/C100*E102*(1+C102),0)</f>
        <v>0</v>
      </c>
      <c r="T108" s="348">
        <f t="shared" si="11"/>
        <v>0</v>
      </c>
      <c r="U108" s="362"/>
      <c r="V108" s="86"/>
      <c r="W108" s="46"/>
    </row>
    <row r="109" spans="2:23">
      <c r="B109" s="77" t="s">
        <v>84</v>
      </c>
      <c r="C109" s="360">
        <v>4000</v>
      </c>
      <c r="D109" s="79" t="s">
        <v>83</v>
      </c>
      <c r="E109" s="80">
        <v>1</v>
      </c>
      <c r="F109" s="897"/>
      <c r="G109" s="346"/>
      <c r="H109" s="347"/>
      <c r="I109" s="429"/>
      <c r="J109" s="425"/>
      <c r="K109" s="401"/>
      <c r="L109" s="408"/>
      <c r="M109" s="408"/>
      <c r="N109" s="408"/>
      <c r="O109" s="897"/>
      <c r="Q109" s="74" t="s">
        <v>88</v>
      </c>
      <c r="R109" s="52"/>
      <c r="S109" s="100">
        <f>ROUNDUP(E101/C100*E102*(1+C102),-1)</f>
        <v>0</v>
      </c>
      <c r="T109" s="348">
        <f t="shared" si="11"/>
        <v>0</v>
      </c>
      <c r="U109" s="362"/>
      <c r="V109" s="76"/>
      <c r="W109" s="46"/>
    </row>
    <row r="110" spans="2:23">
      <c r="B110" s="77" t="str">
        <f>IFERROR((VLOOKUP(E103,G113:I119,2,0))&amp; " 몰딩","")</f>
        <v/>
      </c>
      <c r="C110" s="87">
        <v>3000</v>
      </c>
      <c r="D110" s="363" t="s">
        <v>85</v>
      </c>
      <c r="E110" s="230">
        <v>2.5</v>
      </c>
      <c r="F110" s="897"/>
      <c r="G110" s="346"/>
      <c r="H110" s="361"/>
      <c r="I110" s="429"/>
      <c r="J110" s="425"/>
      <c r="K110" s="402"/>
      <c r="L110" s="408"/>
      <c r="M110" s="408"/>
      <c r="N110" s="408"/>
      <c r="O110" s="897"/>
      <c r="Q110" s="234" t="s">
        <v>92</v>
      </c>
      <c r="R110" s="52"/>
      <c r="S110" s="100">
        <f>ROUNDUP(E101/C100*E102*(1+C102),0)</f>
        <v>0</v>
      </c>
      <c r="T110" s="348">
        <f t="shared" si="11"/>
        <v>0</v>
      </c>
      <c r="U110" s="362"/>
      <c r="V110" s="56"/>
      <c r="W110" s="46"/>
    </row>
    <row r="111" spans="2:23">
      <c r="B111" s="77" t="s">
        <v>89</v>
      </c>
      <c r="C111" s="91">
        <v>3000</v>
      </c>
      <c r="D111" s="88" t="s">
        <v>90</v>
      </c>
      <c r="E111" s="92">
        <v>1</v>
      </c>
      <c r="F111" s="897"/>
      <c r="G111" s="364"/>
      <c r="H111" s="365"/>
      <c r="I111" s="430"/>
      <c r="J111" s="404"/>
      <c r="K111" s="404"/>
      <c r="L111" s="408"/>
      <c r="M111" s="408"/>
      <c r="N111" s="408"/>
      <c r="O111" s="897"/>
      <c r="Q111" s="74" t="s">
        <v>95</v>
      </c>
      <c r="R111" s="52"/>
      <c r="S111" s="100">
        <f>ROUNDUP(E101/C100*E102*2*(1+C102),-1)</f>
        <v>0</v>
      </c>
      <c r="T111" s="348">
        <f t="shared" si="11"/>
        <v>0</v>
      </c>
      <c r="U111" s="362"/>
      <c r="V111" s="56"/>
      <c r="W111" s="46"/>
    </row>
    <row r="112" spans="2:23">
      <c r="B112" s="94" t="s">
        <v>93</v>
      </c>
      <c r="C112" s="87"/>
      <c r="D112" s="96" t="s">
        <v>94</v>
      </c>
      <c r="E112" s="80"/>
      <c r="F112" s="897"/>
      <c r="G112" s="46"/>
      <c r="H112" s="612"/>
      <c r="I112" s="612"/>
      <c r="J112" s="612"/>
      <c r="K112" s="612"/>
      <c r="L112" s="612"/>
      <c r="M112" s="612"/>
      <c r="N112" s="612"/>
      <c r="O112" s="612"/>
      <c r="Q112" s="74" t="str">
        <f>IF(E112&gt;0,"내진 엠바 크립", "KS 크립")</f>
        <v>KS 크립</v>
      </c>
      <c r="R112" s="52"/>
      <c r="S112" s="100">
        <f>ROUNDUP(E102/0.3*E101*(1+C102),-1)</f>
        <v>0</v>
      </c>
      <c r="T112" s="348">
        <f t="shared" si="11"/>
        <v>0</v>
      </c>
      <c r="U112" s="366"/>
      <c r="V112" s="68"/>
      <c r="W112" s="46"/>
    </row>
    <row r="113" spans="2:23">
      <c r="B113" s="870" t="str">
        <f>IF(AND(E100=1, E99&lt;=6), "6×25 외날", IF(AND(E100=2, E99&lt;=3), "6×32 외날", IF(AND(E100=2, E99&gt;3), "6×38 외날", "")))</f>
        <v/>
      </c>
      <c r="C113" s="1278" t="s">
        <v>96</v>
      </c>
      <c r="D113" s="1279"/>
      <c r="E113" s="80">
        <v>1.8</v>
      </c>
      <c r="F113" s="897"/>
      <c r="G113" s="238" t="s">
        <v>155</v>
      </c>
      <c r="H113" s="238" t="s">
        <v>156</v>
      </c>
      <c r="I113" s="239" t="s">
        <v>208</v>
      </c>
      <c r="J113" s="612"/>
      <c r="K113" s="1310" t="str">
        <f>B104&amp;" 수량/장"</f>
        <v xml:space="preserve"> 수량/장</v>
      </c>
      <c r="L113" s="1311"/>
      <c r="M113" s="114">
        <f>S102</f>
        <v>0</v>
      </c>
      <c r="N113" s="612"/>
      <c r="O113" s="612"/>
      <c r="Q113" s="74" t="s">
        <v>157</v>
      </c>
      <c r="R113" s="52"/>
      <c r="S113" s="100">
        <f>ROUNDUP(ROUNDDOWN(E102/0.3,0)*ROUNDDOWN(E101/(C107/1000),0)*(1+C102),-1)</f>
        <v>0</v>
      </c>
      <c r="T113" s="348">
        <f t="shared" si="11"/>
        <v>0</v>
      </c>
      <c r="U113" s="362"/>
      <c r="V113" s="56"/>
      <c r="W113" s="46"/>
    </row>
    <row r="114" spans="2:23">
      <c r="B114" s="77"/>
      <c r="C114" s="87"/>
      <c r="D114" s="88"/>
      <c r="E114" s="875"/>
      <c r="F114" s="897"/>
      <c r="G114" s="862">
        <v>1</v>
      </c>
      <c r="H114" s="862" t="s">
        <v>158</v>
      </c>
      <c r="I114" s="871" t="s">
        <v>209</v>
      </c>
      <c r="J114" s="367"/>
      <c r="K114" s="1297" t="s">
        <v>115</v>
      </c>
      <c r="L114" s="1286"/>
      <c r="M114" s="124">
        <f>IFERROR(M113/E100*(D105*E105),)</f>
        <v>0</v>
      </c>
      <c r="N114" s="612"/>
      <c r="O114" s="612"/>
      <c r="Q114" s="243" t="s">
        <v>159</v>
      </c>
      <c r="R114" s="244"/>
      <c r="S114" s="245">
        <f>ROUNDUP(ROUNDDOWN(E101/C100,0)*ROUNDDOWN(E102/(C108/1000),0)*(1+C102),-1)</f>
        <v>0</v>
      </c>
      <c r="T114" s="348">
        <f t="shared" si="11"/>
        <v>0</v>
      </c>
      <c r="U114" s="368"/>
      <c r="V114" s="107"/>
      <c r="W114" s="46"/>
    </row>
    <row r="115" spans="2:23">
      <c r="B115" s="77"/>
      <c r="C115" s="87"/>
      <c r="D115" s="88"/>
      <c r="E115" s="875"/>
      <c r="F115" s="897"/>
      <c r="G115" s="241">
        <v>2</v>
      </c>
      <c r="H115" s="241" t="s">
        <v>160</v>
      </c>
      <c r="I115" s="872" t="s">
        <v>210</v>
      </c>
      <c r="J115" s="367"/>
      <c r="K115" s="1297" t="s">
        <v>119</v>
      </c>
      <c r="L115" s="1286"/>
      <c r="M115" s="325">
        <f>T100</f>
        <v>0</v>
      </c>
      <c r="N115" s="612"/>
      <c r="O115" s="612"/>
      <c r="Q115" s="234" t="str">
        <f>IF(E109=1,"마이너크립",)</f>
        <v>마이너크립</v>
      </c>
      <c r="R115" s="52"/>
      <c r="S115" s="100">
        <f>IF(E109=1,ROUNDUP(E102/E110*E101*(1+C102),-1),0)</f>
        <v>0</v>
      </c>
      <c r="T115" s="348">
        <f t="shared" si="11"/>
        <v>0</v>
      </c>
      <c r="U115" s="366"/>
      <c r="V115" s="56"/>
      <c r="W115" s="46"/>
    </row>
    <row r="116" spans="2:23">
      <c r="B116" s="719" t="s">
        <v>98</v>
      </c>
      <c r="C116" s="718" t="s">
        <v>99</v>
      </c>
      <c r="D116" s="1269" t="s">
        <v>100</v>
      </c>
      <c r="E116" s="1270"/>
      <c r="F116" s="897"/>
      <c r="G116" s="863">
        <v>3</v>
      </c>
      <c r="H116" s="863" t="s">
        <v>161</v>
      </c>
      <c r="I116" s="871" t="s">
        <v>211</v>
      </c>
      <c r="J116" s="367"/>
      <c r="K116" s="1298" t="s">
        <v>123</v>
      </c>
      <c r="L116" s="1288"/>
      <c r="M116" s="133">
        <f>M114-M115</f>
        <v>0</v>
      </c>
      <c r="N116" s="612"/>
      <c r="O116" s="612"/>
      <c r="Q116" s="74">
        <f>IF(E112=2,"MB 크립",)</f>
        <v>0</v>
      </c>
      <c r="R116" s="52"/>
      <c r="S116" s="100">
        <f>IF(E112=2,ROUNDUP(E101*E102/2*(1+C102),-1),)</f>
        <v>0</v>
      </c>
      <c r="T116" s="348">
        <f t="shared" si="11"/>
        <v>0</v>
      </c>
      <c r="U116" s="366"/>
      <c r="V116" s="68"/>
      <c r="W116" s="369"/>
    </row>
    <row r="117" spans="2:23">
      <c r="B117" s="1271" t="s">
        <v>162</v>
      </c>
      <c r="C117" s="1272"/>
      <c r="D117" s="1272"/>
      <c r="E117" s="1273"/>
      <c r="F117" s="897"/>
      <c r="G117" s="249">
        <v>4</v>
      </c>
      <c r="H117" s="249" t="s">
        <v>163</v>
      </c>
      <c r="I117" s="861" t="s">
        <v>212</v>
      </c>
      <c r="J117" s="367"/>
      <c r="K117" s="1299" t="s">
        <v>127</v>
      </c>
      <c r="L117" s="1293"/>
      <c r="M117" s="370">
        <f>IFERROR(M116*E100/(D105*E105),)</f>
        <v>0</v>
      </c>
      <c r="N117" s="612"/>
      <c r="O117" s="612"/>
      <c r="Q117" s="243" t="str">
        <f>IFERROR(IF(E104&gt;0,VLOOKUP(E104,G113:I123,3),B113),"")</f>
        <v/>
      </c>
      <c r="R117" s="244"/>
      <c r="S117" s="245">
        <f>ROUNDUP(S102*IF(E100=1, 24, IF(E100=2, 18)) *1.1/50,0)*50</f>
        <v>0</v>
      </c>
      <c r="T117" s="348">
        <f>IF(S117&gt;1,"개",)</f>
        <v>0</v>
      </c>
      <c r="U117" s="371"/>
      <c r="V117" s="372"/>
    </row>
    <row r="118" spans="2:23">
      <c r="B118" s="1268" t="s">
        <v>165</v>
      </c>
      <c r="C118" s="1269"/>
      <c r="D118" s="1269"/>
      <c r="E118" s="1270"/>
      <c r="F118" s="252"/>
      <c r="G118" s="864">
        <v>5</v>
      </c>
      <c r="H118" s="864" t="s">
        <v>166</v>
      </c>
      <c r="I118" s="859" t="s">
        <v>213</v>
      </c>
      <c r="J118" s="367"/>
      <c r="K118" s="1300"/>
      <c r="L118" s="1301"/>
      <c r="M118" s="1302"/>
      <c r="N118" s="612"/>
      <c r="O118" s="612"/>
      <c r="Q118" s="162"/>
      <c r="R118" s="152"/>
      <c r="S118" s="153"/>
      <c r="T118" s="373"/>
      <c r="U118" s="371"/>
      <c r="V118" s="154"/>
    </row>
    <row r="119" spans="2:23" ht="17.25" thickBot="1">
      <c r="B119" s="720"/>
      <c r="C119" s="721"/>
      <c r="D119" s="722"/>
      <c r="E119" s="173"/>
      <c r="F119" s="130"/>
      <c r="G119" s="254">
        <v>6</v>
      </c>
      <c r="H119" s="254" t="s">
        <v>167</v>
      </c>
      <c r="I119" s="860"/>
      <c r="J119" s="367"/>
      <c r="K119" s="1303"/>
      <c r="L119" s="1304"/>
      <c r="M119" s="1305"/>
      <c r="N119" s="612"/>
      <c r="O119" s="612"/>
      <c r="Q119" s="174"/>
      <c r="R119" s="175"/>
      <c r="S119" s="176"/>
      <c r="T119" s="177"/>
      <c r="U119" s="374"/>
      <c r="V119" s="179"/>
    </row>
    <row r="120" spans="2:23" ht="17.25" thickTop="1">
      <c r="B120" s="180"/>
      <c r="C120" s="29"/>
      <c r="D120" s="29"/>
      <c r="E120" s="29"/>
      <c r="F120" s="897"/>
      <c r="G120" s="867">
        <v>7</v>
      </c>
      <c r="H120" s="1293" t="s">
        <v>214</v>
      </c>
      <c r="I120" s="859" t="s">
        <v>215</v>
      </c>
      <c r="J120" s="612"/>
      <c r="K120" s="612"/>
      <c r="L120" s="612"/>
      <c r="M120" s="612"/>
      <c r="N120" s="612"/>
      <c r="O120" s="612"/>
      <c r="Q120" s="1281"/>
      <c r="R120" s="1281"/>
      <c r="S120" s="1281"/>
      <c r="T120" s="1281"/>
      <c r="U120" s="1281"/>
      <c r="V120" s="1281"/>
    </row>
    <row r="121" spans="2:23">
      <c r="B121" s="873"/>
      <c r="C121" s="874"/>
      <c r="D121" s="874"/>
      <c r="E121" s="874"/>
      <c r="F121" s="874"/>
      <c r="G121" s="868">
        <v>8</v>
      </c>
      <c r="H121" s="1294"/>
      <c r="I121" s="860" t="s">
        <v>216</v>
      </c>
      <c r="R121" s="874"/>
      <c r="T121" s="882"/>
      <c r="U121" s="882"/>
    </row>
    <row r="122" spans="2:23">
      <c r="B122" s="873"/>
      <c r="C122" s="874"/>
      <c r="D122" s="874"/>
      <c r="E122" s="874"/>
      <c r="F122" s="874"/>
      <c r="G122" s="868">
        <v>9</v>
      </c>
      <c r="H122" s="1294"/>
      <c r="I122" s="859" t="s">
        <v>217</v>
      </c>
      <c r="R122" s="874"/>
      <c r="T122" s="882"/>
      <c r="U122" s="882"/>
    </row>
    <row r="123" spans="2:23">
      <c r="B123" s="873"/>
      <c r="C123" s="874"/>
      <c r="D123" s="874"/>
      <c r="E123" s="874"/>
      <c r="F123" s="874"/>
      <c r="G123" s="868">
        <v>10</v>
      </c>
      <c r="H123" s="1294"/>
      <c r="I123" s="861" t="s">
        <v>218</v>
      </c>
      <c r="R123" s="874"/>
      <c r="T123" s="882"/>
      <c r="U123" s="882"/>
    </row>
    <row r="124" spans="2:23">
      <c r="B124" s="873"/>
      <c r="C124" s="874"/>
      <c r="D124" s="874"/>
      <c r="E124" s="874"/>
      <c r="F124" s="874"/>
      <c r="G124" s="868">
        <v>11</v>
      </c>
      <c r="H124" s="1295"/>
      <c r="I124" s="859" t="s">
        <v>219</v>
      </c>
      <c r="R124" s="874"/>
      <c r="T124" s="882"/>
      <c r="U124" s="882"/>
    </row>
  </sheetData>
  <sheetProtection algorithmName="SHA-512" hashValue="wFfXPvSbNoxZlLNEvHhsSIENGyQfE10sCoTogKhdjAMqDQIIUekeV5rBQT7zvTpzWHCmv8RAZj1ixFUPYXMvWg==" saltValue="iXyDhTsQtNMuT3T6s3DnKQ==" spinCount="100000" sheet="1" objects="1" scenarios="1"/>
  <mergeCells count="96">
    <mergeCell ref="R3:S3"/>
    <mergeCell ref="R4:S4"/>
    <mergeCell ref="T5:U5"/>
    <mergeCell ref="G2:M2"/>
    <mergeCell ref="G3:I3"/>
    <mergeCell ref="J3:P3"/>
    <mergeCell ref="R2:V2"/>
    <mergeCell ref="T3:U3"/>
    <mergeCell ref="T4:U4"/>
    <mergeCell ref="C45:D45"/>
    <mergeCell ref="B2:E2"/>
    <mergeCell ref="K113:L113"/>
    <mergeCell ref="C91:D91"/>
    <mergeCell ref="G91:H91"/>
    <mergeCell ref="B80:C80"/>
    <mergeCell ref="B81:C81"/>
    <mergeCell ref="D83:E83"/>
    <mergeCell ref="G87:H87"/>
    <mergeCell ref="G88:H88"/>
    <mergeCell ref="G89:H89"/>
    <mergeCell ref="G90:H90"/>
    <mergeCell ref="B99:C99"/>
    <mergeCell ref="G65:J65"/>
    <mergeCell ref="G60:J61"/>
    <mergeCell ref="G67:J67"/>
    <mergeCell ref="B1:Q1"/>
    <mergeCell ref="G66:J66"/>
    <mergeCell ref="D47:E47"/>
    <mergeCell ref="K44:L44"/>
    <mergeCell ref="D10:E10"/>
    <mergeCell ref="C17:D17"/>
    <mergeCell ref="K21:L21"/>
    <mergeCell ref="K22:L22"/>
    <mergeCell ref="K23:L23"/>
    <mergeCell ref="K24:L24"/>
    <mergeCell ref="D37:E37"/>
    <mergeCell ref="K46:L46"/>
    <mergeCell ref="K47:L47"/>
    <mergeCell ref="K48:L48"/>
    <mergeCell ref="D59:E59"/>
    <mergeCell ref="B52:E52"/>
    <mergeCell ref="H120:H124"/>
    <mergeCell ref="T31:U31"/>
    <mergeCell ref="S32:T32"/>
    <mergeCell ref="S6:T6"/>
    <mergeCell ref="K45:L45"/>
    <mergeCell ref="Q120:V120"/>
    <mergeCell ref="K114:L114"/>
    <mergeCell ref="K115:L115"/>
    <mergeCell ref="K116:L116"/>
    <mergeCell ref="K117:L117"/>
    <mergeCell ref="K118:M118"/>
    <mergeCell ref="K119:M119"/>
    <mergeCell ref="Q51:V51"/>
    <mergeCell ref="K25:L25"/>
    <mergeCell ref="Q29:V29"/>
    <mergeCell ref="G68:J68"/>
    <mergeCell ref="Q52:S52"/>
    <mergeCell ref="T53:U53"/>
    <mergeCell ref="G54:H54"/>
    <mergeCell ref="S54:T54"/>
    <mergeCell ref="G55:H55"/>
    <mergeCell ref="K54:L54"/>
    <mergeCell ref="K55:L55"/>
    <mergeCell ref="G56:H56"/>
    <mergeCell ref="G57:H57"/>
    <mergeCell ref="G58:H58"/>
    <mergeCell ref="G62:J62"/>
    <mergeCell ref="G63:J63"/>
    <mergeCell ref="G64:J64"/>
    <mergeCell ref="C113:D113"/>
    <mergeCell ref="G73:J73"/>
    <mergeCell ref="G74:J74"/>
    <mergeCell ref="Q97:V97"/>
    <mergeCell ref="G69:J69"/>
    <mergeCell ref="Q75:V75"/>
    <mergeCell ref="T77:U77"/>
    <mergeCell ref="S78:T78"/>
    <mergeCell ref="S101:T101"/>
    <mergeCell ref="T100:U100"/>
    <mergeCell ref="G42:H43"/>
    <mergeCell ref="X1:AA2"/>
    <mergeCell ref="Y10:Z10"/>
    <mergeCell ref="B118:E118"/>
    <mergeCell ref="D19:E19"/>
    <mergeCell ref="D93:E93"/>
    <mergeCell ref="B94:E94"/>
    <mergeCell ref="B95:E95"/>
    <mergeCell ref="D116:E116"/>
    <mergeCell ref="B117:E117"/>
    <mergeCell ref="B49:E49"/>
    <mergeCell ref="B48:E48"/>
    <mergeCell ref="D71:E71"/>
    <mergeCell ref="B72:E72"/>
    <mergeCell ref="B73:E73"/>
    <mergeCell ref="D106:E106"/>
  </mergeCells>
  <phoneticPr fontId="5" type="noConversion"/>
  <hyperlinks>
    <hyperlink ref="G68" r:id="rId1" display="신라 Daum Cafe"/>
    <hyperlink ref="G69:J69" r:id="rId2" display="Home Page : http://www.shillasteel.kr/index.php"/>
    <hyperlink ref="B47" r:id="rId3" display="신라 Daum Cafe"/>
    <hyperlink ref="C47" r:id="rId4"/>
    <hyperlink ref="B71" r:id="rId5" display="신라 Daum Cafe"/>
    <hyperlink ref="C71" r:id="rId6"/>
    <hyperlink ref="B93" r:id="rId7" display="신라 Daum Cafe"/>
    <hyperlink ref="C93" r:id="rId8"/>
    <hyperlink ref="B116" r:id="rId9" display="신라 Daum Cafe"/>
    <hyperlink ref="C116" r:id="rId10"/>
    <hyperlink ref="B19" r:id="rId11" display="신라 Daum Cafe"/>
    <hyperlink ref="C19" r:id="rId12"/>
    <hyperlink ref="J3:P3" r:id="rId13" display="https://cafe.daum.net/webluesky/SgNG/12"/>
    <hyperlink ref="R2:V2" r:id="rId14" display="최신 파일 다운로드 →신라 Daum Café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5"/>
  <ignoredErrors>
    <ignoredError sqref="Q10:R10 Q36:R36 Q58:R58 Q82:R82 Q105:R105" formula="1"/>
  </ignoredErrors>
  <drawing r:id="rId16"/>
  <legacy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27" sqref="F27:I27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88" t="s">
        <v>220</v>
      </c>
      <c r="B1" s="1388"/>
      <c r="C1" s="1388"/>
      <c r="D1" s="1388"/>
      <c r="E1" s="1388"/>
      <c r="F1" s="1388"/>
      <c r="G1" s="1388"/>
      <c r="H1" s="1388"/>
      <c r="I1" s="1388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89" t="s">
        <v>222</v>
      </c>
      <c r="C3" s="1390"/>
      <c r="D3" s="1390"/>
      <c r="E3" s="1391"/>
      <c r="F3" s="1392" t="s">
        <v>223</v>
      </c>
      <c r="G3" s="1392"/>
      <c r="H3" s="1393"/>
      <c r="I3" s="1394"/>
    </row>
    <row r="4" spans="1:9" ht="18" customHeight="1">
      <c r="A4" s="380" t="s">
        <v>224</v>
      </c>
      <c r="B4" s="1395" t="s">
        <v>225</v>
      </c>
      <c r="C4" s="1396"/>
      <c r="D4" s="1396"/>
      <c r="E4" s="1397"/>
      <c r="F4" s="1398" t="s">
        <v>226</v>
      </c>
      <c r="G4" s="1398"/>
      <c r="H4" s="1399"/>
      <c r="I4" s="1400"/>
    </row>
    <row r="5" spans="1:9" ht="18" customHeight="1">
      <c r="A5" s="381" t="s">
        <v>227</v>
      </c>
      <c r="B5" s="1364"/>
      <c r="C5" s="1365"/>
      <c r="D5" s="1365"/>
      <c r="E5" s="1366"/>
      <c r="F5" s="1367" t="s">
        <v>224</v>
      </c>
      <c r="G5" s="1367"/>
      <c r="H5" s="1368"/>
      <c r="I5" s="1369"/>
    </row>
    <row r="6" spans="1:9" ht="18" customHeight="1">
      <c r="A6" s="382" t="s">
        <v>228</v>
      </c>
      <c r="B6" s="1385"/>
      <c r="C6" s="1386"/>
      <c r="D6" s="1386"/>
      <c r="E6" s="1387"/>
      <c r="F6" s="1367" t="s">
        <v>229</v>
      </c>
      <c r="G6" s="1367"/>
      <c r="H6" s="1368"/>
      <c r="I6" s="1369"/>
    </row>
    <row r="7" spans="1:9" ht="18" customHeight="1">
      <c r="A7" s="381" t="s">
        <v>230</v>
      </c>
      <c r="B7" s="1364"/>
      <c r="C7" s="1365"/>
      <c r="D7" s="1365"/>
      <c r="E7" s="1366"/>
      <c r="F7" s="1367" t="s">
        <v>231</v>
      </c>
      <c r="G7" s="1367"/>
      <c r="H7" s="1368"/>
      <c r="I7" s="1369"/>
    </row>
    <row r="8" spans="1:9" ht="18" customHeight="1">
      <c r="A8" s="383" t="s">
        <v>232</v>
      </c>
      <c r="B8" s="1370"/>
      <c r="C8" s="1371"/>
      <c r="D8" s="1371"/>
      <c r="E8" s="1372"/>
      <c r="F8" s="1373" t="s">
        <v>233</v>
      </c>
      <c r="G8" s="1373"/>
      <c r="H8" s="1374"/>
      <c r="I8" s="1375"/>
    </row>
    <row r="9" spans="1:9" ht="18" customHeight="1">
      <c r="A9" s="379" t="s">
        <v>234</v>
      </c>
      <c r="B9" s="1376" t="str">
        <f>물량산출!R7&amp;"  " &amp;물량산출!Q7 &amp;"  "&amp;"  "&amp; 물량산출!R5 &amp;" 평 자재 물량"</f>
        <v xml:space="preserve">  0    0 평 자재 물량</v>
      </c>
      <c r="C9" s="1377"/>
      <c r="D9" s="1377"/>
      <c r="E9" s="1377"/>
      <c r="F9" s="1377"/>
      <c r="G9" s="1377"/>
      <c r="H9" s="1377"/>
      <c r="I9" s="1378"/>
    </row>
    <row r="10" spans="1:9" ht="18" customHeight="1">
      <c r="A10" s="1379"/>
      <c r="B10" s="1379"/>
      <c r="C10" s="1379"/>
      <c r="D10" s="1379"/>
      <c r="E10" s="1379"/>
      <c r="F10" s="1379"/>
      <c r="G10" s="1379"/>
      <c r="H10" s="1379"/>
      <c r="I10" s="1379"/>
    </row>
    <row r="11" spans="1:9" ht="18" customHeight="1">
      <c r="A11" s="1380" t="s">
        <v>235</v>
      </c>
      <c r="B11" s="1381"/>
      <c r="C11" s="384" t="s">
        <v>49</v>
      </c>
      <c r="D11" s="1380" t="s">
        <v>236</v>
      </c>
      <c r="E11" s="1381"/>
      <c r="F11" s="1382" t="s">
        <v>237</v>
      </c>
      <c r="G11" s="1383"/>
      <c r="H11" s="1383"/>
      <c r="I11" s="1384"/>
    </row>
    <row r="12" spans="1:9" ht="18" customHeight="1">
      <c r="A12" s="1354">
        <f>IF(F12=1,"",물량산출!Q7)</f>
        <v>0</v>
      </c>
      <c r="B12" s="1355"/>
      <c r="C12" s="385" t="str">
        <f>IF(F12=1,"",물량산출!R7)</f>
        <v/>
      </c>
      <c r="D12" s="386">
        <f>IF(F12=1,"",물량산출!S7)</f>
        <v>0</v>
      </c>
      <c r="E12" s="387">
        <f>IF(F12=1,"",물량산출!T7)</f>
        <v>0</v>
      </c>
      <c r="F12" s="1356"/>
      <c r="G12" s="1357"/>
      <c r="H12" s="1357"/>
      <c r="I12" s="1358"/>
    </row>
    <row r="13" spans="1:9" ht="18" customHeight="1">
      <c r="A13" s="1354" t="str">
        <f>IF(F13=1,"",물량산출!Q8)</f>
        <v>크립바</v>
      </c>
      <c r="B13" s="1355"/>
      <c r="C13" s="385">
        <f>IF(F13=1,"",물량산출!R8)</f>
        <v>4000</v>
      </c>
      <c r="D13" s="386">
        <f>IF(F13=1,"",물량산출!S8)</f>
        <v>0</v>
      </c>
      <c r="E13" s="387">
        <f>IF(F13=1,"",물량산출!T8)</f>
        <v>0</v>
      </c>
      <c r="F13" s="1356"/>
      <c r="G13" s="1357"/>
      <c r="H13" s="1357"/>
      <c r="I13" s="1358"/>
    </row>
    <row r="14" spans="1:9" ht="18" customHeight="1">
      <c r="A14" s="1354" t="str">
        <f>IF(F14=1,"",물량산출!Q9)</f>
        <v>캐 링 ks</v>
      </c>
      <c r="B14" s="1355"/>
      <c r="C14" s="385">
        <f>IF(F14=1,"",물량산출!R9)</f>
        <v>4000</v>
      </c>
      <c r="D14" s="386">
        <f>IF(F14=1,"",물량산출!S9)</f>
        <v>0</v>
      </c>
      <c r="E14" s="387">
        <f>IF(F14=1,"",물량산출!T9)</f>
        <v>0</v>
      </c>
      <c r="F14" s="1356"/>
      <c r="G14" s="1357"/>
      <c r="H14" s="1357"/>
      <c r="I14" s="1358"/>
    </row>
    <row r="15" spans="1:9" ht="18" customHeight="1">
      <c r="A15" s="1354" t="str">
        <f>IF(F15=1,"",물량산출!Q10)</f>
        <v>마이너 KS</v>
      </c>
      <c r="B15" s="1355"/>
      <c r="C15" s="385">
        <f>IF(F15=1,"",물량산출!R10)</f>
        <v>4000</v>
      </c>
      <c r="D15" s="386">
        <f>IF(F15=1,"",물량산출!S10)</f>
        <v>0</v>
      </c>
      <c r="E15" s="387">
        <f>IF(F15=1,"",물량산출!T10)</f>
        <v>0</v>
      </c>
      <c r="F15" s="1356"/>
      <c r="G15" s="1357"/>
      <c r="H15" s="1357"/>
      <c r="I15" s="1358"/>
    </row>
    <row r="16" spans="1:9" ht="18" customHeight="1">
      <c r="A16" s="1354" t="str">
        <f>IF(F16=1,"",물량산출!Q11)</f>
        <v>SMC W/T 몰딩</v>
      </c>
      <c r="B16" s="1355"/>
      <c r="C16" s="385">
        <f>IF(F16=1,"",물량산출!R11)</f>
        <v>3000</v>
      </c>
      <c r="D16" s="386">
        <f>IF(F16=1,"",물량산출!S11)</f>
        <v>0</v>
      </c>
      <c r="E16" s="387">
        <f>IF(F16=1,"",물량산출!T11)</f>
        <v>0</v>
      </c>
      <c r="F16" s="1356"/>
      <c r="G16" s="1357"/>
      <c r="H16" s="1357"/>
      <c r="I16" s="1358"/>
    </row>
    <row r="17" spans="1:9" ht="18" customHeight="1">
      <c r="A17" s="1354" t="str">
        <f>IF(F17=1,"",물량산출!Q12)</f>
        <v>볼 트</v>
      </c>
      <c r="B17" s="1355"/>
      <c r="C17" s="385">
        <f>IF(F17=1,"",물량산출!R12)</f>
        <v>3000</v>
      </c>
      <c r="D17" s="386">
        <f>IF(F17=1,"",물량산출!S12)</f>
        <v>0</v>
      </c>
      <c r="E17" s="387">
        <f>IF(F17=1,"",물량산출!T12)</f>
        <v>0</v>
      </c>
      <c r="F17" s="1356"/>
      <c r="G17" s="1357"/>
      <c r="H17" s="1357"/>
      <c r="I17" s="1358"/>
    </row>
    <row r="18" spans="1:9" ht="18" customHeight="1">
      <c r="A18" s="1354" t="str">
        <f>IF(F18=1,"",물량산출!Q13)</f>
        <v>항가 150 KS</v>
      </c>
      <c r="B18" s="1355"/>
      <c r="C18" s="385">
        <f>IF(F18=1,"",물량산출!R13)</f>
        <v>0</v>
      </c>
      <c r="D18" s="386">
        <f>IF(F18=1,"",물량산출!S13)</f>
        <v>0</v>
      </c>
      <c r="E18" s="387">
        <f>IF(F18=1,"",물량산출!T13)</f>
        <v>0</v>
      </c>
      <c r="F18" s="1356"/>
      <c r="G18" s="1357"/>
      <c r="H18" s="1357"/>
      <c r="I18" s="1358"/>
    </row>
    <row r="19" spans="1:9" ht="18" customHeight="1">
      <c r="A19" s="1354" t="str">
        <f>IF(F19=1,"",물량산출!Q14)</f>
        <v>항가핀</v>
      </c>
      <c r="B19" s="1355"/>
      <c r="C19" s="385">
        <f>IF(F19=1,"",물량산출!R14)</f>
        <v>0</v>
      </c>
      <c r="D19" s="386">
        <f>IF(F19=1,"",물량산출!S14)</f>
        <v>0</v>
      </c>
      <c r="E19" s="387">
        <f>IF(F19=1,"",물량산출!T14)</f>
        <v>0</v>
      </c>
      <c r="F19" s="1356"/>
      <c r="G19" s="1357"/>
      <c r="H19" s="1357"/>
      <c r="I19" s="1358"/>
    </row>
    <row r="20" spans="1:9" ht="18" customHeight="1">
      <c r="A20" s="1354" t="str">
        <f>IF(F20=1,"",물량산출!Q15)</f>
        <v>앙카</v>
      </c>
      <c r="B20" s="1355"/>
      <c r="C20" s="385">
        <f>IF(F20=1,"",물량산출!R15)</f>
        <v>0</v>
      </c>
      <c r="D20" s="386">
        <f>IF(F20=1,"",물량산출!S15)</f>
        <v>0</v>
      </c>
      <c r="E20" s="387">
        <f>IF(F20=1,"",물량산출!T15)</f>
        <v>0</v>
      </c>
      <c r="F20" s="1356"/>
      <c r="G20" s="1357"/>
      <c r="H20" s="1357"/>
      <c r="I20" s="1358"/>
    </row>
    <row r="21" spans="1:9" ht="18" customHeight="1">
      <c r="A21" s="1354" t="str">
        <f>IF(F21=1,"",물량산출!Q16)</f>
        <v>너트</v>
      </c>
      <c r="B21" s="1355"/>
      <c r="C21" s="385">
        <f>IF(F21=1,"",물량산출!R16)</f>
        <v>0</v>
      </c>
      <c r="D21" s="386">
        <f>IF(F21=1,"",물량산출!S16)</f>
        <v>0</v>
      </c>
      <c r="E21" s="387">
        <f>IF(F21=1,"",물량산출!T16)</f>
        <v>0</v>
      </c>
      <c r="F21" s="1356"/>
      <c r="G21" s="1357"/>
      <c r="H21" s="1357"/>
      <c r="I21" s="1358"/>
    </row>
    <row r="22" spans="1:9" ht="18" customHeight="1">
      <c r="A22" s="1354" t="str">
        <f>IF(F22=1,"",물량산출!Q17)</f>
        <v>판스프링</v>
      </c>
      <c r="B22" s="1355"/>
      <c r="C22" s="385">
        <f>IF(F22=1,"",물량산출!R17)</f>
        <v>0</v>
      </c>
      <c r="D22" s="386">
        <f>IF(F22=1,"",물량산출!S17)</f>
        <v>0</v>
      </c>
      <c r="E22" s="387">
        <f>IF(F22=1,"",물량산출!T17)</f>
        <v>0</v>
      </c>
      <c r="F22" s="1356"/>
      <c r="G22" s="1357"/>
      <c r="H22" s="1357"/>
      <c r="I22" s="1358"/>
    </row>
    <row r="23" spans="1:9" ht="18" customHeight="1">
      <c r="A23" s="1354" t="str">
        <f>IF(F23=1,"",물량산출!Q18)</f>
        <v>와이어 크립</v>
      </c>
      <c r="B23" s="1355"/>
      <c r="C23" s="385">
        <f>IF(F23=1,"",물량산출!R18)</f>
        <v>0</v>
      </c>
      <c r="D23" s="386">
        <f>IF(F23=1,"",물량산출!S18)</f>
        <v>0</v>
      </c>
      <c r="E23" s="387">
        <f>IF(F23=1,"",물량산출!T18)</f>
        <v>0</v>
      </c>
      <c r="F23" s="1356"/>
      <c r="G23" s="1357"/>
      <c r="H23" s="1357"/>
      <c r="I23" s="1358"/>
    </row>
    <row r="24" spans="1:9" ht="18" customHeight="1">
      <c r="A24" s="1354" t="str">
        <f>IF(F24=1,"",물량산출!Q19)</f>
        <v>크립바 쪼인트</v>
      </c>
      <c r="B24" s="1355"/>
      <c r="C24" s="385">
        <f>IF(F24=1,"",물량산출!R19)</f>
        <v>0</v>
      </c>
      <c r="D24" s="386">
        <f>IF(F24=1,"",물량산출!S19)</f>
        <v>0</v>
      </c>
      <c r="E24" s="387">
        <f>IF(F24=1,"",물량산출!T19)</f>
        <v>0</v>
      </c>
      <c r="F24" s="1356"/>
      <c r="G24" s="1357"/>
      <c r="H24" s="1357"/>
      <c r="I24" s="1358"/>
    </row>
    <row r="25" spans="1:9" ht="18" customHeight="1">
      <c r="A25" s="1354" t="str">
        <f>IF(F25=1,"",물량산출!Q20)</f>
        <v>캐링 쪼인트</v>
      </c>
      <c r="B25" s="1355"/>
      <c r="C25" s="385">
        <f>IF(F25=1,"",물량산출!R20)</f>
        <v>0</v>
      </c>
      <c r="D25" s="386">
        <f>IF(F25=1,"",물량산출!S20)</f>
        <v>0</v>
      </c>
      <c r="E25" s="387">
        <f>IF(F25=1,"",물량산출!T20)</f>
        <v>0</v>
      </c>
      <c r="F25" s="1356"/>
      <c r="G25" s="1357"/>
      <c r="H25" s="1357"/>
      <c r="I25" s="1358"/>
    </row>
    <row r="26" spans="1:9" ht="18" customHeight="1">
      <c r="A26" s="1354" t="str">
        <f>IF(F26=1,"",물량산출!Q21)</f>
        <v>마이너크립</v>
      </c>
      <c r="B26" s="1355"/>
      <c r="C26" s="385">
        <f>IF(F26=1,"",물량산출!R21)</f>
        <v>0</v>
      </c>
      <c r="D26" s="386">
        <f>IF(F26=1,"",물량산출!S21)</f>
        <v>0</v>
      </c>
      <c r="E26" s="387">
        <f>IF(F26=1,"",물량산출!T21)</f>
        <v>0</v>
      </c>
      <c r="F26" s="1356"/>
      <c r="G26" s="1357"/>
      <c r="H26" s="1357"/>
      <c r="I26" s="1358"/>
    </row>
    <row r="27" spans="1:9" ht="18" customHeight="1">
      <c r="A27" s="1354">
        <f>IF(F27=1,"",물량산출!Q22)</f>
        <v>0</v>
      </c>
      <c r="B27" s="1355"/>
      <c r="C27" s="385">
        <f>IF(F27=1,"",물량산출!R22)</f>
        <v>0</v>
      </c>
      <c r="D27" s="386">
        <f>IF(F27=1,"",물량산출!S22)</f>
        <v>0</v>
      </c>
      <c r="E27" s="387">
        <f>IF(F27=1,"",물량산출!T22)</f>
        <v>0</v>
      </c>
      <c r="F27" s="1356"/>
      <c r="G27" s="1357"/>
      <c r="H27" s="1357"/>
      <c r="I27" s="1358"/>
    </row>
    <row r="28" spans="1:9" ht="18" customHeight="1">
      <c r="A28" s="1354" t="str">
        <f>IF(F28=1,"",물량산출!Q23)</f>
        <v/>
      </c>
      <c r="B28" s="1355"/>
      <c r="C28" s="385">
        <f>IF(F28=1,"",물량산출!R23)</f>
        <v>0</v>
      </c>
      <c r="D28" s="386">
        <f>IF(F28=1,"",물량산출!S23)</f>
        <v>0</v>
      </c>
      <c r="E28" s="387">
        <f>IF(F28=1,"",물량산출!T23)</f>
        <v>0</v>
      </c>
      <c r="F28" s="1356"/>
      <c r="G28" s="1357"/>
      <c r="H28" s="1357"/>
      <c r="I28" s="1358"/>
    </row>
    <row r="29" spans="1:9" ht="18" customHeight="1">
      <c r="A29" s="1354">
        <f>IF(F29=1,"",물량산출!Q24)</f>
        <v>0</v>
      </c>
      <c r="B29" s="1355"/>
      <c r="C29" s="385">
        <f>IF(F29=1,"",물량산출!R24)</f>
        <v>0</v>
      </c>
      <c r="D29" s="386">
        <f>IF(F29=1,"",물량산출!S24)</f>
        <v>0</v>
      </c>
      <c r="E29" s="387">
        <f>IF(F29=1,"",물량산출!T24)</f>
        <v>0</v>
      </c>
      <c r="F29" s="1356"/>
      <c r="G29" s="1357"/>
      <c r="H29" s="1357"/>
      <c r="I29" s="1358"/>
    </row>
    <row r="30" spans="1:9" ht="18" customHeight="1">
      <c r="A30" s="1354">
        <f>IF(F30=1,"",물량산출!Q25)</f>
        <v>0</v>
      </c>
      <c r="B30" s="1355"/>
      <c r="C30" s="385">
        <f>IF(F30=1,"",물량산출!R25)</f>
        <v>0</v>
      </c>
      <c r="D30" s="386">
        <f>IF(F30=1,"",물량산출!S25)</f>
        <v>0</v>
      </c>
      <c r="E30" s="387">
        <f>IF(F30=1,"",물량산출!T25)</f>
        <v>0</v>
      </c>
      <c r="F30" s="1356"/>
      <c r="G30" s="1357"/>
      <c r="H30" s="1357"/>
      <c r="I30" s="1358"/>
    </row>
    <row r="31" spans="1:9" ht="18" customHeight="1">
      <c r="A31" s="1354">
        <f>IF(F31=1,"",물량산출!Q26)</f>
        <v>0</v>
      </c>
      <c r="B31" s="1355"/>
      <c r="C31" s="385">
        <f>IF(F31=1,"",물량산출!R26)</f>
        <v>0</v>
      </c>
      <c r="D31" s="386">
        <f>IF(F31=1,"",물량산출!S26)</f>
        <v>0</v>
      </c>
      <c r="E31" s="387">
        <f>IF(F31=1,"",물량산출!T26)</f>
        <v>0</v>
      </c>
      <c r="F31" s="1356"/>
      <c r="G31" s="1357"/>
      <c r="H31" s="1357"/>
      <c r="I31" s="1358"/>
    </row>
    <row r="32" spans="1:9" ht="18" customHeight="1">
      <c r="A32" s="1354">
        <f>IF(F32=1,"",물량산출!Q27)</f>
        <v>0</v>
      </c>
      <c r="B32" s="1355"/>
      <c r="C32" s="385">
        <f>IF(F32=1,"",물량산출!R27)</f>
        <v>0</v>
      </c>
      <c r="D32" s="386">
        <f>IF(F32=1,"",물량산출!S27)</f>
        <v>0</v>
      </c>
      <c r="E32" s="387">
        <f>IF(F32=1,"",물량산출!T27)</f>
        <v>0</v>
      </c>
      <c r="F32" s="1356"/>
      <c r="G32" s="1357"/>
      <c r="H32" s="1357"/>
      <c r="I32" s="1358"/>
    </row>
    <row r="33" spans="1:9" ht="18" customHeight="1">
      <c r="A33" s="1359"/>
      <c r="B33" s="1360"/>
      <c r="C33" s="388"/>
      <c r="D33" s="389"/>
      <c r="E33" s="390"/>
      <c r="F33" s="1361"/>
      <c r="G33" s="1362"/>
      <c r="H33" s="1362"/>
      <c r="I33" s="1363"/>
    </row>
    <row r="34" spans="1:9" ht="18" customHeight="1">
      <c r="A34" s="1346"/>
      <c r="B34" s="1347"/>
      <c r="C34" s="391"/>
      <c r="D34" s="392"/>
      <c r="E34" s="393"/>
      <c r="F34" s="1348"/>
      <c r="G34" s="1349"/>
      <c r="H34" s="1349"/>
      <c r="I34" s="1350"/>
    </row>
    <row r="35" spans="1:9" ht="18" customHeight="1">
      <c r="A35" s="1351" t="s">
        <v>238</v>
      </c>
      <c r="B35" s="1352"/>
      <c r="C35" s="1352"/>
      <c r="D35" s="1352"/>
      <c r="E35" s="1352"/>
      <c r="F35" s="1352"/>
      <c r="G35" s="1352"/>
      <c r="H35" s="1352"/>
      <c r="I35" s="1353"/>
    </row>
    <row r="36" spans="1:9" ht="18" customHeight="1">
      <c r="A36" s="1339"/>
      <c r="B36" s="1340"/>
      <c r="C36" s="1340"/>
      <c r="D36" s="1340"/>
      <c r="E36" s="1340"/>
      <c r="F36" s="1340"/>
      <c r="G36" s="1340"/>
      <c r="H36" s="1340"/>
      <c r="I36" s="1341"/>
    </row>
    <row r="37" spans="1:9" ht="18" customHeight="1">
      <c r="A37" s="1339"/>
      <c r="B37" s="1340"/>
      <c r="C37" s="1340"/>
      <c r="D37" s="1340"/>
      <c r="E37" s="1340"/>
      <c r="F37" s="1340"/>
      <c r="G37" s="1340"/>
      <c r="H37" s="1340"/>
      <c r="I37" s="1341"/>
    </row>
    <row r="38" spans="1:9" ht="18" customHeight="1">
      <c r="A38" s="1339"/>
      <c r="B38" s="1340"/>
      <c r="C38" s="1340"/>
      <c r="D38" s="1340"/>
      <c r="E38" s="1340"/>
      <c r="F38" s="1340"/>
      <c r="G38" s="1340"/>
      <c r="H38" s="1340"/>
      <c r="I38" s="1341"/>
    </row>
    <row r="39" spans="1:9" ht="18" customHeight="1">
      <c r="A39" s="1339"/>
      <c r="B39" s="1340"/>
      <c r="C39" s="1340"/>
      <c r="D39" s="1340"/>
      <c r="E39" s="1340"/>
      <c r="F39" s="1340"/>
      <c r="G39" s="1340"/>
      <c r="H39" s="1340"/>
      <c r="I39" s="1341"/>
    </row>
    <row r="40" spans="1:9" ht="18" customHeight="1">
      <c r="A40" s="1342"/>
      <c r="B40" s="1343"/>
      <c r="C40" s="1343"/>
      <c r="D40" s="1343"/>
      <c r="E40" s="1343"/>
      <c r="F40" s="1343"/>
      <c r="G40" s="1343"/>
      <c r="H40" s="1343"/>
      <c r="I40" s="1344"/>
    </row>
    <row r="41" spans="1:9">
      <c r="A41" s="612"/>
      <c r="B41" s="612"/>
      <c r="C41" s="1345"/>
      <c r="D41" s="1345"/>
      <c r="E41" s="1345"/>
      <c r="F41" s="1345"/>
      <c r="G41" s="1345"/>
      <c r="H41" s="1345"/>
      <c r="I41" s="1345"/>
    </row>
  </sheetData>
  <sheetProtection algorithmName="SHA-512" hashValue="wIWVvAMqnWVnKoBGEEPq9h+ZHcfg4PaW7dlNk4iI2RNGml9/cDcodOQONZa16OU8J0jYD8iWJiyCgCT763Roeg==" saltValue="z2zJv8uJg666V8AGtuNaDg==" spinCount="100000" sheet="1" autoFilter="0"/>
  <autoFilter ref="F11:I34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26" sqref="F26:I26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88" t="s">
        <v>220</v>
      </c>
      <c r="B1" s="1388"/>
      <c r="C1" s="1388"/>
      <c r="D1" s="1388"/>
      <c r="E1" s="1388"/>
      <c r="F1" s="1388"/>
      <c r="G1" s="1388"/>
      <c r="H1" s="1388"/>
      <c r="I1" s="1388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89" t="s">
        <v>222</v>
      </c>
      <c r="C3" s="1390"/>
      <c r="D3" s="1390"/>
      <c r="E3" s="1391"/>
      <c r="F3" s="1392" t="s">
        <v>223</v>
      </c>
      <c r="G3" s="1392"/>
      <c r="H3" s="1393"/>
      <c r="I3" s="1394"/>
    </row>
    <row r="4" spans="1:9" ht="18" customHeight="1">
      <c r="A4" s="380" t="s">
        <v>224</v>
      </c>
      <c r="B4" s="1395" t="s">
        <v>225</v>
      </c>
      <c r="C4" s="1396"/>
      <c r="D4" s="1396"/>
      <c r="E4" s="1397"/>
      <c r="F4" s="1398" t="s">
        <v>226</v>
      </c>
      <c r="G4" s="1398"/>
      <c r="H4" s="1399"/>
      <c r="I4" s="1400"/>
    </row>
    <row r="5" spans="1:9" ht="18" customHeight="1">
      <c r="A5" s="381" t="s">
        <v>227</v>
      </c>
      <c r="B5" s="1364"/>
      <c r="C5" s="1365"/>
      <c r="D5" s="1365"/>
      <c r="E5" s="1366"/>
      <c r="F5" s="1367" t="s">
        <v>224</v>
      </c>
      <c r="G5" s="1367"/>
      <c r="H5" s="1368"/>
      <c r="I5" s="1369"/>
    </row>
    <row r="6" spans="1:9" ht="18" customHeight="1">
      <c r="A6" s="382" t="s">
        <v>228</v>
      </c>
      <c r="B6" s="1385"/>
      <c r="C6" s="1386"/>
      <c r="D6" s="1386"/>
      <c r="E6" s="1387"/>
      <c r="F6" s="1367" t="s">
        <v>229</v>
      </c>
      <c r="G6" s="1367"/>
      <c r="H6" s="1368"/>
      <c r="I6" s="1369"/>
    </row>
    <row r="7" spans="1:9" ht="18" customHeight="1">
      <c r="A7" s="381" t="s">
        <v>230</v>
      </c>
      <c r="B7" s="1364"/>
      <c r="C7" s="1365"/>
      <c r="D7" s="1365"/>
      <c r="E7" s="1366"/>
      <c r="F7" s="1367" t="s">
        <v>231</v>
      </c>
      <c r="G7" s="1367"/>
      <c r="H7" s="1368"/>
      <c r="I7" s="1369"/>
    </row>
    <row r="8" spans="1:9" ht="18" customHeight="1">
      <c r="A8" s="383" t="s">
        <v>232</v>
      </c>
      <c r="B8" s="1370"/>
      <c r="C8" s="1371"/>
      <c r="D8" s="1371"/>
      <c r="E8" s="1372"/>
      <c r="F8" s="1373" t="s">
        <v>233</v>
      </c>
      <c r="G8" s="1373"/>
      <c r="H8" s="1374"/>
      <c r="I8" s="1375"/>
    </row>
    <row r="9" spans="1:9" ht="18" customHeight="1">
      <c r="A9" s="379" t="s">
        <v>234</v>
      </c>
      <c r="B9" s="1376" t="str">
        <f>물량산출!R33&amp;"  " &amp;물량산출!Q33&amp;"  "&amp; 물량산출!R31&amp;" 평 자재 물량"</f>
        <v>0  0  0 평 자재 물량</v>
      </c>
      <c r="C9" s="1377"/>
      <c r="D9" s="1377"/>
      <c r="E9" s="1377"/>
      <c r="F9" s="1377"/>
      <c r="G9" s="1377"/>
      <c r="H9" s="1377"/>
      <c r="I9" s="1378"/>
    </row>
    <row r="10" spans="1:9" ht="18" customHeight="1">
      <c r="A10" s="1379"/>
      <c r="B10" s="1379"/>
      <c r="C10" s="1379"/>
      <c r="D10" s="1379"/>
      <c r="E10" s="1379"/>
      <c r="F10" s="1379"/>
      <c r="G10" s="1379"/>
      <c r="H10" s="1379"/>
      <c r="I10" s="1379"/>
    </row>
    <row r="11" spans="1:9" ht="18" customHeight="1">
      <c r="A11" s="1380" t="s">
        <v>235</v>
      </c>
      <c r="B11" s="1381"/>
      <c r="C11" s="384" t="s">
        <v>49</v>
      </c>
      <c r="D11" s="1380" t="s">
        <v>236</v>
      </c>
      <c r="E11" s="1381"/>
      <c r="F11" s="1382" t="s">
        <v>237</v>
      </c>
      <c r="G11" s="1383"/>
      <c r="H11" s="1383"/>
      <c r="I11" s="1384"/>
    </row>
    <row r="12" spans="1:9" ht="18" customHeight="1">
      <c r="A12" s="1354">
        <f>IF(F12=1,"",물량산출!Q33)</f>
        <v>0</v>
      </c>
      <c r="B12" s="1355"/>
      <c r="C12" s="385">
        <f>IF(F12=1,"",물량산출!R33)</f>
        <v>0</v>
      </c>
      <c r="D12" s="386">
        <f>IF(F12=1,"",물량산출!S33)</f>
        <v>0</v>
      </c>
      <c r="E12" s="387">
        <f>IF(F12=1,"",물량산출!T33)</f>
        <v>0</v>
      </c>
      <c r="F12" s="1356"/>
      <c r="G12" s="1357"/>
      <c r="H12" s="1357"/>
      <c r="I12" s="1358"/>
    </row>
    <row r="13" spans="1:9" ht="18" customHeight="1">
      <c r="A13" s="1354" t="str">
        <f>IF(F13=1,"",물량산출!Q34)</f>
        <v>KS 엠바</v>
      </c>
      <c r="B13" s="1355"/>
      <c r="C13" s="385">
        <f>IF(F13=1,"",물량산출!R34)</f>
        <v>4000</v>
      </c>
      <c r="D13" s="386">
        <f>IF(F13=1,"",물량산출!S34)</f>
        <v>0</v>
      </c>
      <c r="E13" s="387">
        <f>IF(F13=1,"",물량산출!T34)</f>
        <v>0</v>
      </c>
      <c r="F13" s="1361"/>
      <c r="G13" s="1362"/>
      <c r="H13" s="1362"/>
      <c r="I13" s="1363"/>
    </row>
    <row r="14" spans="1:9" ht="18" customHeight="1">
      <c r="A14" s="1354" t="str">
        <f>IF(F14=1,"",물량산출!Q35)</f>
        <v>캐 링 KS</v>
      </c>
      <c r="B14" s="1355"/>
      <c r="C14" s="385">
        <f>IF(F14=1,"",물량산출!R35)</f>
        <v>4000</v>
      </c>
      <c r="D14" s="386">
        <f>IF(F14=1,"",물량산출!S35)</f>
        <v>0</v>
      </c>
      <c r="E14" s="387">
        <f>IF(F14=1,"",물량산출!T35)</f>
        <v>0</v>
      </c>
      <c r="F14" s="1361"/>
      <c r="G14" s="1362"/>
      <c r="H14" s="1362"/>
      <c r="I14" s="1363"/>
    </row>
    <row r="15" spans="1:9" ht="18" customHeight="1">
      <c r="A15" s="1354" t="str">
        <f>IF(F15=1,"",물량산출!Q36)</f>
        <v>마이너 KS</v>
      </c>
      <c r="B15" s="1355"/>
      <c r="C15" s="385">
        <f>IF(F15=1,"",물량산출!R36)</f>
        <v>4000</v>
      </c>
      <c r="D15" s="386">
        <f>IF(F15=1,"",물량산출!S36)</f>
        <v>0</v>
      </c>
      <c r="E15" s="387">
        <f>IF(F15=1,"",물량산출!T36)</f>
        <v>0</v>
      </c>
      <c r="F15" s="1361"/>
      <c r="G15" s="1362"/>
      <c r="H15" s="1362"/>
      <c r="I15" s="1363"/>
    </row>
    <row r="16" spans="1:9" ht="18" customHeight="1">
      <c r="A16" s="1354" t="str">
        <f>IF(F16=1,"",물량산출!Q37)</f>
        <v/>
      </c>
      <c r="B16" s="1355"/>
      <c r="C16" s="385">
        <f>IF(F16=1,"",물량산출!R37)</f>
        <v>3000</v>
      </c>
      <c r="D16" s="386">
        <f>IF(F16=1,"",물량산출!S37)</f>
        <v>0</v>
      </c>
      <c r="E16" s="387">
        <f>IF(F16=1,"",물량산출!T37)</f>
        <v>0</v>
      </c>
      <c r="F16" s="1361"/>
      <c r="G16" s="1362"/>
      <c r="H16" s="1362"/>
      <c r="I16" s="1363"/>
    </row>
    <row r="17" spans="1:9" ht="18" customHeight="1">
      <c r="A17" s="1354" t="str">
        <f>IF(F17=1,"",물량산출!Q38)</f>
        <v>볼 트</v>
      </c>
      <c r="B17" s="1355"/>
      <c r="C17" s="385">
        <f>IF(F17=1,"",물량산출!R38)</f>
        <v>3000</v>
      </c>
      <c r="D17" s="386">
        <f>IF(F17=1,"",물량산출!S38)</f>
        <v>0</v>
      </c>
      <c r="E17" s="387">
        <f>IF(F17=1,"",물량산출!T38)</f>
        <v>0</v>
      </c>
      <c r="F17" s="1361"/>
      <c r="G17" s="1362"/>
      <c r="H17" s="1362"/>
      <c r="I17" s="1363"/>
    </row>
    <row r="18" spans="1:9" ht="18" customHeight="1">
      <c r="A18" s="1354" t="str">
        <f>IF(F18=1,"",물량산출!Q39)</f>
        <v>항가 150 KS</v>
      </c>
      <c r="B18" s="1355"/>
      <c r="C18" s="385">
        <f>IF(F18=1,"",물량산출!R39)</f>
        <v>0</v>
      </c>
      <c r="D18" s="386">
        <f>IF(F18=1,"",물량산출!S39)</f>
        <v>0</v>
      </c>
      <c r="E18" s="387">
        <f>IF(F18=1,"",물량산출!T39)</f>
        <v>0</v>
      </c>
      <c r="F18" s="1361"/>
      <c r="G18" s="1362"/>
      <c r="H18" s="1362"/>
      <c r="I18" s="1363"/>
    </row>
    <row r="19" spans="1:9" ht="18" customHeight="1">
      <c r="A19" s="1354" t="str">
        <f>IF(F19=1,"",물량산출!Q40)</f>
        <v>항가핀</v>
      </c>
      <c r="B19" s="1355"/>
      <c r="C19" s="385">
        <f>IF(F19=1,"",물량산출!R40)</f>
        <v>0</v>
      </c>
      <c r="D19" s="386">
        <f>IF(F19=1,"",물량산출!S40)</f>
        <v>0</v>
      </c>
      <c r="E19" s="387">
        <f>IF(F19=1,"",물량산출!T40)</f>
        <v>0</v>
      </c>
      <c r="F19" s="1361"/>
      <c r="G19" s="1362"/>
      <c r="H19" s="1362"/>
      <c r="I19" s="1363"/>
    </row>
    <row r="20" spans="1:9" ht="18" customHeight="1">
      <c r="A20" s="1354" t="str">
        <f>IF(F20=1,"",물량산출!Q41)</f>
        <v>앙카</v>
      </c>
      <c r="B20" s="1355"/>
      <c r="C20" s="385">
        <f>IF(F20=1,"",물량산출!R41)</f>
        <v>0</v>
      </c>
      <c r="D20" s="386">
        <f>IF(F20=1,"",물량산출!S41)</f>
        <v>0</v>
      </c>
      <c r="E20" s="387">
        <f>IF(F20=1,"",물량산출!T41)</f>
        <v>0</v>
      </c>
      <c r="F20" s="1361"/>
      <c r="G20" s="1362"/>
      <c r="H20" s="1362"/>
      <c r="I20" s="1363"/>
    </row>
    <row r="21" spans="1:9" ht="18" customHeight="1">
      <c r="A21" s="1354" t="str">
        <f>IF(F21=1,"",물량산출!Q42)</f>
        <v>너트</v>
      </c>
      <c r="B21" s="1355"/>
      <c r="C21" s="385">
        <f>IF(F21=1,"",물량산출!R42)</f>
        <v>0</v>
      </c>
      <c r="D21" s="386">
        <f>IF(F21=1,"",물량산출!S42)</f>
        <v>0</v>
      </c>
      <c r="E21" s="387">
        <f>IF(F21=1,"",물량산출!T42)</f>
        <v>0</v>
      </c>
      <c r="F21" s="1361"/>
      <c r="G21" s="1362"/>
      <c r="H21" s="1362"/>
      <c r="I21" s="1363"/>
    </row>
    <row r="22" spans="1:9" ht="18" customHeight="1">
      <c r="A22" s="1354" t="str">
        <f>IF(F22=1,"",물량산출!Q43)</f>
        <v>KS 크립</v>
      </c>
      <c r="B22" s="1355"/>
      <c r="C22" s="385">
        <f>IF(F22=1,"",물량산출!R43)</f>
        <v>0</v>
      </c>
      <c r="D22" s="386">
        <f>IF(F22=1,"",물량산출!S43)</f>
        <v>0</v>
      </c>
      <c r="E22" s="387">
        <f>IF(F22=1,"",물량산출!T43)</f>
        <v>0</v>
      </c>
      <c r="F22" s="1361"/>
      <c r="G22" s="1362"/>
      <c r="H22" s="1362"/>
      <c r="I22" s="1363"/>
    </row>
    <row r="23" spans="1:9" ht="18" customHeight="1">
      <c r="A23" s="1354" t="str">
        <f>IF(F23=1,"",물량산출!Q44)</f>
        <v>KS 엠바 쪼인트</v>
      </c>
      <c r="B23" s="1355"/>
      <c r="C23" s="385">
        <f>IF(F23=1,"",물량산출!R44)</f>
        <v>0</v>
      </c>
      <c r="D23" s="386">
        <f>IF(F23=1,"",물량산출!S44)</f>
        <v>0</v>
      </c>
      <c r="E23" s="387">
        <f>IF(F23=1,"",물량산출!T44)</f>
        <v>0</v>
      </c>
      <c r="F23" s="1361"/>
      <c r="G23" s="1362"/>
      <c r="H23" s="1362"/>
      <c r="I23" s="1363"/>
    </row>
    <row r="24" spans="1:9" ht="18" customHeight="1">
      <c r="A24" s="1354" t="str">
        <f>IF(F24=1,"",물량산출!Q45)</f>
        <v>캐링 쪼인트</v>
      </c>
      <c r="B24" s="1355"/>
      <c r="C24" s="385">
        <f>IF(F24=1,"",물량산출!R45)</f>
        <v>0</v>
      </c>
      <c r="D24" s="386">
        <f>IF(F24=1,"",물량산출!S45)</f>
        <v>0</v>
      </c>
      <c r="E24" s="387">
        <f>IF(F24=1,"",물량산출!T45)</f>
        <v>0</v>
      </c>
      <c r="F24" s="1361"/>
      <c r="G24" s="1362"/>
      <c r="H24" s="1362"/>
      <c r="I24" s="1363"/>
    </row>
    <row r="25" spans="1:9" ht="18" customHeight="1">
      <c r="A25" s="1354" t="str">
        <f>IF(F25=1,"",물량산출!Q46)</f>
        <v>마이너크립</v>
      </c>
      <c r="B25" s="1355"/>
      <c r="C25" s="385">
        <f>IF(F25=1,"",물량산출!R46)</f>
        <v>0</v>
      </c>
      <c r="D25" s="386">
        <f>IF(F25=1,"",물량산출!S46)</f>
        <v>0</v>
      </c>
      <c r="E25" s="387">
        <f>IF(F25=1,"",물량산출!T46)</f>
        <v>0</v>
      </c>
      <c r="F25" s="1361"/>
      <c r="G25" s="1362"/>
      <c r="H25" s="1362"/>
      <c r="I25" s="1363"/>
    </row>
    <row r="26" spans="1:9" ht="18" customHeight="1">
      <c r="A26" s="1354">
        <f>IF(F26=1,"",물량산출!Q47)</f>
        <v>0</v>
      </c>
      <c r="B26" s="1355"/>
      <c r="C26" s="385">
        <f>IF(F26=1,"",물량산출!R47)</f>
        <v>0</v>
      </c>
      <c r="D26" s="386">
        <f>IF(F26=1,"",물량산출!S47)</f>
        <v>0</v>
      </c>
      <c r="E26" s="387">
        <f>IF(F26=1,"",물량산출!T47)</f>
        <v>0</v>
      </c>
      <c r="F26" s="1361"/>
      <c r="G26" s="1362"/>
      <c r="H26" s="1362"/>
      <c r="I26" s="1363"/>
    </row>
    <row r="27" spans="1:9" ht="18" customHeight="1">
      <c r="A27" s="1354" t="str">
        <f>IF(F27=1,"",물량산출!Q48)</f>
        <v/>
      </c>
      <c r="B27" s="1355"/>
      <c r="C27" s="385">
        <f>IF(F27=1,"",물량산출!R48)</f>
        <v>0</v>
      </c>
      <c r="D27" s="386">
        <f>IF(F27=1,"",물량산출!S48)</f>
        <v>0</v>
      </c>
      <c r="E27" s="387">
        <f>IF(F27=1,"",물량산출!T48)</f>
        <v>0</v>
      </c>
      <c r="F27" s="1361"/>
      <c r="G27" s="1362"/>
      <c r="H27" s="1362"/>
      <c r="I27" s="1363"/>
    </row>
    <row r="28" spans="1:9" ht="18" customHeight="1">
      <c r="A28" s="1359"/>
      <c r="B28" s="1360"/>
      <c r="C28" s="388"/>
      <c r="D28" s="389"/>
      <c r="E28" s="390"/>
      <c r="F28" s="1361"/>
      <c r="G28" s="1362"/>
      <c r="H28" s="1362"/>
      <c r="I28" s="1363"/>
    </row>
    <row r="29" spans="1:9" ht="18" customHeight="1">
      <c r="A29" s="1359"/>
      <c r="B29" s="1360"/>
      <c r="C29" s="388"/>
      <c r="D29" s="389"/>
      <c r="E29" s="390"/>
      <c r="F29" s="1361"/>
      <c r="G29" s="1362"/>
      <c r="H29" s="1362"/>
      <c r="I29" s="1363"/>
    </row>
    <row r="30" spans="1:9" ht="18" customHeight="1">
      <c r="A30" s="1359"/>
      <c r="B30" s="1360"/>
      <c r="C30" s="388"/>
      <c r="D30" s="389"/>
      <c r="E30" s="390"/>
      <c r="F30" s="1361"/>
      <c r="G30" s="1362"/>
      <c r="H30" s="1362"/>
      <c r="I30" s="1363"/>
    </row>
    <row r="31" spans="1:9" ht="18" customHeight="1">
      <c r="A31" s="1359"/>
      <c r="B31" s="1360"/>
      <c r="C31" s="388"/>
      <c r="D31" s="389"/>
      <c r="E31" s="390"/>
      <c r="F31" s="1361"/>
      <c r="G31" s="1362"/>
      <c r="H31" s="1362"/>
      <c r="I31" s="1363"/>
    </row>
    <row r="32" spans="1:9" ht="18" customHeight="1">
      <c r="A32" s="1359"/>
      <c r="B32" s="1360"/>
      <c r="C32" s="388"/>
      <c r="D32" s="389"/>
      <c r="E32" s="390"/>
      <c r="F32" s="1361"/>
      <c r="G32" s="1362"/>
      <c r="H32" s="1362"/>
      <c r="I32" s="1363"/>
    </row>
    <row r="33" spans="1:9" ht="18" customHeight="1">
      <c r="A33" s="1359"/>
      <c r="B33" s="1360"/>
      <c r="C33" s="388"/>
      <c r="D33" s="389"/>
      <c r="E33" s="390"/>
      <c r="F33" s="1361"/>
      <c r="G33" s="1362"/>
      <c r="H33" s="1362"/>
      <c r="I33" s="1363"/>
    </row>
    <row r="34" spans="1:9" ht="18" customHeight="1">
      <c r="A34" s="1346"/>
      <c r="B34" s="1347"/>
      <c r="C34" s="391"/>
      <c r="D34" s="392"/>
      <c r="E34" s="393"/>
      <c r="F34" s="1348"/>
      <c r="G34" s="1349"/>
      <c r="H34" s="1349"/>
      <c r="I34" s="1350"/>
    </row>
    <row r="35" spans="1:9" ht="18" customHeight="1">
      <c r="A35" s="1351" t="s">
        <v>238</v>
      </c>
      <c r="B35" s="1352"/>
      <c r="C35" s="1352"/>
      <c r="D35" s="1352"/>
      <c r="E35" s="1352"/>
      <c r="F35" s="1352"/>
      <c r="G35" s="1352"/>
      <c r="H35" s="1352"/>
      <c r="I35" s="1353"/>
    </row>
    <row r="36" spans="1:9" ht="18" customHeight="1">
      <c r="A36" s="1339"/>
      <c r="B36" s="1340"/>
      <c r="C36" s="1340"/>
      <c r="D36" s="1340"/>
      <c r="E36" s="1340"/>
      <c r="F36" s="1340"/>
      <c r="G36" s="1340"/>
      <c r="H36" s="1340"/>
      <c r="I36" s="1341"/>
    </row>
    <row r="37" spans="1:9" ht="18" customHeight="1">
      <c r="A37" s="1339"/>
      <c r="B37" s="1340"/>
      <c r="C37" s="1340"/>
      <c r="D37" s="1340"/>
      <c r="E37" s="1340"/>
      <c r="F37" s="1340"/>
      <c r="G37" s="1340"/>
      <c r="H37" s="1340"/>
      <c r="I37" s="1341"/>
    </row>
    <row r="38" spans="1:9" ht="18" customHeight="1">
      <c r="A38" s="1339"/>
      <c r="B38" s="1340"/>
      <c r="C38" s="1340"/>
      <c r="D38" s="1340"/>
      <c r="E38" s="1340"/>
      <c r="F38" s="1340"/>
      <c r="G38" s="1340"/>
      <c r="H38" s="1340"/>
      <c r="I38" s="1341"/>
    </row>
    <row r="39" spans="1:9" ht="18" customHeight="1">
      <c r="A39" s="1339"/>
      <c r="B39" s="1340"/>
      <c r="C39" s="1340"/>
      <c r="D39" s="1340"/>
      <c r="E39" s="1340"/>
      <c r="F39" s="1340"/>
      <c r="G39" s="1340"/>
      <c r="H39" s="1340"/>
      <c r="I39" s="1341"/>
    </row>
    <row r="40" spans="1:9" ht="18" customHeight="1">
      <c r="A40" s="1342"/>
      <c r="B40" s="1343"/>
      <c r="C40" s="1343"/>
      <c r="D40" s="1343"/>
      <c r="E40" s="1343"/>
      <c r="F40" s="1343"/>
      <c r="G40" s="1343"/>
      <c r="H40" s="1343"/>
      <c r="I40" s="1344"/>
    </row>
    <row r="41" spans="1:9">
      <c r="A41" s="612"/>
      <c r="B41" s="612"/>
      <c r="C41" s="1345"/>
      <c r="D41" s="1345"/>
      <c r="E41" s="1345"/>
      <c r="F41" s="1345"/>
      <c r="G41" s="1345"/>
      <c r="H41" s="1345"/>
      <c r="I41" s="1345"/>
    </row>
  </sheetData>
  <sheetProtection algorithmName="SHA-512" hashValue="OWL1nShdj4G7MkMitiuT/Hz+Q7VyT5t8C54cu8DO+mHp8VnX5FmxSzu4OcAvUaNqf6n8g5yMkq58kFKfpATGXw==" saltValue="zeNxH54zqJObqZmEvXLSeA==" spinCount="100000" sheet="1" autoFilter="0"/>
  <autoFilter ref="F11:I34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A12" sqref="A12:B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88" t="s">
        <v>220</v>
      </c>
      <c r="B1" s="1388"/>
      <c r="C1" s="1388"/>
      <c r="D1" s="1388"/>
      <c r="E1" s="1388"/>
      <c r="F1" s="1388"/>
      <c r="G1" s="1388"/>
      <c r="H1" s="1388"/>
      <c r="I1" s="1388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89" t="s">
        <v>222</v>
      </c>
      <c r="C3" s="1390"/>
      <c r="D3" s="1390"/>
      <c r="E3" s="1391"/>
      <c r="F3" s="1392" t="s">
        <v>223</v>
      </c>
      <c r="G3" s="1392"/>
      <c r="H3" s="1393"/>
      <c r="I3" s="1394"/>
    </row>
    <row r="4" spans="1:9" ht="18" customHeight="1">
      <c r="A4" s="380" t="s">
        <v>224</v>
      </c>
      <c r="B4" s="1395" t="s">
        <v>225</v>
      </c>
      <c r="C4" s="1396"/>
      <c r="D4" s="1396"/>
      <c r="E4" s="1397"/>
      <c r="F4" s="1398" t="s">
        <v>226</v>
      </c>
      <c r="G4" s="1398"/>
      <c r="H4" s="1399"/>
      <c r="I4" s="1400"/>
    </row>
    <row r="5" spans="1:9" ht="18" customHeight="1">
      <c r="A5" s="381" t="s">
        <v>227</v>
      </c>
      <c r="B5" s="1364"/>
      <c r="C5" s="1365"/>
      <c r="D5" s="1365"/>
      <c r="E5" s="1366"/>
      <c r="F5" s="1367" t="s">
        <v>224</v>
      </c>
      <c r="G5" s="1367"/>
      <c r="H5" s="1368"/>
      <c r="I5" s="1369"/>
    </row>
    <row r="6" spans="1:9" ht="18" customHeight="1">
      <c r="A6" s="382" t="s">
        <v>228</v>
      </c>
      <c r="B6" s="1385"/>
      <c r="C6" s="1386"/>
      <c r="D6" s="1386"/>
      <c r="E6" s="1387"/>
      <c r="F6" s="1367" t="s">
        <v>229</v>
      </c>
      <c r="G6" s="1367"/>
      <c r="H6" s="1368"/>
      <c r="I6" s="1369"/>
    </row>
    <row r="7" spans="1:9" ht="18" customHeight="1">
      <c r="A7" s="381" t="s">
        <v>230</v>
      </c>
      <c r="B7" s="1364"/>
      <c r="C7" s="1365"/>
      <c r="D7" s="1365"/>
      <c r="E7" s="1366"/>
      <c r="F7" s="1367" t="s">
        <v>231</v>
      </c>
      <c r="G7" s="1367"/>
      <c r="H7" s="1368"/>
      <c r="I7" s="1369"/>
    </row>
    <row r="8" spans="1:9" ht="18" customHeight="1">
      <c r="A8" s="383" t="s">
        <v>232</v>
      </c>
      <c r="B8" s="1370"/>
      <c r="C8" s="1371"/>
      <c r="D8" s="1371"/>
      <c r="E8" s="1372"/>
      <c r="F8" s="1373" t="s">
        <v>233</v>
      </c>
      <c r="G8" s="1373"/>
      <c r="H8" s="1374"/>
      <c r="I8" s="1375"/>
    </row>
    <row r="9" spans="1:9" ht="18" customHeight="1">
      <c r="A9" s="379" t="s">
        <v>234</v>
      </c>
      <c r="B9" s="1376" t="str">
        <f>물량산출!R55&amp;"  " &amp;물량산출!Q55&amp;"  "&amp; 물량산출!R53&amp;" 평 자재 물량"</f>
        <v>600×600  마이톤 15T  0 평 자재 물량</v>
      </c>
      <c r="C9" s="1377"/>
      <c r="D9" s="1377"/>
      <c r="E9" s="1377"/>
      <c r="F9" s="1377"/>
      <c r="G9" s="1377"/>
      <c r="H9" s="1377"/>
      <c r="I9" s="1378"/>
    </row>
    <row r="10" spans="1:9" ht="18" customHeight="1">
      <c r="A10" s="1379"/>
      <c r="B10" s="1379"/>
      <c r="C10" s="1379"/>
      <c r="D10" s="1379"/>
      <c r="E10" s="1379"/>
      <c r="F10" s="1379"/>
      <c r="G10" s="1379"/>
      <c r="H10" s="1379"/>
      <c r="I10" s="1379"/>
    </row>
    <row r="11" spans="1:9" ht="18" customHeight="1">
      <c r="A11" s="1380" t="s">
        <v>235</v>
      </c>
      <c r="B11" s="1381"/>
      <c r="C11" s="384" t="s">
        <v>49</v>
      </c>
      <c r="D11" s="1380" t="s">
        <v>236</v>
      </c>
      <c r="E11" s="1381"/>
      <c r="F11" s="1382" t="s">
        <v>237</v>
      </c>
      <c r="G11" s="1383"/>
      <c r="H11" s="1383"/>
      <c r="I11" s="1384"/>
    </row>
    <row r="12" spans="1:9" ht="18" customHeight="1">
      <c r="A12" s="1354" t="str">
        <f>IF(F12=1,"",물량산출!Q55)</f>
        <v>마이톤 15T</v>
      </c>
      <c r="B12" s="1355"/>
      <c r="C12" s="385" t="str">
        <f>IF(F12=1,"",물량산출!R55)</f>
        <v>600×600</v>
      </c>
      <c r="D12" s="386">
        <f>IF(F12=1,"",물량산출!S55)</f>
        <v>0</v>
      </c>
      <c r="E12" s="387">
        <f>IF(F12=1,"",물량산출!T55)</f>
        <v>0</v>
      </c>
      <c r="F12" s="1356"/>
      <c r="G12" s="1357"/>
      <c r="H12" s="1357"/>
      <c r="I12" s="1358"/>
    </row>
    <row r="13" spans="1:9" ht="18" customHeight="1">
      <c r="A13" s="1354" t="str">
        <f>IF(F13=1,"",물량산출!Q56)</f>
        <v>메인티바</v>
      </c>
      <c r="B13" s="1355"/>
      <c r="C13" s="385">
        <f>IF(F13=1,"",물량산출!R56)</f>
        <v>3660</v>
      </c>
      <c r="D13" s="386">
        <f>IF(F13=1,"",물량산출!S56)</f>
        <v>0</v>
      </c>
      <c r="E13" s="387">
        <f>IF(F13=1,"",물량산출!T56)</f>
        <v>0</v>
      </c>
      <c r="F13" s="1361"/>
      <c r="G13" s="1362"/>
      <c r="H13" s="1362"/>
      <c r="I13" s="1363"/>
    </row>
    <row r="14" spans="1:9" ht="18" customHeight="1">
      <c r="A14" s="1354" t="str">
        <f>IF(F14=1,"",물량산출!Q57)</f>
        <v>캐 링 KS</v>
      </c>
      <c r="B14" s="1355"/>
      <c r="C14" s="385">
        <f>IF(F14=1,"",물량산출!R57)</f>
        <v>4000</v>
      </c>
      <c r="D14" s="386">
        <f>IF(F14=1,"",물량산출!S57)</f>
        <v>0</v>
      </c>
      <c r="E14" s="387">
        <f>IF(F14=1,"",물량산출!T57)</f>
        <v>0</v>
      </c>
      <c r="F14" s="1361"/>
      <c r="G14" s="1362"/>
      <c r="H14" s="1362"/>
      <c r="I14" s="1363"/>
    </row>
    <row r="15" spans="1:9" ht="18" customHeight="1">
      <c r="A15" s="1354" t="str">
        <f>IF(F15=1,"",물량산출!Q58)</f>
        <v>마이너 KS</v>
      </c>
      <c r="B15" s="1355"/>
      <c r="C15" s="385">
        <f>IF(F15=1,"",물량산출!R58)</f>
        <v>4000</v>
      </c>
      <c r="D15" s="386">
        <f>IF(F15=1,"",물량산출!S58)</f>
        <v>0</v>
      </c>
      <c r="E15" s="387">
        <f>IF(F15=1,"",물량산출!T58)</f>
        <v>0</v>
      </c>
      <c r="F15" s="1361"/>
      <c r="G15" s="1362"/>
      <c r="H15" s="1362"/>
      <c r="I15" s="1363"/>
    </row>
    <row r="16" spans="1:9" ht="18" customHeight="1">
      <c r="A16" s="1354" t="str">
        <f>IF(F16=1,"",물량산출!Q59)</f>
        <v>티바몰딩</v>
      </c>
      <c r="B16" s="1355"/>
      <c r="C16" s="385">
        <f>IF(F16=1,"",물량산출!R59)</f>
        <v>3000</v>
      </c>
      <c r="D16" s="386">
        <f>IF(F16=1,"",물량산출!S59)</f>
        <v>0</v>
      </c>
      <c r="E16" s="387">
        <f>IF(F16=1,"",물량산출!T59)</f>
        <v>0</v>
      </c>
      <c r="F16" s="1361"/>
      <c r="G16" s="1362"/>
      <c r="H16" s="1362"/>
      <c r="I16" s="1363"/>
    </row>
    <row r="17" spans="1:9" ht="18" customHeight="1">
      <c r="A17" s="1354" t="str">
        <f>IF(F17=1,"",물량산출!Q60)</f>
        <v>볼 트</v>
      </c>
      <c r="B17" s="1355"/>
      <c r="C17" s="385">
        <f>IF(F17=1,"",물량산출!R60)</f>
        <v>3000</v>
      </c>
      <c r="D17" s="386">
        <f>IF(F17=1,"",물량산출!S60)</f>
        <v>0</v>
      </c>
      <c r="E17" s="387">
        <f>IF(F17=1,"",물량산출!T60)</f>
        <v>0</v>
      </c>
      <c r="F17" s="1361"/>
      <c r="G17" s="1362"/>
      <c r="H17" s="1362"/>
      <c r="I17" s="1363"/>
    </row>
    <row r="18" spans="1:9" ht="18" customHeight="1">
      <c r="A18" s="1354" t="str">
        <f>IF(F18=1,"",물량산출!Q61)</f>
        <v>항가 150 KS</v>
      </c>
      <c r="B18" s="1355"/>
      <c r="C18" s="385">
        <f>IF(F18=1,"",물량산출!R61)</f>
        <v>0</v>
      </c>
      <c r="D18" s="386">
        <f>IF(F18=1,"",물량산출!S61)</f>
        <v>0</v>
      </c>
      <c r="E18" s="387">
        <f>IF(F18=1,"",물량산출!T61)</f>
        <v>0</v>
      </c>
      <c r="F18" s="1361"/>
      <c r="G18" s="1362"/>
      <c r="H18" s="1362"/>
      <c r="I18" s="1363"/>
    </row>
    <row r="19" spans="1:9" ht="18" customHeight="1">
      <c r="A19" s="1354" t="str">
        <f>IF(F19=1,"",물량산출!Q62)</f>
        <v>항가핀</v>
      </c>
      <c r="B19" s="1355"/>
      <c r="C19" s="385">
        <f>IF(F19=1,"",물량산출!R62)</f>
        <v>0</v>
      </c>
      <c r="D19" s="386">
        <f>IF(F19=1,"",물량산출!S62)</f>
        <v>0</v>
      </c>
      <c r="E19" s="387">
        <f>IF(F19=1,"",물량산출!T62)</f>
        <v>0</v>
      </c>
      <c r="F19" s="1361"/>
      <c r="G19" s="1362"/>
      <c r="H19" s="1362"/>
      <c r="I19" s="1363"/>
    </row>
    <row r="20" spans="1:9" ht="18" customHeight="1">
      <c r="A20" s="1354" t="str">
        <f>IF(F20=1,"",물량산출!Q63)</f>
        <v>앙카</v>
      </c>
      <c r="B20" s="1355"/>
      <c r="C20" s="385">
        <f>IF(F20=1,"",물량산출!R63)</f>
        <v>0</v>
      </c>
      <c r="D20" s="386">
        <f>IF(F20=1,"",물량산출!S63)</f>
        <v>0</v>
      </c>
      <c r="E20" s="387">
        <f>IF(F20=1,"",물량산출!T63)</f>
        <v>0</v>
      </c>
      <c r="F20" s="1361"/>
      <c r="G20" s="1362"/>
      <c r="H20" s="1362"/>
      <c r="I20" s="1363"/>
    </row>
    <row r="21" spans="1:9" ht="18" customHeight="1">
      <c r="A21" s="1354" t="str">
        <f>IF(F21=1,"",물량산출!Q64)</f>
        <v>너트</v>
      </c>
      <c r="B21" s="1355"/>
      <c r="C21" s="385">
        <f>IF(F21=1,"",물량산출!R64)</f>
        <v>0</v>
      </c>
      <c r="D21" s="386">
        <f>IF(F21=1,"",물량산출!S64)</f>
        <v>0</v>
      </c>
      <c r="E21" s="387">
        <f>IF(F21=1,"",물량산출!T64)</f>
        <v>0</v>
      </c>
      <c r="F21" s="1361"/>
      <c r="G21" s="1362"/>
      <c r="H21" s="1362"/>
      <c r="I21" s="1363"/>
    </row>
    <row r="22" spans="1:9" ht="18" customHeight="1">
      <c r="A22" s="1354" t="str">
        <f>IF(F22=1,"",물량산출!Q65)</f>
        <v>나비크립</v>
      </c>
      <c r="B22" s="1355"/>
      <c r="C22" s="385">
        <f>IF(F22=1,"",물량산출!R65)</f>
        <v>0</v>
      </c>
      <c r="D22" s="386">
        <f>IF(F22=1,"",물량산출!S65)</f>
        <v>0</v>
      </c>
      <c r="E22" s="387">
        <f>IF(F22=1,"",물량산출!T65)</f>
        <v>0</v>
      </c>
      <c r="F22" s="1361"/>
      <c r="G22" s="1362"/>
      <c r="H22" s="1362"/>
      <c r="I22" s="1363"/>
    </row>
    <row r="23" spans="1:9" ht="18" customHeight="1">
      <c r="A23" s="1354" t="str">
        <f>IF(F23=1,"",물량산출!Q66)</f>
        <v>캐링 쪼인트</v>
      </c>
      <c r="B23" s="1355"/>
      <c r="C23" s="385">
        <f>IF(F23=1,"",물량산출!R66)</f>
        <v>0</v>
      </c>
      <c r="D23" s="386">
        <f>IF(F23=1,"",물량산출!S66)</f>
        <v>0</v>
      </c>
      <c r="E23" s="387">
        <f>IF(F23=1,"",물량산출!T66)</f>
        <v>0</v>
      </c>
      <c r="F23" s="1361"/>
      <c r="G23" s="1362"/>
      <c r="H23" s="1362"/>
      <c r="I23" s="1363"/>
    </row>
    <row r="24" spans="1:9" ht="18" customHeight="1">
      <c r="A24" s="1354" t="str">
        <f>IF(F24=1,"",물량산출!Q67)</f>
        <v>마이너 크립</v>
      </c>
      <c r="B24" s="1355"/>
      <c r="C24" s="385">
        <f>IF(F24=1,"",물량산출!R67)</f>
        <v>0</v>
      </c>
      <c r="D24" s="386">
        <f>IF(F24=1,"",물량산출!S67)</f>
        <v>0</v>
      </c>
      <c r="E24" s="387">
        <f>IF(F24=1,"",물량산출!T67)</f>
        <v>0</v>
      </c>
      <c r="F24" s="1361"/>
      <c r="G24" s="1362"/>
      <c r="H24" s="1362"/>
      <c r="I24" s="1363"/>
    </row>
    <row r="25" spans="1:9" ht="18" customHeight="1">
      <c r="A25" s="1354" t="str">
        <f>IF(F25=1,"",물량산출!Q68)</f>
        <v>크로스티바 600</v>
      </c>
      <c r="B25" s="1355"/>
      <c r="C25" s="385">
        <f>IF(F25=1,"",물량산출!R68)</f>
        <v>600</v>
      </c>
      <c r="D25" s="386">
        <f>IF(F25=1,"",물량산출!S68)</f>
        <v>0</v>
      </c>
      <c r="E25" s="387">
        <f>IF(F25=1,"",물량산출!T68)</f>
        <v>0</v>
      </c>
      <c r="F25" s="1361"/>
      <c r="G25" s="1362"/>
      <c r="H25" s="1362"/>
      <c r="I25" s="1363"/>
    </row>
    <row r="26" spans="1:9" ht="18" customHeight="1">
      <c r="A26" s="1359"/>
      <c r="B26" s="1360"/>
      <c r="C26" s="388"/>
      <c r="D26" s="389"/>
      <c r="E26" s="390"/>
      <c r="F26" s="1361"/>
      <c r="G26" s="1362"/>
      <c r="H26" s="1362"/>
      <c r="I26" s="1363"/>
    </row>
    <row r="27" spans="1:9" ht="18" customHeight="1">
      <c r="A27" s="1359"/>
      <c r="B27" s="1360"/>
      <c r="C27" s="388"/>
      <c r="D27" s="389"/>
      <c r="E27" s="390"/>
      <c r="F27" s="1361"/>
      <c r="G27" s="1362"/>
      <c r="H27" s="1362"/>
      <c r="I27" s="1363"/>
    </row>
    <row r="28" spans="1:9" ht="18" customHeight="1">
      <c r="A28" s="1359"/>
      <c r="B28" s="1360"/>
      <c r="C28" s="388"/>
      <c r="D28" s="389"/>
      <c r="E28" s="390"/>
      <c r="F28" s="1361"/>
      <c r="G28" s="1362"/>
      <c r="H28" s="1362"/>
      <c r="I28" s="1363"/>
    </row>
    <row r="29" spans="1:9" ht="18" customHeight="1">
      <c r="A29" s="1359"/>
      <c r="B29" s="1360"/>
      <c r="C29" s="388"/>
      <c r="D29" s="389"/>
      <c r="E29" s="390"/>
      <c r="F29" s="1361"/>
      <c r="G29" s="1362"/>
      <c r="H29" s="1362"/>
      <c r="I29" s="1363"/>
    </row>
    <row r="30" spans="1:9" ht="18" customHeight="1">
      <c r="A30" s="1359"/>
      <c r="B30" s="1360"/>
      <c r="C30" s="388"/>
      <c r="D30" s="389"/>
      <c r="E30" s="390"/>
      <c r="F30" s="1361"/>
      <c r="G30" s="1362"/>
      <c r="H30" s="1362"/>
      <c r="I30" s="1363"/>
    </row>
    <row r="31" spans="1:9" ht="18" customHeight="1">
      <c r="A31" s="1359"/>
      <c r="B31" s="1360"/>
      <c r="C31" s="388"/>
      <c r="D31" s="389"/>
      <c r="E31" s="390"/>
      <c r="F31" s="1361"/>
      <c r="G31" s="1362"/>
      <c r="H31" s="1362"/>
      <c r="I31" s="1363"/>
    </row>
    <row r="32" spans="1:9" ht="18" customHeight="1">
      <c r="A32" s="1359"/>
      <c r="B32" s="1360"/>
      <c r="C32" s="388"/>
      <c r="D32" s="389"/>
      <c r="E32" s="390"/>
      <c r="F32" s="1361"/>
      <c r="G32" s="1362"/>
      <c r="H32" s="1362"/>
      <c r="I32" s="1363"/>
    </row>
    <row r="33" spans="1:9" ht="18" customHeight="1">
      <c r="A33" s="1359"/>
      <c r="B33" s="1360"/>
      <c r="C33" s="388"/>
      <c r="D33" s="389"/>
      <c r="E33" s="390"/>
      <c r="F33" s="1361"/>
      <c r="G33" s="1362"/>
      <c r="H33" s="1362"/>
      <c r="I33" s="1363"/>
    </row>
    <row r="34" spans="1:9" ht="18" customHeight="1">
      <c r="A34" s="1346"/>
      <c r="B34" s="1347"/>
      <c r="C34" s="391"/>
      <c r="D34" s="392"/>
      <c r="E34" s="393"/>
      <c r="F34" s="1348"/>
      <c r="G34" s="1349"/>
      <c r="H34" s="1349"/>
      <c r="I34" s="1350"/>
    </row>
    <row r="35" spans="1:9" ht="18" customHeight="1">
      <c r="A35" s="1351" t="s">
        <v>238</v>
      </c>
      <c r="B35" s="1352"/>
      <c r="C35" s="1352"/>
      <c r="D35" s="1352"/>
      <c r="E35" s="1352"/>
      <c r="F35" s="1352"/>
      <c r="G35" s="1352"/>
      <c r="H35" s="1352"/>
      <c r="I35" s="1353"/>
    </row>
    <row r="36" spans="1:9" ht="18" customHeight="1">
      <c r="A36" s="1339"/>
      <c r="B36" s="1340"/>
      <c r="C36" s="1340"/>
      <c r="D36" s="1340"/>
      <c r="E36" s="1340"/>
      <c r="F36" s="1340"/>
      <c r="G36" s="1340"/>
      <c r="H36" s="1340"/>
      <c r="I36" s="1341"/>
    </row>
    <row r="37" spans="1:9" ht="18" customHeight="1">
      <c r="A37" s="1339"/>
      <c r="B37" s="1340"/>
      <c r="C37" s="1340"/>
      <c r="D37" s="1340"/>
      <c r="E37" s="1340"/>
      <c r="F37" s="1340"/>
      <c r="G37" s="1340"/>
      <c r="H37" s="1340"/>
      <c r="I37" s="1341"/>
    </row>
    <row r="38" spans="1:9" ht="18" customHeight="1">
      <c r="A38" s="1339"/>
      <c r="B38" s="1340"/>
      <c r="C38" s="1340"/>
      <c r="D38" s="1340"/>
      <c r="E38" s="1340"/>
      <c r="F38" s="1340"/>
      <c r="G38" s="1340"/>
      <c r="H38" s="1340"/>
      <c r="I38" s="1341"/>
    </row>
    <row r="39" spans="1:9" ht="18" customHeight="1">
      <c r="A39" s="1339"/>
      <c r="B39" s="1340"/>
      <c r="C39" s="1340"/>
      <c r="D39" s="1340"/>
      <c r="E39" s="1340"/>
      <c r="F39" s="1340"/>
      <c r="G39" s="1340"/>
      <c r="H39" s="1340"/>
      <c r="I39" s="1341"/>
    </row>
    <row r="40" spans="1:9" ht="18" customHeight="1">
      <c r="A40" s="1342"/>
      <c r="B40" s="1343"/>
      <c r="C40" s="1343"/>
      <c r="D40" s="1343"/>
      <c r="E40" s="1343"/>
      <c r="F40" s="1343"/>
      <c r="G40" s="1343"/>
      <c r="H40" s="1343"/>
      <c r="I40" s="1344"/>
    </row>
    <row r="41" spans="1:9">
      <c r="A41" s="612"/>
      <c r="B41" s="612"/>
      <c r="C41" s="1345"/>
      <c r="D41" s="1345"/>
      <c r="E41" s="1345"/>
      <c r="F41" s="1345"/>
      <c r="G41" s="1345"/>
      <c r="H41" s="1345"/>
      <c r="I41" s="1345"/>
    </row>
  </sheetData>
  <sheetProtection algorithmName="SHA-512" hashValue="LvGrJNPXGLzcWTafI5eIA2b/tjSe8nduEgPeBGEeranzCRfCDCjWFSdrYg2EDT1Ul1tzs7c393U0F+Z+hl2dBg==" saltValue="LvgKd9d66TRFXL9s9rsk3Q==" spinCount="100000" sheet="1" autoFilter="0"/>
  <autoFilter ref="F11:I35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E12" sqref="E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88" t="s">
        <v>220</v>
      </c>
      <c r="B1" s="1388"/>
      <c r="C1" s="1388"/>
      <c r="D1" s="1388"/>
      <c r="E1" s="1388"/>
      <c r="F1" s="1388"/>
      <c r="G1" s="1388"/>
      <c r="H1" s="1388"/>
      <c r="I1" s="1388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89" t="s">
        <v>222</v>
      </c>
      <c r="C3" s="1390"/>
      <c r="D3" s="1390"/>
      <c r="E3" s="1391"/>
      <c r="F3" s="1392" t="s">
        <v>223</v>
      </c>
      <c r="G3" s="1392"/>
      <c r="H3" s="1393"/>
      <c r="I3" s="1394"/>
    </row>
    <row r="4" spans="1:9" ht="18" customHeight="1">
      <c r="A4" s="380" t="s">
        <v>224</v>
      </c>
      <c r="B4" s="1395" t="s">
        <v>225</v>
      </c>
      <c r="C4" s="1396"/>
      <c r="D4" s="1396"/>
      <c r="E4" s="1397"/>
      <c r="F4" s="1398" t="s">
        <v>226</v>
      </c>
      <c r="G4" s="1398"/>
      <c r="H4" s="1399"/>
      <c r="I4" s="1400"/>
    </row>
    <row r="5" spans="1:9" ht="18" customHeight="1">
      <c r="A5" s="381" t="s">
        <v>227</v>
      </c>
      <c r="B5" s="1364"/>
      <c r="C5" s="1365"/>
      <c r="D5" s="1365"/>
      <c r="E5" s="1366"/>
      <c r="F5" s="1367" t="s">
        <v>224</v>
      </c>
      <c r="G5" s="1367"/>
      <c r="H5" s="1368"/>
      <c r="I5" s="1369"/>
    </row>
    <row r="6" spans="1:9" ht="18" customHeight="1">
      <c r="A6" s="382" t="s">
        <v>228</v>
      </c>
      <c r="B6" s="1385"/>
      <c r="C6" s="1386"/>
      <c r="D6" s="1386"/>
      <c r="E6" s="1387"/>
      <c r="F6" s="1367" t="s">
        <v>229</v>
      </c>
      <c r="G6" s="1367"/>
      <c r="H6" s="1368"/>
      <c r="I6" s="1369"/>
    </row>
    <row r="7" spans="1:9" ht="18" customHeight="1">
      <c r="A7" s="381" t="s">
        <v>230</v>
      </c>
      <c r="B7" s="1364"/>
      <c r="C7" s="1365"/>
      <c r="D7" s="1365"/>
      <c r="E7" s="1366"/>
      <c r="F7" s="1367" t="s">
        <v>231</v>
      </c>
      <c r="G7" s="1367"/>
      <c r="H7" s="1368"/>
      <c r="I7" s="1369"/>
    </row>
    <row r="8" spans="1:9" ht="18" customHeight="1">
      <c r="A8" s="383" t="s">
        <v>232</v>
      </c>
      <c r="B8" s="1370"/>
      <c r="C8" s="1371"/>
      <c r="D8" s="1371"/>
      <c r="E8" s="1372"/>
      <c r="F8" s="1373" t="s">
        <v>233</v>
      </c>
      <c r="G8" s="1373"/>
      <c r="H8" s="1374"/>
      <c r="I8" s="1375"/>
    </row>
    <row r="9" spans="1:9" ht="18" customHeight="1">
      <c r="A9" s="379" t="s">
        <v>234</v>
      </c>
      <c r="B9" s="1376" t="str">
        <f>물량산출!Q79 &amp;"  " &amp;물량산출!R77&amp;" 평 자재 물량"</f>
        <v>0  0 평 자재 물량</v>
      </c>
      <c r="C9" s="1377"/>
      <c r="D9" s="1377"/>
      <c r="E9" s="1377"/>
      <c r="F9" s="1377"/>
      <c r="G9" s="1377"/>
      <c r="H9" s="1377"/>
      <c r="I9" s="1378"/>
    </row>
    <row r="10" spans="1:9" ht="18" customHeight="1">
      <c r="A10" s="1379"/>
      <c r="B10" s="1379"/>
      <c r="C10" s="1379"/>
      <c r="D10" s="1379"/>
      <c r="E10" s="1379"/>
      <c r="F10" s="1379"/>
      <c r="G10" s="1379"/>
      <c r="H10" s="1379"/>
      <c r="I10" s="1379"/>
    </row>
    <row r="11" spans="1:9" ht="18" customHeight="1">
      <c r="A11" s="1380" t="s">
        <v>235</v>
      </c>
      <c r="B11" s="1381"/>
      <c r="C11" s="384" t="s">
        <v>49</v>
      </c>
      <c r="D11" s="1380" t="s">
        <v>236</v>
      </c>
      <c r="E11" s="1381"/>
      <c r="F11" s="1382" t="s">
        <v>237</v>
      </c>
      <c r="G11" s="1383"/>
      <c r="H11" s="1383"/>
      <c r="I11" s="1384"/>
    </row>
    <row r="12" spans="1:9" ht="18" customHeight="1">
      <c r="A12" s="1354">
        <f>IF(F12=1,"",물량산출!Q79)</f>
        <v>0</v>
      </c>
      <c r="B12" s="1355"/>
      <c r="C12" s="385">
        <f>IF(F12=1,"",물량산출!R79)</f>
        <v>0</v>
      </c>
      <c r="D12" s="386">
        <f>IF(F12=1,"",물량산출!S79)</f>
        <v>0</v>
      </c>
      <c r="E12" s="387">
        <f>IF(F12=1,"",물량산출!T79)</f>
        <v>0</v>
      </c>
      <c r="F12" s="1356"/>
      <c r="G12" s="1357"/>
      <c r="H12" s="1357"/>
      <c r="I12" s="1358"/>
    </row>
    <row r="13" spans="1:9" ht="18" customHeight="1">
      <c r="A13" s="1354" t="str">
        <f>IF(F13=1,"",물량산출!Q80)</f>
        <v>KS 엠바</v>
      </c>
      <c r="B13" s="1355"/>
      <c r="C13" s="385">
        <f>IF(F13=1,"",물량산출!R80)</f>
        <v>4000</v>
      </c>
      <c r="D13" s="386">
        <f>IF(F13=1,"",물량산출!S80)</f>
        <v>0</v>
      </c>
      <c r="E13" s="387">
        <f>IF(F13=1,"",물량산출!T80)</f>
        <v>0</v>
      </c>
      <c r="F13" s="1361"/>
      <c r="G13" s="1362"/>
      <c r="H13" s="1362"/>
      <c r="I13" s="1363"/>
    </row>
    <row r="14" spans="1:9" ht="18" customHeight="1">
      <c r="A14" s="1354" t="str">
        <f>IF(F14=1,"",물량산출!Q81)</f>
        <v>캐 링 KS</v>
      </c>
      <c r="B14" s="1355"/>
      <c r="C14" s="385">
        <f>IF(F14=1,"",물량산출!R81)</f>
        <v>4000</v>
      </c>
      <c r="D14" s="386">
        <f>IF(F14=1,"",물량산출!S81)</f>
        <v>0</v>
      </c>
      <c r="E14" s="387">
        <f>IF(F14=1,"",물량산출!T81)</f>
        <v>0</v>
      </c>
      <c r="F14" s="1361"/>
      <c r="G14" s="1362"/>
      <c r="H14" s="1362"/>
      <c r="I14" s="1363"/>
    </row>
    <row r="15" spans="1:9" ht="18" customHeight="1">
      <c r="A15" s="1354" t="str">
        <f>IF(F15=1,"",물량산출!Q82)</f>
        <v>마이너 KS</v>
      </c>
      <c r="B15" s="1355"/>
      <c r="C15" s="385">
        <f>IF(F15=1,"",물량산출!R82)</f>
        <v>4000</v>
      </c>
      <c r="D15" s="386">
        <f>IF(F15=1,"",물량산출!S82)</f>
        <v>0</v>
      </c>
      <c r="E15" s="387">
        <f>IF(F15=1,"",물량산출!T82)</f>
        <v>0</v>
      </c>
      <c r="F15" s="1361"/>
      <c r="G15" s="1362"/>
      <c r="H15" s="1362"/>
      <c r="I15" s="1363"/>
    </row>
    <row r="16" spans="1:9" ht="18" customHeight="1">
      <c r="A16" s="1354">
        <f>IF(F16=1,"",물량산출!Q83)</f>
        <v>0</v>
      </c>
      <c r="B16" s="1355"/>
      <c r="C16" s="385">
        <f>IF(F16=1,"",물량산출!R83)</f>
        <v>3000</v>
      </c>
      <c r="D16" s="386">
        <f>IF(F16=1,"",물량산출!S83)</f>
        <v>0</v>
      </c>
      <c r="E16" s="387">
        <f>IF(F16=1,"",물량산출!T83)</f>
        <v>0</v>
      </c>
      <c r="F16" s="1361"/>
      <c r="G16" s="1362"/>
      <c r="H16" s="1362"/>
      <c r="I16" s="1363"/>
    </row>
    <row r="17" spans="1:9" ht="18" customHeight="1">
      <c r="A17" s="1354" t="str">
        <f>IF(F17=1,"",물량산출!Q84)</f>
        <v>볼 트</v>
      </c>
      <c r="B17" s="1355"/>
      <c r="C17" s="385">
        <f>IF(F17=1,"",물량산출!R84)</f>
        <v>3000</v>
      </c>
      <c r="D17" s="386">
        <f>IF(F17=1,"",물량산출!S84)</f>
        <v>0</v>
      </c>
      <c r="E17" s="387">
        <f>IF(F17=1,"",물량산출!T84)</f>
        <v>0</v>
      </c>
      <c r="F17" s="1361"/>
      <c r="G17" s="1362"/>
      <c r="H17" s="1362"/>
      <c r="I17" s="1363"/>
    </row>
    <row r="18" spans="1:9" ht="18" customHeight="1">
      <c r="A18" s="1354" t="str">
        <f>IF(F18=1,"",물량산출!Q85)</f>
        <v>항가 150 KS</v>
      </c>
      <c r="B18" s="1355"/>
      <c r="C18" s="385">
        <f>IF(F18=1,"",물량산출!R85)</f>
        <v>0</v>
      </c>
      <c r="D18" s="386">
        <f>IF(F18=1,"",물량산출!S85)</f>
        <v>0</v>
      </c>
      <c r="E18" s="387">
        <f>IF(F18=1,"",물량산출!T85)</f>
        <v>0</v>
      </c>
      <c r="F18" s="1361"/>
      <c r="G18" s="1362"/>
      <c r="H18" s="1362"/>
      <c r="I18" s="1363"/>
    </row>
    <row r="19" spans="1:9" ht="18" customHeight="1">
      <c r="A19" s="1354" t="str">
        <f>IF(F19=1,"",물량산출!Q86)</f>
        <v>항가핀</v>
      </c>
      <c r="B19" s="1355"/>
      <c r="C19" s="385">
        <f>IF(F19=1,"",물량산출!R86)</f>
        <v>0</v>
      </c>
      <c r="D19" s="386">
        <f>IF(F19=1,"",물량산출!S86)</f>
        <v>0</v>
      </c>
      <c r="E19" s="387">
        <f>IF(F19=1,"",물량산출!T86)</f>
        <v>0</v>
      </c>
      <c r="F19" s="1361"/>
      <c r="G19" s="1362"/>
      <c r="H19" s="1362"/>
      <c r="I19" s="1363"/>
    </row>
    <row r="20" spans="1:9" ht="18" customHeight="1">
      <c r="A20" s="1354" t="str">
        <f>IF(F20=1,"",물량산출!Q87)</f>
        <v>앙카</v>
      </c>
      <c r="B20" s="1355"/>
      <c r="C20" s="385">
        <f>IF(F20=1,"",물량산출!R87)</f>
        <v>0</v>
      </c>
      <c r="D20" s="386">
        <f>IF(F20=1,"",물량산출!S87)</f>
        <v>0</v>
      </c>
      <c r="E20" s="387">
        <f>IF(F20=1,"",물량산출!T87)</f>
        <v>0</v>
      </c>
      <c r="F20" s="1361"/>
      <c r="G20" s="1362"/>
      <c r="H20" s="1362"/>
      <c r="I20" s="1363"/>
    </row>
    <row r="21" spans="1:9" ht="18" customHeight="1">
      <c r="A21" s="1354" t="str">
        <f>IF(F21=1,"",물량산출!Q88)</f>
        <v>너트</v>
      </c>
      <c r="B21" s="1355"/>
      <c r="C21" s="385">
        <f>IF(F21=1,"",물량산출!R88)</f>
        <v>0</v>
      </c>
      <c r="D21" s="386">
        <f>IF(F21=1,"",물량산출!S88)</f>
        <v>0</v>
      </c>
      <c r="E21" s="387">
        <f>IF(F21=1,"",물량산출!T88)</f>
        <v>0</v>
      </c>
      <c r="F21" s="1361"/>
      <c r="G21" s="1362"/>
      <c r="H21" s="1362"/>
      <c r="I21" s="1363"/>
    </row>
    <row r="22" spans="1:9" ht="18" customHeight="1">
      <c r="A22" s="1354" t="str">
        <f>IF(F22=1,"",물량산출!Q89)</f>
        <v>KS 크립</v>
      </c>
      <c r="B22" s="1355"/>
      <c r="C22" s="385">
        <f>IF(F22=1,"",물량산출!R89)</f>
        <v>0</v>
      </c>
      <c r="D22" s="386">
        <f>IF(F22=1,"",물량산출!S89)</f>
        <v>0</v>
      </c>
      <c r="E22" s="387">
        <f>IF(F22=1,"",물량산출!T89)</f>
        <v>0</v>
      </c>
      <c r="F22" s="1361"/>
      <c r="G22" s="1362"/>
      <c r="H22" s="1362"/>
      <c r="I22" s="1363"/>
    </row>
    <row r="23" spans="1:9" ht="18" customHeight="1">
      <c r="A23" s="1354" t="str">
        <f>IF(F23=1,"",물량산출!Q90)</f>
        <v>KS 엠바 쪼인트</v>
      </c>
      <c r="B23" s="1355"/>
      <c r="C23" s="385">
        <f>IF(F23=1,"",물량산출!R90)</f>
        <v>0</v>
      </c>
      <c r="D23" s="386">
        <f>IF(F23=1,"",물량산출!S90)</f>
        <v>0</v>
      </c>
      <c r="E23" s="387">
        <f>IF(F23=1,"",물량산출!T90)</f>
        <v>0</v>
      </c>
      <c r="F23" s="1361"/>
      <c r="G23" s="1362"/>
      <c r="H23" s="1362"/>
      <c r="I23" s="1363"/>
    </row>
    <row r="24" spans="1:9" ht="18" customHeight="1">
      <c r="A24" s="1354" t="str">
        <f>IF(F24=1,"",물량산출!Q91)</f>
        <v>캐링 쪼인트</v>
      </c>
      <c r="B24" s="1355"/>
      <c r="C24" s="385">
        <f>IF(F24=1,"",물량산출!R91)</f>
        <v>0</v>
      </c>
      <c r="D24" s="386">
        <f>IF(F24=1,"",물량산출!S91)</f>
        <v>0</v>
      </c>
      <c r="E24" s="387">
        <f>IF(F24=1,"",물량산출!T91)</f>
        <v>0</v>
      </c>
      <c r="F24" s="1361"/>
      <c r="G24" s="1362"/>
      <c r="H24" s="1362"/>
      <c r="I24" s="1363"/>
    </row>
    <row r="25" spans="1:9" ht="18" customHeight="1">
      <c r="A25" s="1354" t="str">
        <f>IF(F25=1,"",물량산출!Q92)</f>
        <v>마이너크립</v>
      </c>
      <c r="B25" s="1355"/>
      <c r="C25" s="385">
        <f>IF(F25=1,"",물량산출!R92)</f>
        <v>0</v>
      </c>
      <c r="D25" s="386">
        <f>IF(F25=1,"",물량산출!S92)</f>
        <v>0</v>
      </c>
      <c r="E25" s="387">
        <f>IF(F25=1,"",물량산출!T92)</f>
        <v>0</v>
      </c>
      <c r="F25" s="1361"/>
      <c r="G25" s="1362"/>
      <c r="H25" s="1362"/>
      <c r="I25" s="1363"/>
    </row>
    <row r="26" spans="1:9" ht="18" customHeight="1">
      <c r="A26" s="1354">
        <f>IF(F26=1,"",물량산출!Q93)</f>
        <v>0</v>
      </c>
      <c r="B26" s="1355"/>
      <c r="C26" s="385">
        <f>IF(F26=1,"",물량산출!R93)</f>
        <v>0</v>
      </c>
      <c r="D26" s="386">
        <f>IF(F26=1,"",물량산출!S93)</f>
        <v>0</v>
      </c>
      <c r="E26" s="387">
        <f>IF(F26=1,"",물량산출!T93)</f>
        <v>0</v>
      </c>
      <c r="F26" s="1361"/>
      <c r="G26" s="1362"/>
      <c r="H26" s="1362"/>
      <c r="I26" s="1363"/>
    </row>
    <row r="27" spans="1:9" ht="18" customHeight="1">
      <c r="A27" s="1354" t="str">
        <f>IF(F27=1,"",물량산출!Q94)</f>
        <v>스판드럴 쪼인 몰딩</v>
      </c>
      <c r="B27" s="1355"/>
      <c r="C27" s="385">
        <f>IF(F27=1,"",물량산출!R94)</f>
        <v>0</v>
      </c>
      <c r="D27" s="386">
        <f>IF(F27=1,"",물량산출!S94)</f>
        <v>0</v>
      </c>
      <c r="E27" s="387">
        <f>IF(F27=1,"",물량산출!T94)</f>
        <v>0</v>
      </c>
      <c r="F27" s="1361"/>
      <c r="G27" s="1362"/>
      <c r="H27" s="1362"/>
      <c r="I27" s="1363"/>
    </row>
    <row r="28" spans="1:9" ht="18" customHeight="1">
      <c r="A28" s="1359"/>
      <c r="B28" s="1360"/>
      <c r="C28" s="388"/>
      <c r="D28" s="389"/>
      <c r="E28" s="390"/>
      <c r="F28" s="1361"/>
      <c r="G28" s="1362"/>
      <c r="H28" s="1362"/>
      <c r="I28" s="1363"/>
    </row>
    <row r="29" spans="1:9" ht="18" customHeight="1">
      <c r="A29" s="1359"/>
      <c r="B29" s="1360"/>
      <c r="C29" s="388"/>
      <c r="D29" s="389"/>
      <c r="E29" s="390"/>
      <c r="F29" s="1361"/>
      <c r="G29" s="1362"/>
      <c r="H29" s="1362"/>
      <c r="I29" s="1363"/>
    </row>
    <row r="30" spans="1:9" ht="18" customHeight="1">
      <c r="A30" s="1359"/>
      <c r="B30" s="1360"/>
      <c r="C30" s="388"/>
      <c r="D30" s="389"/>
      <c r="E30" s="390"/>
      <c r="F30" s="1361"/>
      <c r="G30" s="1362"/>
      <c r="H30" s="1362"/>
      <c r="I30" s="1363"/>
    </row>
    <row r="31" spans="1:9" ht="18" customHeight="1">
      <c r="A31" s="1359"/>
      <c r="B31" s="1360"/>
      <c r="C31" s="388"/>
      <c r="D31" s="389"/>
      <c r="E31" s="390"/>
      <c r="F31" s="1361"/>
      <c r="G31" s="1362"/>
      <c r="H31" s="1362"/>
      <c r="I31" s="1363"/>
    </row>
    <row r="32" spans="1:9" ht="18" customHeight="1">
      <c r="A32" s="1359"/>
      <c r="B32" s="1360"/>
      <c r="C32" s="388"/>
      <c r="D32" s="389"/>
      <c r="E32" s="390"/>
      <c r="F32" s="1361"/>
      <c r="G32" s="1362"/>
      <c r="H32" s="1362"/>
      <c r="I32" s="1363"/>
    </row>
    <row r="33" spans="1:9" ht="18" customHeight="1">
      <c r="A33" s="1359"/>
      <c r="B33" s="1360"/>
      <c r="C33" s="388"/>
      <c r="D33" s="389"/>
      <c r="E33" s="390"/>
      <c r="F33" s="1361"/>
      <c r="G33" s="1362"/>
      <c r="H33" s="1362"/>
      <c r="I33" s="1363"/>
    </row>
    <row r="34" spans="1:9" ht="18" customHeight="1">
      <c r="A34" s="1346"/>
      <c r="B34" s="1347"/>
      <c r="C34" s="391"/>
      <c r="D34" s="392"/>
      <c r="E34" s="393"/>
      <c r="F34" s="1348"/>
      <c r="G34" s="1349"/>
      <c r="H34" s="1349"/>
      <c r="I34" s="1350"/>
    </row>
    <row r="35" spans="1:9" ht="18" customHeight="1">
      <c r="A35" s="1351" t="s">
        <v>238</v>
      </c>
      <c r="B35" s="1352"/>
      <c r="C35" s="1352"/>
      <c r="D35" s="1352"/>
      <c r="E35" s="1352"/>
      <c r="F35" s="1352"/>
      <c r="G35" s="1352"/>
      <c r="H35" s="1352"/>
      <c r="I35" s="1353"/>
    </row>
    <row r="36" spans="1:9" ht="18" customHeight="1">
      <c r="A36" s="1339"/>
      <c r="B36" s="1340"/>
      <c r="C36" s="1340"/>
      <c r="D36" s="1340"/>
      <c r="E36" s="1340"/>
      <c r="F36" s="1340"/>
      <c r="G36" s="1340"/>
      <c r="H36" s="1340"/>
      <c r="I36" s="1341"/>
    </row>
    <row r="37" spans="1:9" ht="18" customHeight="1">
      <c r="A37" s="1339"/>
      <c r="B37" s="1340"/>
      <c r="C37" s="1340"/>
      <c r="D37" s="1340"/>
      <c r="E37" s="1340"/>
      <c r="F37" s="1340"/>
      <c r="G37" s="1340"/>
      <c r="H37" s="1340"/>
      <c r="I37" s="1341"/>
    </row>
    <row r="38" spans="1:9" ht="18" customHeight="1">
      <c r="A38" s="1339"/>
      <c r="B38" s="1340"/>
      <c r="C38" s="1340"/>
      <c r="D38" s="1340"/>
      <c r="E38" s="1340"/>
      <c r="F38" s="1340"/>
      <c r="G38" s="1340"/>
      <c r="H38" s="1340"/>
      <c r="I38" s="1341"/>
    </row>
    <row r="39" spans="1:9" ht="18" customHeight="1">
      <c r="A39" s="1339"/>
      <c r="B39" s="1340"/>
      <c r="C39" s="1340"/>
      <c r="D39" s="1340"/>
      <c r="E39" s="1340"/>
      <c r="F39" s="1340"/>
      <c r="G39" s="1340"/>
      <c r="H39" s="1340"/>
      <c r="I39" s="1341"/>
    </row>
    <row r="40" spans="1:9" ht="18" customHeight="1">
      <c r="A40" s="1342"/>
      <c r="B40" s="1343"/>
      <c r="C40" s="1343"/>
      <c r="D40" s="1343"/>
      <c r="E40" s="1343"/>
      <c r="F40" s="1343"/>
      <c r="G40" s="1343"/>
      <c r="H40" s="1343"/>
      <c r="I40" s="1344"/>
    </row>
    <row r="41" spans="1:9">
      <c r="A41" s="612"/>
      <c r="B41" s="612"/>
      <c r="C41" s="1345"/>
      <c r="D41" s="1345"/>
      <c r="E41" s="1345"/>
      <c r="F41" s="1345"/>
      <c r="G41" s="1345"/>
      <c r="H41" s="1345"/>
      <c r="I41" s="1345"/>
    </row>
  </sheetData>
  <sheetProtection algorithmName="SHA-512" hashValue="SmnTVX2Jl5EYtSVI2qrwOsGwAOtBaxuU42vZDb7z7aAmG7T0CtGbCcgkIdoCybmc55TVGnnpLLnDN/FUtnVYCA==" saltValue="K9XoGrD+2X78EJsfD+eJpg==" spinCount="100000" sheet="1" autoFilter="0"/>
  <autoFilter ref="F11:I34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41"/>
  <sheetViews>
    <sheetView workbookViewId="0">
      <selection activeCell="F14" sqref="F14:I14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88" t="s">
        <v>220</v>
      </c>
      <c r="B1" s="1388"/>
      <c r="C1" s="1388"/>
      <c r="D1" s="1388"/>
      <c r="E1" s="1388"/>
      <c r="F1" s="1388"/>
      <c r="G1" s="1388"/>
      <c r="H1" s="1388"/>
      <c r="I1" s="1388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89" t="s">
        <v>222</v>
      </c>
      <c r="C3" s="1390"/>
      <c r="D3" s="1390"/>
      <c r="E3" s="1391"/>
      <c r="F3" s="1392" t="s">
        <v>223</v>
      </c>
      <c r="G3" s="1392"/>
      <c r="H3" s="1393"/>
      <c r="I3" s="1394"/>
    </row>
    <row r="4" spans="1:9" ht="18" customHeight="1">
      <c r="A4" s="380" t="s">
        <v>224</v>
      </c>
      <c r="B4" s="1395" t="s">
        <v>225</v>
      </c>
      <c r="C4" s="1396"/>
      <c r="D4" s="1396"/>
      <c r="E4" s="1397"/>
      <c r="F4" s="1398" t="s">
        <v>226</v>
      </c>
      <c r="G4" s="1398"/>
      <c r="H4" s="1399"/>
      <c r="I4" s="1400"/>
    </row>
    <row r="5" spans="1:9" ht="18" customHeight="1">
      <c r="A5" s="381" t="s">
        <v>227</v>
      </c>
      <c r="B5" s="1364"/>
      <c r="C5" s="1365"/>
      <c r="D5" s="1365"/>
      <c r="E5" s="1366"/>
      <c r="F5" s="1367" t="s">
        <v>224</v>
      </c>
      <c r="G5" s="1367"/>
      <c r="H5" s="1368"/>
      <c r="I5" s="1369"/>
    </row>
    <row r="6" spans="1:9" ht="18" customHeight="1">
      <c r="A6" s="382" t="s">
        <v>228</v>
      </c>
      <c r="B6" s="1385"/>
      <c r="C6" s="1386"/>
      <c r="D6" s="1386"/>
      <c r="E6" s="1387"/>
      <c r="F6" s="1367" t="s">
        <v>229</v>
      </c>
      <c r="G6" s="1367"/>
      <c r="H6" s="1368"/>
      <c r="I6" s="1369"/>
    </row>
    <row r="7" spans="1:9" ht="18" customHeight="1">
      <c r="A7" s="381" t="s">
        <v>230</v>
      </c>
      <c r="B7" s="1364"/>
      <c r="C7" s="1365"/>
      <c r="D7" s="1365"/>
      <c r="E7" s="1366"/>
      <c r="F7" s="1367" t="s">
        <v>231</v>
      </c>
      <c r="G7" s="1367"/>
      <c r="H7" s="1368"/>
      <c r="I7" s="1369"/>
    </row>
    <row r="8" spans="1:9" ht="18" customHeight="1">
      <c r="A8" s="383" t="s">
        <v>232</v>
      </c>
      <c r="B8" s="1370"/>
      <c r="C8" s="1371"/>
      <c r="D8" s="1371"/>
      <c r="E8" s="1372"/>
      <c r="F8" s="1373" t="s">
        <v>233</v>
      </c>
      <c r="G8" s="1373"/>
      <c r="H8" s="1374"/>
      <c r="I8" s="1375"/>
    </row>
    <row r="9" spans="1:9" ht="18" customHeight="1">
      <c r="A9" s="379" t="s">
        <v>234</v>
      </c>
      <c r="B9" s="1376" t="str">
        <f>물량산출!R102&amp;"  " &amp;물량산출!Q102&amp;"  "&amp;물량산출!R100&amp;" 평 자재 물량"</f>
        <v xml:space="preserve">    0 평 자재 물량</v>
      </c>
      <c r="C9" s="1377"/>
      <c r="D9" s="1377"/>
      <c r="E9" s="1377"/>
      <c r="F9" s="1377"/>
      <c r="G9" s="1377"/>
      <c r="H9" s="1377"/>
      <c r="I9" s="1378"/>
    </row>
    <row r="10" spans="1:9" ht="18" customHeight="1">
      <c r="A10" s="1379"/>
      <c r="B10" s="1379"/>
      <c r="C10" s="1379"/>
      <c r="D10" s="1379"/>
      <c r="E10" s="1379"/>
      <c r="F10" s="1379"/>
      <c r="G10" s="1379"/>
      <c r="H10" s="1379"/>
      <c r="I10" s="1379"/>
    </row>
    <row r="11" spans="1:9" ht="18" customHeight="1">
      <c r="A11" s="1380" t="s">
        <v>235</v>
      </c>
      <c r="B11" s="1381"/>
      <c r="C11" s="384" t="s">
        <v>49</v>
      </c>
      <c r="D11" s="1380" t="s">
        <v>236</v>
      </c>
      <c r="E11" s="1381"/>
      <c r="F11" s="1382" t="s">
        <v>237</v>
      </c>
      <c r="G11" s="1383"/>
      <c r="H11" s="1383"/>
      <c r="I11" s="1384"/>
    </row>
    <row r="12" spans="1:9" ht="18" customHeight="1">
      <c r="A12" s="1354" t="str">
        <f>IF(F12=1,"",물량산출!Q102)</f>
        <v/>
      </c>
      <c r="B12" s="1355"/>
      <c r="C12" s="385" t="str">
        <f>IF(F12=1,"",물량산출!R102)</f>
        <v/>
      </c>
      <c r="D12" s="386">
        <f>IF(F12=1,"",물량산출!S102)</f>
        <v>0</v>
      </c>
      <c r="E12" s="387">
        <f>IF(F12=1,"",물량산출!T102)</f>
        <v>0</v>
      </c>
      <c r="F12" s="1356"/>
      <c r="G12" s="1357"/>
      <c r="H12" s="1357"/>
      <c r="I12" s="1358"/>
    </row>
    <row r="13" spans="1:9" ht="18" customHeight="1">
      <c r="A13" s="1354" t="str">
        <f>IF(F13=1,"",물량산출!Q103)</f>
        <v>KS 엠바</v>
      </c>
      <c r="B13" s="1355"/>
      <c r="C13" s="385">
        <f>IF(F13=1,"",물량산출!R103)</f>
        <v>4000</v>
      </c>
      <c r="D13" s="386">
        <f>IF(F13=1,"",물량산출!S103)</f>
        <v>0</v>
      </c>
      <c r="E13" s="387">
        <f>IF(F13=1,"",물량산출!T103)</f>
        <v>0</v>
      </c>
      <c r="F13" s="1361"/>
      <c r="G13" s="1362"/>
      <c r="H13" s="1362"/>
      <c r="I13" s="1363"/>
    </row>
    <row r="14" spans="1:9" ht="18" customHeight="1">
      <c r="A14" s="1354" t="str">
        <f>IF(F14=1,"",물량산출!Q104)</f>
        <v>캐 링 KS</v>
      </c>
      <c r="B14" s="1355"/>
      <c r="C14" s="385">
        <f>IF(F14=1,"",물량산출!R104)</f>
        <v>4000</v>
      </c>
      <c r="D14" s="386">
        <f>IF(F14=1,"",물량산출!S104)</f>
        <v>0</v>
      </c>
      <c r="E14" s="387">
        <f>IF(F14=1,"",물량산출!T104)</f>
        <v>0</v>
      </c>
      <c r="F14" s="1361"/>
      <c r="G14" s="1362"/>
      <c r="H14" s="1362"/>
      <c r="I14" s="1363"/>
    </row>
    <row r="15" spans="1:9" ht="18" customHeight="1">
      <c r="A15" s="1354" t="str">
        <f>IF(F15=1,"",물량산출!Q105)</f>
        <v>마이너 KS</v>
      </c>
      <c r="B15" s="1355"/>
      <c r="C15" s="385">
        <f>IF(F15=1,"",물량산출!R105)</f>
        <v>4000</v>
      </c>
      <c r="D15" s="386">
        <f>IF(F15=1,"",물량산출!S105)</f>
        <v>0</v>
      </c>
      <c r="E15" s="387">
        <f>IF(F15=1,"",물량산출!T105)</f>
        <v>0</v>
      </c>
      <c r="F15" s="1361"/>
      <c r="G15" s="1362"/>
      <c r="H15" s="1362"/>
      <c r="I15" s="1363"/>
    </row>
    <row r="16" spans="1:9" ht="18" customHeight="1">
      <c r="A16" s="1354" t="str">
        <f>IF(F16=1,"",물량산출!Q106)</f>
        <v/>
      </c>
      <c r="B16" s="1355"/>
      <c r="C16" s="385">
        <f>IF(F16=1,"",물량산출!R106)</f>
        <v>3000</v>
      </c>
      <c r="D16" s="386">
        <f>IF(F16=1,"",물량산출!S106)</f>
        <v>0</v>
      </c>
      <c r="E16" s="387">
        <f>IF(F16=1,"",물량산출!T106)</f>
        <v>0</v>
      </c>
      <c r="F16" s="1361"/>
      <c r="G16" s="1362"/>
      <c r="H16" s="1362"/>
      <c r="I16" s="1363"/>
    </row>
    <row r="17" spans="1:9" ht="18" customHeight="1">
      <c r="A17" s="1354" t="str">
        <f>IF(F17=1,"",물량산출!Q107)</f>
        <v>볼 트</v>
      </c>
      <c r="B17" s="1355"/>
      <c r="C17" s="385">
        <f>IF(F17=1,"",물량산출!R107)</f>
        <v>3000</v>
      </c>
      <c r="D17" s="386">
        <f>IF(F17=1,"",물량산출!S107)</f>
        <v>0</v>
      </c>
      <c r="E17" s="387">
        <f>IF(F17=1,"",물량산출!T107)</f>
        <v>0</v>
      </c>
      <c r="F17" s="1361"/>
      <c r="G17" s="1362"/>
      <c r="H17" s="1362"/>
      <c r="I17" s="1363"/>
    </row>
    <row r="18" spans="1:9" ht="18" customHeight="1">
      <c r="A18" s="1354" t="str">
        <f>IF(F18=1,"",물량산출!Q108)</f>
        <v>항가 150 KS</v>
      </c>
      <c r="B18" s="1355"/>
      <c r="C18" s="385">
        <f>IF(F18=1,"",물량산출!R108)</f>
        <v>0</v>
      </c>
      <c r="D18" s="386">
        <f>IF(F18=1,"",물량산출!S108)</f>
        <v>0</v>
      </c>
      <c r="E18" s="387">
        <f>IF(F18=1,"",물량산출!T108)</f>
        <v>0</v>
      </c>
      <c r="F18" s="1361"/>
      <c r="G18" s="1362"/>
      <c r="H18" s="1362"/>
      <c r="I18" s="1363"/>
    </row>
    <row r="19" spans="1:9" ht="18" customHeight="1">
      <c r="A19" s="1354" t="str">
        <f>IF(F19=1,"",물량산출!Q109)</f>
        <v>항가핀</v>
      </c>
      <c r="B19" s="1355"/>
      <c r="C19" s="385">
        <f>IF(F19=1,"",물량산출!R109)</f>
        <v>0</v>
      </c>
      <c r="D19" s="386">
        <f>IF(F19=1,"",물량산출!S109)</f>
        <v>0</v>
      </c>
      <c r="E19" s="387">
        <f>IF(F19=1,"",물량산출!T109)</f>
        <v>0</v>
      </c>
      <c r="F19" s="1361"/>
      <c r="G19" s="1362"/>
      <c r="H19" s="1362"/>
      <c r="I19" s="1363"/>
    </row>
    <row r="20" spans="1:9" ht="18" customHeight="1">
      <c r="A20" s="1354" t="str">
        <f>IF(F20=1,"",물량산출!Q110)</f>
        <v>앙카</v>
      </c>
      <c r="B20" s="1355"/>
      <c r="C20" s="385">
        <f>IF(F20=1,"",물량산출!R110)</f>
        <v>0</v>
      </c>
      <c r="D20" s="386">
        <f>IF(F20=1,"",물량산출!S110)</f>
        <v>0</v>
      </c>
      <c r="E20" s="387">
        <f>IF(F20=1,"",물량산출!T110)</f>
        <v>0</v>
      </c>
      <c r="F20" s="1361"/>
      <c r="G20" s="1362"/>
      <c r="H20" s="1362"/>
      <c r="I20" s="1363"/>
    </row>
    <row r="21" spans="1:9" ht="18" customHeight="1">
      <c r="A21" s="1354" t="str">
        <f>IF(F21=1,"",물량산출!Q111)</f>
        <v>너트</v>
      </c>
      <c r="B21" s="1355"/>
      <c r="C21" s="385">
        <f>IF(F21=1,"",물량산출!R111)</f>
        <v>0</v>
      </c>
      <c r="D21" s="386">
        <f>IF(F21=1,"",물량산출!S111)</f>
        <v>0</v>
      </c>
      <c r="E21" s="387">
        <f>IF(F21=1,"",물량산출!T111)</f>
        <v>0</v>
      </c>
      <c r="F21" s="1361"/>
      <c r="G21" s="1362"/>
      <c r="H21" s="1362"/>
      <c r="I21" s="1363"/>
    </row>
    <row r="22" spans="1:9" ht="18" customHeight="1">
      <c r="A22" s="1354" t="str">
        <f>IF(F22=1,"",물량산출!Q112)</f>
        <v>KS 크립</v>
      </c>
      <c r="B22" s="1355"/>
      <c r="C22" s="385">
        <f>IF(F22=1,"",물량산출!R112)</f>
        <v>0</v>
      </c>
      <c r="D22" s="386">
        <f>IF(F22=1,"",물량산출!S112)</f>
        <v>0</v>
      </c>
      <c r="E22" s="387">
        <f>IF(F22=1,"",물량산출!T112)</f>
        <v>0</v>
      </c>
      <c r="F22" s="1361"/>
      <c r="G22" s="1362"/>
      <c r="H22" s="1362"/>
      <c r="I22" s="1363"/>
    </row>
    <row r="23" spans="1:9" ht="18" customHeight="1">
      <c r="A23" s="1354" t="str">
        <f>IF(F23=1,"",물량산출!Q113)</f>
        <v>KS 엠바 쪼인트</v>
      </c>
      <c r="B23" s="1355"/>
      <c r="C23" s="385">
        <f>IF(F23=1,"",물량산출!R113)</f>
        <v>0</v>
      </c>
      <c r="D23" s="386">
        <f>IF(F23=1,"",물량산출!S113)</f>
        <v>0</v>
      </c>
      <c r="E23" s="387">
        <f>IF(F23=1,"",물량산출!T113)</f>
        <v>0</v>
      </c>
      <c r="F23" s="1361"/>
      <c r="G23" s="1362"/>
      <c r="H23" s="1362"/>
      <c r="I23" s="1363"/>
    </row>
    <row r="24" spans="1:9" ht="18" customHeight="1">
      <c r="A24" s="1354" t="str">
        <f>IF(F24=1,"",물량산출!Q114)</f>
        <v>캐링 쪼인트</v>
      </c>
      <c r="B24" s="1355"/>
      <c r="C24" s="385">
        <f>IF(F24=1,"",물량산출!R114)</f>
        <v>0</v>
      </c>
      <c r="D24" s="386">
        <f>IF(F24=1,"",물량산출!S114)</f>
        <v>0</v>
      </c>
      <c r="E24" s="387">
        <f>IF(F24=1,"",물량산출!T114)</f>
        <v>0</v>
      </c>
      <c r="F24" s="1361"/>
      <c r="G24" s="1362"/>
      <c r="H24" s="1362"/>
      <c r="I24" s="1363"/>
    </row>
    <row r="25" spans="1:9" ht="18" customHeight="1">
      <c r="A25" s="1354" t="str">
        <f>IF(F25=1,"",물량산출!Q115)</f>
        <v>마이너크립</v>
      </c>
      <c r="B25" s="1355"/>
      <c r="C25" s="385">
        <f>IF(F25=1,"",물량산출!R115)</f>
        <v>0</v>
      </c>
      <c r="D25" s="386">
        <f>IF(F25=1,"",물량산출!S115)</f>
        <v>0</v>
      </c>
      <c r="E25" s="387">
        <f>IF(F25=1,"",물량산출!T115)</f>
        <v>0</v>
      </c>
      <c r="F25" s="1361"/>
      <c r="G25" s="1362"/>
      <c r="H25" s="1362"/>
      <c r="I25" s="1363"/>
    </row>
    <row r="26" spans="1:9" ht="18" customHeight="1">
      <c r="A26" s="1354">
        <f>IF(F26=1,"",물량산출!Q116)</f>
        <v>0</v>
      </c>
      <c r="B26" s="1355"/>
      <c r="C26" s="385">
        <f>IF(F26=1,"",물량산출!R116)</f>
        <v>0</v>
      </c>
      <c r="D26" s="386">
        <f>IF(F26=1,"",물량산출!S116)</f>
        <v>0</v>
      </c>
      <c r="E26" s="387">
        <f>IF(F26=1,"",물량산출!T116)</f>
        <v>0</v>
      </c>
      <c r="F26" s="1361"/>
      <c r="G26" s="1362"/>
      <c r="H26" s="1362"/>
      <c r="I26" s="1363"/>
    </row>
    <row r="27" spans="1:9" ht="18" customHeight="1">
      <c r="A27" s="1354" t="str">
        <f>IF(F27=1,"",물량산출!Q117)</f>
        <v/>
      </c>
      <c r="B27" s="1355"/>
      <c r="C27" s="385">
        <f>IF(F27=1,"",물량산출!R117)</f>
        <v>0</v>
      </c>
      <c r="D27" s="386">
        <f>IF(F27=1,"",물량산출!S117)</f>
        <v>0</v>
      </c>
      <c r="E27" s="387">
        <f>IF(F27=1,"",물량산출!T117)</f>
        <v>0</v>
      </c>
      <c r="F27" s="1361"/>
      <c r="G27" s="1362"/>
      <c r="H27" s="1362"/>
      <c r="I27" s="1363"/>
    </row>
    <row r="28" spans="1:9" ht="18" customHeight="1">
      <c r="A28" s="1359"/>
      <c r="B28" s="1360"/>
      <c r="C28" s="388"/>
      <c r="D28" s="389"/>
      <c r="E28" s="390"/>
      <c r="F28" s="1361"/>
      <c r="G28" s="1362"/>
      <c r="H28" s="1362"/>
      <c r="I28" s="1363"/>
    </row>
    <row r="29" spans="1:9" ht="18" customHeight="1">
      <c r="A29" s="1359"/>
      <c r="B29" s="1360"/>
      <c r="C29" s="388"/>
      <c r="D29" s="389"/>
      <c r="E29" s="390"/>
      <c r="F29" s="1361"/>
      <c r="G29" s="1362"/>
      <c r="H29" s="1362"/>
      <c r="I29" s="1363"/>
    </row>
    <row r="30" spans="1:9" ht="18" customHeight="1">
      <c r="A30" s="1359"/>
      <c r="B30" s="1360"/>
      <c r="C30" s="388"/>
      <c r="D30" s="389"/>
      <c r="E30" s="390"/>
      <c r="F30" s="1361"/>
      <c r="G30" s="1362"/>
      <c r="H30" s="1362"/>
      <c r="I30" s="1363"/>
    </row>
    <row r="31" spans="1:9" ht="18" customHeight="1">
      <c r="A31" s="1359"/>
      <c r="B31" s="1360"/>
      <c r="C31" s="388"/>
      <c r="D31" s="389"/>
      <c r="E31" s="390"/>
      <c r="F31" s="1361"/>
      <c r="G31" s="1362"/>
      <c r="H31" s="1362"/>
      <c r="I31" s="1363"/>
    </row>
    <row r="32" spans="1:9" ht="18" customHeight="1">
      <c r="A32" s="1359"/>
      <c r="B32" s="1360"/>
      <c r="C32" s="388"/>
      <c r="D32" s="389"/>
      <c r="E32" s="390"/>
      <c r="F32" s="1361"/>
      <c r="G32" s="1362"/>
      <c r="H32" s="1362"/>
      <c r="I32" s="1363"/>
    </row>
    <row r="33" spans="1:9" ht="18" customHeight="1">
      <c r="A33" s="1359"/>
      <c r="B33" s="1360"/>
      <c r="C33" s="388"/>
      <c r="D33" s="389"/>
      <c r="E33" s="390"/>
      <c r="F33" s="1361"/>
      <c r="G33" s="1362"/>
      <c r="H33" s="1362"/>
      <c r="I33" s="1363"/>
    </row>
    <row r="34" spans="1:9" ht="18" customHeight="1">
      <c r="A34" s="1346"/>
      <c r="B34" s="1347"/>
      <c r="C34" s="391"/>
      <c r="D34" s="392"/>
      <c r="E34" s="393"/>
      <c r="F34" s="1348"/>
      <c r="G34" s="1349"/>
      <c r="H34" s="1349"/>
      <c r="I34" s="1350"/>
    </row>
    <row r="35" spans="1:9" ht="18" customHeight="1">
      <c r="A35" s="1351" t="s">
        <v>238</v>
      </c>
      <c r="B35" s="1352"/>
      <c r="C35" s="1352"/>
      <c r="D35" s="1352"/>
      <c r="E35" s="1352"/>
      <c r="F35" s="1352"/>
      <c r="G35" s="1352"/>
      <c r="H35" s="1352"/>
      <c r="I35" s="1353"/>
    </row>
    <row r="36" spans="1:9" ht="18" customHeight="1">
      <c r="A36" s="1339"/>
      <c r="B36" s="1340"/>
      <c r="C36" s="1340"/>
      <c r="D36" s="1340"/>
      <c r="E36" s="1340"/>
      <c r="F36" s="1340"/>
      <c r="G36" s="1340"/>
      <c r="H36" s="1340"/>
      <c r="I36" s="1341"/>
    </row>
    <row r="37" spans="1:9" ht="18" customHeight="1">
      <c r="A37" s="1339"/>
      <c r="B37" s="1340"/>
      <c r="C37" s="1340"/>
      <c r="D37" s="1340"/>
      <c r="E37" s="1340"/>
      <c r="F37" s="1340"/>
      <c r="G37" s="1340"/>
      <c r="H37" s="1340"/>
      <c r="I37" s="1341"/>
    </row>
    <row r="38" spans="1:9" ht="18" customHeight="1">
      <c r="A38" s="1339"/>
      <c r="B38" s="1340"/>
      <c r="C38" s="1340"/>
      <c r="D38" s="1340"/>
      <c r="E38" s="1340"/>
      <c r="F38" s="1340"/>
      <c r="G38" s="1340"/>
      <c r="H38" s="1340"/>
      <c r="I38" s="1341"/>
    </row>
    <row r="39" spans="1:9" ht="18" customHeight="1">
      <c r="A39" s="1339"/>
      <c r="B39" s="1340"/>
      <c r="C39" s="1340"/>
      <c r="D39" s="1340"/>
      <c r="E39" s="1340"/>
      <c r="F39" s="1340"/>
      <c r="G39" s="1340"/>
      <c r="H39" s="1340"/>
      <c r="I39" s="1341"/>
    </row>
    <row r="40" spans="1:9" ht="18" customHeight="1">
      <c r="A40" s="1342"/>
      <c r="B40" s="1343"/>
      <c r="C40" s="1343"/>
      <c r="D40" s="1343"/>
      <c r="E40" s="1343"/>
      <c r="F40" s="1343"/>
      <c r="G40" s="1343"/>
      <c r="H40" s="1343"/>
      <c r="I40" s="1344"/>
    </row>
    <row r="41" spans="1:9">
      <c r="A41" s="612"/>
      <c r="B41" s="612"/>
      <c r="C41" s="1345"/>
      <c r="D41" s="1345"/>
      <c r="E41" s="1345"/>
      <c r="F41" s="1345"/>
      <c r="G41" s="1345"/>
      <c r="H41" s="1345"/>
      <c r="I41" s="1345"/>
    </row>
  </sheetData>
  <sheetProtection algorithmName="SHA-512" hashValue="jHIp9nBGe5RwPf+C2uME3qKLsW/WYiwvuFT4OalTFzL55evRmZX2odU/Q61Swww4aknvCoI7SZRVlYZAuz+moQ==" saltValue="txoe3nJNo50XP/AD0sq3uQ==" spinCount="100000" sheet="1" autoFilter="0"/>
  <autoFilter ref="F11:I34">
    <filterColumn colId="0" showButton="0"/>
    <filterColumn colId="1" showButton="0"/>
    <filterColumn colId="2" showButton="0"/>
  </autoFilter>
  <mergeCells count="77">
    <mergeCell ref="A1:I1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B6:E6"/>
    <mergeCell ref="F6:G6"/>
    <mergeCell ref="H6:I6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A13:B13"/>
    <mergeCell ref="F13:I13"/>
    <mergeCell ref="A14:B14"/>
    <mergeCell ref="F14:I14"/>
    <mergeCell ref="A15:B15"/>
    <mergeCell ref="F15:I15"/>
    <mergeCell ref="A16:B16"/>
    <mergeCell ref="F16:I16"/>
    <mergeCell ref="A17:B17"/>
    <mergeCell ref="F17:I17"/>
    <mergeCell ref="A18:B18"/>
    <mergeCell ref="F18:I18"/>
    <mergeCell ref="A19:B19"/>
    <mergeCell ref="F19:I19"/>
    <mergeCell ref="A20:B20"/>
    <mergeCell ref="F20:I20"/>
    <mergeCell ref="A21:B21"/>
    <mergeCell ref="F21:I21"/>
    <mergeCell ref="A22:B22"/>
    <mergeCell ref="F22:I22"/>
    <mergeCell ref="A23:B23"/>
    <mergeCell ref="F23:I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1:B31"/>
    <mergeCell ref="F31:I31"/>
    <mergeCell ref="A32:B32"/>
    <mergeCell ref="F32:I32"/>
    <mergeCell ref="A33:B33"/>
    <mergeCell ref="F33:I33"/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</mergeCells>
  <phoneticPr fontId="5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E59"/>
  <sheetViews>
    <sheetView showGridLines="0" showRowColHeaders="0" showZeros="0" topLeftCell="A4" zoomScaleNormal="100" workbookViewId="0">
      <selection activeCell="F5" sqref="F5:G5"/>
    </sheetView>
  </sheetViews>
  <sheetFormatPr defaultRowHeight="16.5"/>
  <cols>
    <col min="1" max="1" width="0.875" customWidth="1"/>
    <col min="2" max="3" width="4.625" customWidth="1"/>
    <col min="4" max="5" width="11.625" customWidth="1"/>
    <col min="6" max="7" width="10.625" customWidth="1"/>
    <col min="8" max="9" width="10.625" style="534" hidden="1" customWidth="1"/>
    <col min="10" max="10" width="14.875" style="534" hidden="1" customWidth="1"/>
    <col min="11" max="11" width="4.75" style="534" hidden="1" customWidth="1"/>
    <col min="12" max="12" width="14.875" style="534" hidden="1" customWidth="1"/>
    <col min="13" max="13" width="4.75" style="534" hidden="1" customWidth="1"/>
    <col min="14" max="14" width="14.875" style="534" hidden="1" customWidth="1"/>
    <col min="15" max="15" width="1.875" style="534" customWidth="1"/>
    <col min="16" max="19" width="5.125" style="534" hidden="1" customWidth="1"/>
    <col min="20" max="20" width="1.625" style="534" hidden="1" customWidth="1"/>
    <col min="21" max="21" width="16.75" customWidth="1"/>
    <col min="22" max="22" width="15.875" customWidth="1"/>
    <col min="23" max="23" width="3.875" customWidth="1"/>
    <col min="24" max="24" width="15.875" customWidth="1"/>
    <col min="25" max="25" width="3.875" customWidth="1"/>
    <col min="26" max="26" width="15.75" customWidth="1"/>
    <col min="27" max="27" width="4.25" customWidth="1"/>
    <col min="28" max="29" width="16.25" customWidth="1"/>
    <col min="30" max="30" width="6.75" customWidth="1"/>
    <col min="31" max="31" width="4.875" customWidth="1"/>
    <col min="32" max="32" width="3.625" customWidth="1"/>
    <col min="33" max="33" width="12.25" customWidth="1"/>
  </cols>
  <sheetData>
    <row r="1" spans="2:26" ht="26.25">
      <c r="B1" s="1434" t="s">
        <v>239</v>
      </c>
      <c r="C1" s="1434"/>
      <c r="D1" s="1434"/>
      <c r="E1" s="1434"/>
      <c r="F1" s="1434"/>
      <c r="G1" s="1434"/>
      <c r="H1" s="432"/>
      <c r="I1" s="432"/>
      <c r="J1" s="432"/>
      <c r="K1" s="432"/>
      <c r="L1" s="432"/>
      <c r="M1" s="893"/>
      <c r="N1" s="893"/>
      <c r="O1" s="893"/>
      <c r="P1" s="893"/>
      <c r="Q1" s="893"/>
      <c r="R1" s="893"/>
      <c r="S1" s="893"/>
      <c r="T1" s="893"/>
      <c r="U1" s="1427"/>
      <c r="V1" s="1427"/>
      <c r="W1" s="1427"/>
      <c r="X1" s="1427"/>
      <c r="Y1" s="1427"/>
      <c r="Z1" s="1427"/>
    </row>
    <row r="2" spans="2:26" s="394" customFormat="1" ht="17.25" customHeight="1" thickBot="1">
      <c r="B2" s="1428" t="s">
        <v>240</v>
      </c>
      <c r="C2" s="1428"/>
      <c r="D2" s="1428"/>
      <c r="E2" s="1428"/>
      <c r="F2" s="1428"/>
      <c r="G2" s="1428"/>
      <c r="H2" s="1428"/>
      <c r="I2" s="1428"/>
      <c r="J2" s="1428"/>
      <c r="K2" s="1428"/>
      <c r="L2" s="1428"/>
      <c r="M2" s="1428"/>
      <c r="N2" s="1428"/>
      <c r="O2" s="433"/>
      <c r="P2" s="1422" t="s">
        <v>241</v>
      </c>
      <c r="Q2" s="1423"/>
      <c r="R2" s="1423"/>
      <c r="S2" s="1424"/>
      <c r="T2" s="433"/>
      <c r="U2" s="1429" t="s">
        <v>242</v>
      </c>
      <c r="V2" s="1429"/>
      <c r="W2" s="1429"/>
      <c r="X2" s="1429"/>
      <c r="Y2" s="1429"/>
      <c r="Z2" s="1429"/>
    </row>
    <row r="3" spans="2:26" ht="17.25" customHeight="1" thickTop="1" thickBot="1">
      <c r="B3" s="1418"/>
      <c r="C3" s="1419"/>
      <c r="D3" s="1430" t="s">
        <v>243</v>
      </c>
      <c r="E3" s="1431"/>
      <c r="F3" s="434" t="s">
        <v>244</v>
      </c>
      <c r="G3" s="435" t="s">
        <v>245</v>
      </c>
      <c r="H3" s="436" t="s">
        <v>246</v>
      </c>
      <c r="I3" s="886" t="s">
        <v>247</v>
      </c>
      <c r="J3" s="886" t="s">
        <v>248</v>
      </c>
      <c r="K3" s="437" t="s">
        <v>249</v>
      </c>
      <c r="L3" s="438" t="s">
        <v>250</v>
      </c>
      <c r="M3" s="437" t="s">
        <v>249</v>
      </c>
      <c r="N3" s="439" t="s">
        <v>251</v>
      </c>
      <c r="O3" s="902"/>
      <c r="P3" s="440" t="s">
        <v>252</v>
      </c>
      <c r="Q3" s="440" t="s">
        <v>253</v>
      </c>
      <c r="R3" s="440" t="s">
        <v>254</v>
      </c>
      <c r="S3" s="440"/>
      <c r="T3" s="612"/>
      <c r="U3" s="441" t="s">
        <v>77</v>
      </c>
      <c r="V3" s="1432" t="s">
        <v>255</v>
      </c>
      <c r="W3" s="1433"/>
      <c r="X3" s="887" t="s">
        <v>256</v>
      </c>
      <c r="Y3" s="442" t="s">
        <v>257</v>
      </c>
      <c r="Z3" s="892" t="s">
        <v>258</v>
      </c>
    </row>
    <row r="4" spans="2:26" ht="17.25" customHeight="1" thickTop="1">
      <c r="B4" s="1416" t="s">
        <v>259</v>
      </c>
      <c r="C4" s="443" t="s">
        <v>260</v>
      </c>
      <c r="D4" s="444" t="s">
        <v>261</v>
      </c>
      <c r="E4" s="445"/>
      <c r="F4" s="446"/>
      <c r="G4" s="447"/>
      <c r="H4" s="448" t="str">
        <f>IF(G4-1=-1," ",G4-1)</f>
        <v xml:space="preserve"> </v>
      </c>
      <c r="I4" s="449">
        <f>ROUNDUP((F4-(G4*$E$7))/1220,0)</f>
        <v>0</v>
      </c>
      <c r="J4" s="449" t="str">
        <f>IFERROR((F4-($E$7*G4))/(G4*2),"")</f>
        <v/>
      </c>
      <c r="K4" s="450">
        <f>IF(F4&gt;600,2,)</f>
        <v>0</v>
      </c>
      <c r="L4" s="451">
        <f>IFERROR(IF(G4-1=0,0,J4*2),0)</f>
        <v>0</v>
      </c>
      <c r="M4" s="450">
        <f>IF(G4-1&gt;0,G4-1,)</f>
        <v>0</v>
      </c>
      <c r="N4" s="452" t="str">
        <f>IFERROR(I4*1220-(J4*K4*G4)," ")</f>
        <v xml:space="preserve"> </v>
      </c>
      <c r="O4" s="453"/>
      <c r="P4" s="454">
        <f>ROUNDUP((F4-(G4*$E$7))/1820,0)</f>
        <v>0</v>
      </c>
      <c r="Q4" s="455">
        <f>G4*2</f>
        <v>0</v>
      </c>
      <c r="R4" s="456">
        <f>G4*2</f>
        <v>0</v>
      </c>
      <c r="S4" s="456"/>
      <c r="T4" s="612"/>
      <c r="U4" s="457" t="str">
        <f>E4&amp;" 판넬"</f>
        <v xml:space="preserve"> 판넬</v>
      </c>
      <c r="V4" s="1425"/>
      <c r="W4" s="1426"/>
      <c r="X4" s="458">
        <f>H9+I9+H19+I19-X18</f>
        <v>0</v>
      </c>
      <c r="Y4" s="459" t="str">
        <f>IF(X4&gt;0,"개","")</f>
        <v/>
      </c>
      <c r="Z4" s="460"/>
    </row>
    <row r="5" spans="2:26" ht="17.25" customHeight="1">
      <c r="B5" s="1416"/>
      <c r="C5" s="443" t="s">
        <v>262</v>
      </c>
      <c r="D5" s="444" t="s">
        <v>263</v>
      </c>
      <c r="E5" s="461" t="s">
        <v>264</v>
      </c>
      <c r="F5" s="446"/>
      <c r="G5" s="447"/>
      <c r="H5" s="448" t="str">
        <f>IF(G5-1=-1," ",G5-1)</f>
        <v xml:space="preserve"> </v>
      </c>
      <c r="I5" s="449">
        <f t="shared" ref="I5:I8" si="0">ROUNDUP((F5-(G5*$E$7))/1220,0)</f>
        <v>0</v>
      </c>
      <c r="J5" s="449" t="str">
        <f>IFERROR((F5-($E$7*G5))/(G5*2),"")</f>
        <v/>
      </c>
      <c r="K5" s="450">
        <f>IF(F5&gt;600,2,)</f>
        <v>0</v>
      </c>
      <c r="L5" s="451">
        <f>IFERROR(IF(G5-1=0,0,J5*2),0)</f>
        <v>0</v>
      </c>
      <c r="M5" s="450">
        <f>IF(G5-1&gt;0,G5-1,)</f>
        <v>0</v>
      </c>
      <c r="N5" s="452" t="str">
        <f>IFERROR(I5*1220-(J5*K5*G5)," ")</f>
        <v xml:space="preserve"> </v>
      </c>
      <c r="O5" s="453"/>
      <c r="P5" s="454">
        <f t="shared" ref="P5:P8" si="1">ROUNDUP((F5-(G5*$E$7))/1820,0)</f>
        <v>0</v>
      </c>
      <c r="Q5" s="455">
        <f>G5*2</f>
        <v>0</v>
      </c>
      <c r="R5" s="456">
        <f>G5*2</f>
        <v>0</v>
      </c>
      <c r="S5" s="456"/>
      <c r="T5" s="612"/>
      <c r="U5" s="462" t="str">
        <f>E4&amp;" 도어"</f>
        <v xml:space="preserve"> 도어</v>
      </c>
      <c r="V5" s="1287"/>
      <c r="W5" s="1288"/>
      <c r="X5" s="463">
        <f>G9+G18</f>
        <v>0</v>
      </c>
      <c r="Y5" s="464" t="str">
        <f>IF(X5&gt;0,"개","")</f>
        <v/>
      </c>
      <c r="Z5" s="465"/>
    </row>
    <row r="6" spans="2:26" ht="17.25" customHeight="1">
      <c r="B6" s="1416"/>
      <c r="C6" s="443" t="s">
        <v>266</v>
      </c>
      <c r="D6" s="444" t="s">
        <v>267</v>
      </c>
      <c r="E6" s="461" t="s">
        <v>268</v>
      </c>
      <c r="F6" s="446"/>
      <c r="G6" s="447"/>
      <c r="H6" s="448" t="str">
        <f>IF(G6-1=-1," ",G6-1)</f>
        <v xml:space="preserve"> </v>
      </c>
      <c r="I6" s="449">
        <f t="shared" si="0"/>
        <v>0</v>
      </c>
      <c r="J6" s="449" t="str">
        <f t="shared" ref="J6:J8" si="2">IFERROR((F6-($E$7*G6))/(G6*2),"")</f>
        <v/>
      </c>
      <c r="K6" s="450">
        <f>IF(F6&gt;600,2,)</f>
        <v>0</v>
      </c>
      <c r="L6" s="451">
        <f>IFERROR(IF(G6-1=0,0,J6*2),0)</f>
        <v>0</v>
      </c>
      <c r="M6" s="450">
        <f>IF(G6-1&gt;0,G6-1,)</f>
        <v>0</v>
      </c>
      <c r="N6" s="452" t="str">
        <f>IFERROR(I6*1220-(J6*K6*G6)," ")</f>
        <v xml:space="preserve"> </v>
      </c>
      <c r="O6" s="453"/>
      <c r="P6" s="454">
        <f t="shared" si="1"/>
        <v>0</v>
      </c>
      <c r="Q6" s="455">
        <f>G6*2</f>
        <v>0</v>
      </c>
      <c r="R6" s="456">
        <f>G6*2</f>
        <v>0</v>
      </c>
      <c r="S6" s="456"/>
      <c r="T6" s="902"/>
      <c r="U6" s="155" t="s">
        <v>269</v>
      </c>
      <c r="V6" s="1287"/>
      <c r="W6" s="1288"/>
      <c r="X6" s="463">
        <f>ROUNDUP((F9+F18)/3600*1.15,0)</f>
        <v>0</v>
      </c>
      <c r="Y6" s="464" t="str">
        <f t="shared" ref="Y6:Y17" si="3">IF(X6&gt;0,"개","")</f>
        <v/>
      </c>
      <c r="Z6" s="465"/>
    </row>
    <row r="7" spans="2:26" ht="17.25" customHeight="1">
      <c r="B7" s="1416"/>
      <c r="C7" s="443" t="s">
        <v>270</v>
      </c>
      <c r="D7" s="466" t="s">
        <v>271</v>
      </c>
      <c r="E7" s="467">
        <v>630</v>
      </c>
      <c r="F7" s="446"/>
      <c r="G7" s="447"/>
      <c r="H7" s="448" t="str">
        <f>IF(G7-1=-1," ",G7-1)</f>
        <v xml:space="preserve"> </v>
      </c>
      <c r="I7" s="449">
        <f t="shared" si="0"/>
        <v>0</v>
      </c>
      <c r="J7" s="449" t="str">
        <f t="shared" si="2"/>
        <v/>
      </c>
      <c r="K7" s="450">
        <f>IF(F7&gt;600,2,)</f>
        <v>0</v>
      </c>
      <c r="L7" s="451">
        <f>IFERROR(IF(G7-1=0,0,J7*2),0)</f>
        <v>0</v>
      </c>
      <c r="M7" s="450">
        <f>IF(G7-1&gt;0,G7-1,)</f>
        <v>0</v>
      </c>
      <c r="N7" s="452" t="str">
        <f>IFERROR(I7*1220-(J7*K7*G7)," ")</f>
        <v xml:space="preserve"> </v>
      </c>
      <c r="O7" s="453"/>
      <c r="P7" s="454">
        <f t="shared" si="1"/>
        <v>0</v>
      </c>
      <c r="Q7" s="455">
        <f>G7*2</f>
        <v>0</v>
      </c>
      <c r="R7" s="456">
        <f>G7*2</f>
        <v>0</v>
      </c>
      <c r="S7" s="456"/>
      <c r="T7" s="902"/>
      <c r="U7" s="889" t="s">
        <v>272</v>
      </c>
      <c r="V7" s="1287"/>
      <c r="W7" s="1288"/>
      <c r="X7" s="463">
        <f>ROUNDUP((H9+G18)/2,0)</f>
        <v>0</v>
      </c>
      <c r="Y7" s="464" t="str">
        <f t="shared" si="3"/>
        <v/>
      </c>
      <c r="Z7" s="465"/>
    </row>
    <row r="8" spans="2:26" ht="17.25" customHeight="1" thickBot="1">
      <c r="B8" s="1417"/>
      <c r="C8" s="468" t="s">
        <v>273</v>
      </c>
      <c r="D8" s="469"/>
      <c r="E8" s="469"/>
      <c r="F8" s="470"/>
      <c r="G8" s="471"/>
      <c r="H8" s="472" t="str">
        <f>IF(G8-1=-1," ",G8-1)</f>
        <v xml:space="preserve"> </v>
      </c>
      <c r="I8" s="449">
        <f t="shared" si="0"/>
        <v>0</v>
      </c>
      <c r="J8" s="449" t="str">
        <f t="shared" si="2"/>
        <v/>
      </c>
      <c r="K8" s="450">
        <f>IF(F8&gt;600,2,)</f>
        <v>0</v>
      </c>
      <c r="L8" s="451">
        <f>IFERROR(IF(G8-1=0,0,J8*2),0)</f>
        <v>0</v>
      </c>
      <c r="M8" s="450">
        <f>IF(G8-1&gt;0,G8-1,)</f>
        <v>0</v>
      </c>
      <c r="N8" s="452" t="str">
        <f>IFERROR(I8*1220-(J8*K8*G8)," ")</f>
        <v xml:space="preserve"> </v>
      </c>
      <c r="O8" s="453"/>
      <c r="P8" s="454">
        <f t="shared" si="1"/>
        <v>0</v>
      </c>
      <c r="Q8" s="473">
        <f>G8*2</f>
        <v>0</v>
      </c>
      <c r="R8" s="474">
        <f>G8*2</f>
        <v>0</v>
      </c>
      <c r="S8" s="474"/>
      <c r="T8" s="902"/>
      <c r="U8" s="889" t="s">
        <v>274</v>
      </c>
      <c r="V8" s="1287"/>
      <c r="W8" s="1288"/>
      <c r="X8" s="475">
        <f>P9+P19</f>
        <v>0</v>
      </c>
      <c r="Y8" s="464" t="str">
        <f t="shared" si="3"/>
        <v/>
      </c>
      <c r="Z8" s="465"/>
    </row>
    <row r="9" spans="2:26" ht="17.25" customHeight="1" thickBot="1">
      <c r="B9" s="1414" t="s">
        <v>275</v>
      </c>
      <c r="C9" s="1415"/>
      <c r="D9" s="885"/>
      <c r="E9" s="885"/>
      <c r="F9" s="476">
        <f>SUM(F4:F8)</f>
        <v>0</v>
      </c>
      <c r="G9" s="477">
        <f>SUM(G4:G8)</f>
        <v>0</v>
      </c>
      <c r="H9" s="478">
        <f>SUM(H4:H8)</f>
        <v>0</v>
      </c>
      <c r="I9" s="479">
        <f>SUM(I4:I8)</f>
        <v>0</v>
      </c>
      <c r="J9" s="479"/>
      <c r="K9" s="480"/>
      <c r="L9" s="480"/>
      <c r="M9" s="480"/>
      <c r="N9" s="481">
        <f>SUM(N4:N8)</f>
        <v>0</v>
      </c>
      <c r="O9" s="482"/>
      <c r="P9" s="483">
        <f>SUM(P4:P8)</f>
        <v>0</v>
      </c>
      <c r="Q9" s="484">
        <f>SUM(Q4:Q8)</f>
        <v>0</v>
      </c>
      <c r="R9" s="485">
        <f>SUM(R4:R8)</f>
        <v>0</v>
      </c>
      <c r="S9" s="485"/>
      <c r="T9" s="482"/>
      <c r="U9" s="486" t="s">
        <v>276</v>
      </c>
      <c r="V9" s="1287"/>
      <c r="W9" s="1288"/>
      <c r="X9" s="475">
        <f>ROUNDUP((G9+G18)/3,0)</f>
        <v>0</v>
      </c>
      <c r="Y9" s="464" t="str">
        <f t="shared" si="3"/>
        <v/>
      </c>
      <c r="Z9" s="465"/>
    </row>
    <row r="10" spans="2:26" ht="17.25" customHeight="1">
      <c r="B10" s="1420" t="s">
        <v>277</v>
      </c>
      <c r="C10" s="1420"/>
      <c r="D10" s="1420"/>
      <c r="E10" s="1420"/>
      <c r="F10" s="1420"/>
      <c r="G10" s="1420"/>
      <c r="H10" s="487"/>
      <c r="I10" s="487"/>
      <c r="J10" s="487"/>
      <c r="K10" s="897"/>
      <c r="L10" s="897"/>
      <c r="M10" s="897"/>
      <c r="N10" s="897"/>
      <c r="O10" s="897"/>
      <c r="P10" s="893"/>
      <c r="Q10" s="893"/>
      <c r="R10" s="893"/>
      <c r="S10" s="893"/>
      <c r="T10" s="897"/>
      <c r="U10" s="488" t="s">
        <v>278</v>
      </c>
      <c r="V10" s="1287"/>
      <c r="W10" s="1288"/>
      <c r="X10" s="475">
        <f>Q9+Q19</f>
        <v>0</v>
      </c>
      <c r="Y10" s="464" t="str">
        <f t="shared" si="3"/>
        <v/>
      </c>
      <c r="Z10" s="465"/>
    </row>
    <row r="11" spans="2:26" ht="17.25" customHeight="1" thickBot="1">
      <c r="B11" s="1421"/>
      <c r="C11" s="1421"/>
      <c r="D11" s="1421"/>
      <c r="E11" s="1421"/>
      <c r="F11" s="1421"/>
      <c r="G11" s="1421"/>
      <c r="H11" s="432"/>
      <c r="I11" s="432"/>
      <c r="J11" s="432"/>
      <c r="K11" s="432"/>
      <c r="L11" s="432"/>
      <c r="M11" s="893"/>
      <c r="N11" s="893"/>
      <c r="O11" s="893"/>
      <c r="P11" s="489"/>
      <c r="Q11" s="489"/>
      <c r="R11" s="489"/>
      <c r="S11" s="489"/>
      <c r="T11" s="897"/>
      <c r="U11" s="490" t="s">
        <v>279</v>
      </c>
      <c r="V11" s="1287"/>
      <c r="W11" s="1288"/>
      <c r="X11" s="475">
        <f>R9+R19</f>
        <v>0</v>
      </c>
      <c r="Y11" s="464" t="str">
        <f t="shared" si="3"/>
        <v/>
      </c>
      <c r="Z11" s="465"/>
    </row>
    <row r="12" spans="2:26" ht="17.25" customHeight="1" thickBot="1">
      <c r="B12" s="1418"/>
      <c r="C12" s="1419"/>
      <c r="D12" s="886" t="s">
        <v>280</v>
      </c>
      <c r="E12" s="434" t="s">
        <v>281</v>
      </c>
      <c r="F12" s="434" t="s">
        <v>282</v>
      </c>
      <c r="G12" s="435" t="s">
        <v>245</v>
      </c>
      <c r="H12" s="493"/>
      <c r="I12" s="493"/>
      <c r="J12" s="493"/>
      <c r="K12" s="493"/>
      <c r="L12" s="493"/>
      <c r="M12" s="493"/>
      <c r="N12" s="493"/>
      <c r="O12" s="902"/>
      <c r="P12" s="1422" t="s">
        <v>241</v>
      </c>
      <c r="Q12" s="1423"/>
      <c r="R12" s="1423"/>
      <c r="S12" s="1424"/>
      <c r="T12" s="897"/>
      <c r="U12" s="490" t="s">
        <v>283</v>
      </c>
      <c r="V12" s="1287"/>
      <c r="W12" s="1288"/>
      <c r="X12" s="475">
        <f>S19</f>
        <v>0</v>
      </c>
      <c r="Y12" s="464" t="str">
        <f t="shared" si="3"/>
        <v/>
      </c>
      <c r="Z12" s="465"/>
    </row>
    <row r="13" spans="2:26" ht="17.25" customHeight="1">
      <c r="B13" s="1416" t="s">
        <v>284</v>
      </c>
      <c r="C13" s="443" t="s">
        <v>285</v>
      </c>
      <c r="D13" s="491">
        <f>E13+F13</f>
        <v>0</v>
      </c>
      <c r="E13" s="492"/>
      <c r="F13" s="446"/>
      <c r="G13" s="447"/>
      <c r="H13" s="436" t="s">
        <v>246</v>
      </c>
      <c r="I13" s="886" t="s">
        <v>247</v>
      </c>
      <c r="J13" s="886" t="s">
        <v>248</v>
      </c>
      <c r="K13" s="437" t="s">
        <v>249</v>
      </c>
      <c r="L13" s="438" t="s">
        <v>250</v>
      </c>
      <c r="M13" s="437" t="s">
        <v>249</v>
      </c>
      <c r="N13" s="439" t="s">
        <v>251</v>
      </c>
      <c r="O13" s="902"/>
      <c r="P13" s="440" t="s">
        <v>252</v>
      </c>
      <c r="Q13" s="440" t="s">
        <v>253</v>
      </c>
      <c r="R13" s="440" t="s">
        <v>254</v>
      </c>
      <c r="S13" s="440" t="s">
        <v>286</v>
      </c>
      <c r="T13" s="897"/>
      <c r="U13" s="490" t="str">
        <f>E5</f>
        <v>일반 흰지</v>
      </c>
      <c r="V13" s="1287"/>
      <c r="W13" s="1288"/>
      <c r="X13" s="494">
        <f>G9+G18</f>
        <v>0</v>
      </c>
      <c r="Y13" s="464" t="str">
        <f t="shared" si="3"/>
        <v/>
      </c>
      <c r="Z13" s="465"/>
    </row>
    <row r="14" spans="2:26" ht="17.25" customHeight="1">
      <c r="B14" s="1416"/>
      <c r="C14" s="443" t="s">
        <v>287</v>
      </c>
      <c r="D14" s="491">
        <f>E14+F14</f>
        <v>0</v>
      </c>
      <c r="E14" s="492"/>
      <c r="F14" s="446"/>
      <c r="G14" s="447"/>
      <c r="H14" s="448">
        <f>G13</f>
        <v>0</v>
      </c>
      <c r="I14" s="449">
        <f>ROUNDUP((F13-($E$7*G13))/1220,0)</f>
        <v>0</v>
      </c>
      <c r="J14" s="449" t="str">
        <f>IFERROR((F13-($E$7*G13))/(G13*2)," ")</f>
        <v xml:space="preserve"> </v>
      </c>
      <c r="K14" s="450">
        <f>S14*2</f>
        <v>0</v>
      </c>
      <c r="L14" s="451">
        <f>IFERROR(IF(G13-1=0,0,J14*2),0)</f>
        <v>0</v>
      </c>
      <c r="M14" s="450">
        <f>IF(G13-1&gt;0,G13-1,)</f>
        <v>0</v>
      </c>
      <c r="N14" s="452" t="str">
        <f>IFERROR(I14*1220-(J14*K14*G13)," ")</f>
        <v xml:space="preserve"> </v>
      </c>
      <c r="O14" s="453"/>
      <c r="P14" s="454">
        <f>ROUNDUP((D13-(G13*$E$7))/1820,0)</f>
        <v>0</v>
      </c>
      <c r="Q14" s="455">
        <f>G13*2</f>
        <v>0</v>
      </c>
      <c r="R14" s="456">
        <f>G13*2</f>
        <v>0</v>
      </c>
      <c r="S14" s="456">
        <f>IF(F13&gt;0,1,0)</f>
        <v>0</v>
      </c>
      <c r="T14" s="897"/>
      <c r="U14" s="490" t="s">
        <v>288</v>
      </c>
      <c r="V14" s="1287"/>
      <c r="W14" s="1288"/>
      <c r="X14" s="494">
        <f>(G9+G18)*2+(H9+H19)*2</f>
        <v>0</v>
      </c>
      <c r="Y14" s="464" t="str">
        <f t="shared" si="3"/>
        <v/>
      </c>
      <c r="Z14" s="465"/>
    </row>
    <row r="15" spans="2:26" ht="17.25" customHeight="1">
      <c r="B15" s="1416"/>
      <c r="C15" s="443" t="s">
        <v>289</v>
      </c>
      <c r="D15" s="491">
        <f>E15+F15</f>
        <v>0</v>
      </c>
      <c r="E15" s="492"/>
      <c r="F15" s="446"/>
      <c r="G15" s="447"/>
      <c r="H15" s="448">
        <f>G14</f>
        <v>0</v>
      </c>
      <c r="I15" s="449">
        <f>ROUNDUP((F14-($E$7*G14))/1220,0)</f>
        <v>0</v>
      </c>
      <c r="J15" s="449" t="str">
        <f>IFERROR((F14-($E$7*G14))/(G14*2)," ")</f>
        <v xml:space="preserve"> </v>
      </c>
      <c r="K15" s="450">
        <f>S15*2</f>
        <v>0</v>
      </c>
      <c r="L15" s="451">
        <f>IFERROR(IF(G14-1=0,0,J15*2),0)</f>
        <v>0</v>
      </c>
      <c r="M15" s="450">
        <f>IF(G14-1&gt;0,G14-1,)</f>
        <v>0</v>
      </c>
      <c r="N15" s="452" t="str">
        <f>IFERROR(I15*1220-(J15*K15*G14)," ")</f>
        <v xml:space="preserve"> </v>
      </c>
      <c r="O15" s="453"/>
      <c r="P15" s="454">
        <f>ROUNDUP((D14-(G14*$E$7))/1820,0)</f>
        <v>0</v>
      </c>
      <c r="Q15" s="455">
        <f>G14*2</f>
        <v>0</v>
      </c>
      <c r="R15" s="456">
        <f>G14*2</f>
        <v>0</v>
      </c>
      <c r="S15" s="456">
        <f>IF(F14&gt;0,1,0)</f>
        <v>0</v>
      </c>
      <c r="T15" s="897"/>
      <c r="U15" s="490" t="str">
        <f>E6</f>
        <v>일반 잠금쇠</v>
      </c>
      <c r="V15" s="1287"/>
      <c r="W15" s="1288"/>
      <c r="X15" s="494">
        <f>G9+G18</f>
        <v>0</v>
      </c>
      <c r="Y15" s="464" t="str">
        <f t="shared" si="3"/>
        <v/>
      </c>
      <c r="Z15" s="465"/>
    </row>
    <row r="16" spans="2:26" ht="17.25" customHeight="1">
      <c r="B16" s="1416"/>
      <c r="C16" s="443" t="s">
        <v>290</v>
      </c>
      <c r="D16" s="491">
        <f>E16+F16</f>
        <v>0</v>
      </c>
      <c r="E16" s="492"/>
      <c r="F16" s="446"/>
      <c r="G16" s="447"/>
      <c r="H16" s="448">
        <f>G15</f>
        <v>0</v>
      </c>
      <c r="I16" s="449">
        <f>ROUNDUP((F15-($E$7*G15))/1220,0)</f>
        <v>0</v>
      </c>
      <c r="J16" s="449" t="str">
        <f>IFERROR((F15-($E$7*G15))/(G15*2)," ")</f>
        <v xml:space="preserve"> </v>
      </c>
      <c r="K16" s="450">
        <f>S16*2</f>
        <v>0</v>
      </c>
      <c r="L16" s="451">
        <f>IFERROR(IF(G15-1=0,0,J16*2),0)</f>
        <v>0</v>
      </c>
      <c r="M16" s="450">
        <f>IF(G15-1&gt;0,G15-1,)</f>
        <v>0</v>
      </c>
      <c r="N16" s="452" t="str">
        <f>IFERROR(I16*1220-(J16*K16*G15)," ")</f>
        <v xml:space="preserve"> </v>
      </c>
      <c r="O16" s="453"/>
      <c r="P16" s="454">
        <f>ROUNDUP((D15-(G15*$E$7))/1820,0)</f>
        <v>0</v>
      </c>
      <c r="Q16" s="455">
        <f>G15*2</f>
        <v>0</v>
      </c>
      <c r="R16" s="456">
        <f>G15*2</f>
        <v>0</v>
      </c>
      <c r="S16" s="456">
        <f>IF(F15&gt;0,1,0)</f>
        <v>0</v>
      </c>
      <c r="T16" s="897"/>
      <c r="U16" s="155" t="s">
        <v>291</v>
      </c>
      <c r="V16" s="1287"/>
      <c r="W16" s="1288"/>
      <c r="X16" s="495">
        <f>G9+G18</f>
        <v>0</v>
      </c>
      <c r="Y16" s="464" t="str">
        <f t="shared" si="3"/>
        <v/>
      </c>
      <c r="Z16" s="465"/>
    </row>
    <row r="17" spans="2:31" ht="17.25" customHeight="1" thickBot="1">
      <c r="B17" s="1417"/>
      <c r="C17" s="468" t="s">
        <v>292</v>
      </c>
      <c r="D17" s="491">
        <f>E17+F17</f>
        <v>0</v>
      </c>
      <c r="E17" s="492"/>
      <c r="F17" s="470"/>
      <c r="G17" s="471"/>
      <c r="H17" s="448">
        <f>G16</f>
        <v>0</v>
      </c>
      <c r="I17" s="449">
        <f>ROUNDUP((F16-($E$7*G16))/1220,0)</f>
        <v>0</v>
      </c>
      <c r="J17" s="449" t="str">
        <f>IFERROR((F16-($E$7*G16))/(G16*2)," ")</f>
        <v xml:space="preserve"> </v>
      </c>
      <c r="K17" s="450">
        <f>S17*2</f>
        <v>0</v>
      </c>
      <c r="L17" s="451">
        <f>IFERROR(IF(G16-1=0,0,J17*2),0)</f>
        <v>0</v>
      </c>
      <c r="M17" s="450">
        <f>IF(G16-1&gt;0,G16-1,)</f>
        <v>0</v>
      </c>
      <c r="N17" s="452" t="str">
        <f>IFERROR(I17*1220-(J17*K17*G16)," ")</f>
        <v xml:space="preserve"> </v>
      </c>
      <c r="O17" s="453"/>
      <c r="P17" s="454">
        <f>ROUNDUP((D16-(G16*$E$7))/1820,0)</f>
        <v>0</v>
      </c>
      <c r="Q17" s="455">
        <f>G16*2</f>
        <v>0</v>
      </c>
      <c r="R17" s="456">
        <f>G16*2</f>
        <v>0</v>
      </c>
      <c r="S17" s="456">
        <f>IF(F16&gt;0,1,0)</f>
        <v>0</v>
      </c>
      <c r="T17" s="897"/>
      <c r="U17" s="155" t="s">
        <v>293</v>
      </c>
      <c r="V17" s="1287"/>
      <c r="W17" s="1288"/>
      <c r="X17" s="475">
        <f>G9+G18</f>
        <v>0</v>
      </c>
      <c r="Y17" s="464" t="str">
        <f t="shared" si="3"/>
        <v/>
      </c>
      <c r="Z17" s="465"/>
    </row>
    <row r="18" spans="2:31" ht="17.25" customHeight="1" thickBot="1">
      <c r="B18" s="1414" t="s">
        <v>275</v>
      </c>
      <c r="C18" s="1415"/>
      <c r="D18" s="496">
        <f t="shared" ref="D18:I19" si="4">SUM(D13:D17)</f>
        <v>0</v>
      </c>
      <c r="E18" s="496">
        <f t="shared" si="4"/>
        <v>0</v>
      </c>
      <c r="F18" s="496">
        <f t="shared" si="4"/>
        <v>0</v>
      </c>
      <c r="G18" s="477">
        <f t="shared" si="4"/>
        <v>0</v>
      </c>
      <c r="H18" s="448">
        <f>G17</f>
        <v>0</v>
      </c>
      <c r="I18" s="449">
        <f>ROUNDUP((F17-($E$7*G17))/1220,0)</f>
        <v>0</v>
      </c>
      <c r="J18" s="449" t="str">
        <f>IFERROR((F17-($E$7*G17))/(G17*2)," ")</f>
        <v xml:space="preserve"> </v>
      </c>
      <c r="K18" s="450">
        <f>S18*2</f>
        <v>0</v>
      </c>
      <c r="L18" s="451">
        <f>IFERROR(IF(G17-1=0,0,J18*2),0)</f>
        <v>0</v>
      </c>
      <c r="M18" s="450">
        <f>IF(G17-1&gt;0,G17-1,)</f>
        <v>0</v>
      </c>
      <c r="N18" s="452" t="str">
        <f>IFERROR(I18*1220-(J18*K18*G17)," ")</f>
        <v xml:space="preserve"> </v>
      </c>
      <c r="O18" s="482"/>
      <c r="P18" s="454">
        <f>ROUNDUP((D17-(G17*$E$7))/1820,0)</f>
        <v>0</v>
      </c>
      <c r="Q18" s="473">
        <f>G17*2</f>
        <v>0</v>
      </c>
      <c r="R18" s="474">
        <f>G17*2</f>
        <v>0</v>
      </c>
      <c r="S18" s="474">
        <f>IF(F17&gt;0,1,0)</f>
        <v>0</v>
      </c>
      <c r="T18" s="897"/>
      <c r="U18" s="462" t="s">
        <v>294</v>
      </c>
      <c r="V18" s="1287"/>
      <c r="W18" s="1288"/>
      <c r="X18" s="497"/>
      <c r="Y18" s="464" t="str">
        <f>IF(X18&gt;0,"장","")</f>
        <v/>
      </c>
      <c r="Z18" s="465"/>
    </row>
    <row r="19" spans="2:31" ht="17.25" customHeight="1" thickBot="1">
      <c r="B19" s="612"/>
      <c r="C19" s="330"/>
      <c r="D19" s="612"/>
      <c r="E19" s="897"/>
      <c r="F19" s="482"/>
      <c r="G19" s="612"/>
      <c r="H19" s="478">
        <f t="shared" si="4"/>
        <v>0</v>
      </c>
      <c r="I19" s="479">
        <f t="shared" si="4"/>
        <v>0</v>
      </c>
      <c r="J19" s="479"/>
      <c r="K19" s="480"/>
      <c r="L19" s="480"/>
      <c r="M19" s="480"/>
      <c r="N19" s="481">
        <f>SUM(N14:N18)</f>
        <v>0</v>
      </c>
      <c r="O19" s="897"/>
      <c r="P19" s="483">
        <f>SUM(P14:P18)</f>
        <v>0</v>
      </c>
      <c r="Q19" s="484">
        <f>SUM(Q14:Q18)</f>
        <v>0</v>
      </c>
      <c r="R19" s="484">
        <f>SUM(R14:R18)</f>
        <v>0</v>
      </c>
      <c r="S19" s="485">
        <f>SUM(S14:S18)</f>
        <v>0</v>
      </c>
      <c r="T19" s="897"/>
      <c r="U19" s="1408" t="s">
        <v>295</v>
      </c>
      <c r="V19" s="1409"/>
      <c r="W19" s="1409"/>
      <c r="X19" s="1409"/>
      <c r="Y19" s="1409"/>
      <c r="Z19" s="1410"/>
      <c r="AB19" s="1324"/>
      <c r="AC19" s="1324"/>
      <c r="AD19" s="1324"/>
      <c r="AE19" s="1324"/>
    </row>
    <row r="20" spans="2:31" ht="17.25" customHeight="1">
      <c r="B20" s="1404" t="s">
        <v>296</v>
      </c>
      <c r="C20" s="1404"/>
      <c r="D20" s="1404"/>
      <c r="E20" s="1404"/>
      <c r="F20" s="1404"/>
      <c r="G20" s="1404"/>
      <c r="H20" s="612"/>
      <c r="I20" s="489"/>
      <c r="J20" s="902"/>
      <c r="K20" s="902"/>
      <c r="L20" s="897"/>
      <c r="M20" s="897"/>
      <c r="N20" s="897"/>
      <c r="O20" s="498"/>
      <c r="P20" s="897"/>
      <c r="Q20" s="897"/>
      <c r="R20" s="897"/>
      <c r="S20" s="897"/>
      <c r="T20" s="897"/>
      <c r="U20" s="1411" t="s">
        <v>297</v>
      </c>
      <c r="V20" s="1412"/>
      <c r="W20" s="1412"/>
      <c r="X20" s="1412"/>
      <c r="Y20" s="1412"/>
      <c r="Z20" s="1413"/>
      <c r="AB20" s="1324"/>
      <c r="AC20" s="1324"/>
      <c r="AD20" s="1324"/>
      <c r="AE20" s="1324"/>
    </row>
    <row r="21" spans="2:31" ht="17.25" customHeight="1">
      <c r="B21" s="1404" t="s">
        <v>298</v>
      </c>
      <c r="C21" s="1404"/>
      <c r="D21" s="1404"/>
      <c r="E21" s="1404"/>
      <c r="F21" s="1404"/>
      <c r="G21" s="1404"/>
      <c r="H21" s="489"/>
      <c r="I21" s="489"/>
      <c r="J21" s="489"/>
      <c r="K21" s="489"/>
      <c r="L21" s="489"/>
      <c r="M21" s="489"/>
      <c r="N21" s="489"/>
      <c r="O21" s="897"/>
      <c r="P21" s="612"/>
      <c r="Q21" s="612"/>
      <c r="R21" s="612"/>
      <c r="S21" s="612"/>
      <c r="T21" s="498"/>
      <c r="U21" s="499"/>
      <c r="V21" s="1406"/>
      <c r="W21" s="1407"/>
      <c r="X21" s="500"/>
      <c r="Y21" s="501"/>
      <c r="Z21" s="502"/>
      <c r="AB21" s="1277"/>
      <c r="AC21" s="1277"/>
      <c r="AD21" s="1277"/>
      <c r="AE21" s="1277"/>
    </row>
    <row r="22" spans="2:31" ht="17.25" customHeight="1" thickBot="1">
      <c r="B22" s="1404" t="s">
        <v>299</v>
      </c>
      <c r="C22" s="1404"/>
      <c r="D22" s="1404"/>
      <c r="E22" s="1404"/>
      <c r="F22" s="1404"/>
      <c r="G22" s="1404"/>
      <c r="H22" s="489"/>
      <c r="I22" s="489"/>
      <c r="J22" s="489"/>
      <c r="K22" s="489"/>
      <c r="L22" s="489"/>
      <c r="M22" s="489"/>
      <c r="N22" s="489"/>
      <c r="O22" s="612"/>
      <c r="P22" s="612"/>
      <c r="Q22" s="612"/>
      <c r="R22" s="612"/>
      <c r="S22" s="612"/>
      <c r="T22" s="897"/>
      <c r="U22" s="503"/>
      <c r="V22" s="1406"/>
      <c r="W22" s="1407"/>
      <c r="X22" s="504"/>
      <c r="Y22" s="505"/>
      <c r="Z22" s="506"/>
      <c r="AB22" s="1277"/>
      <c r="AC22" s="1277"/>
      <c r="AD22" s="1277"/>
      <c r="AE22" s="1277"/>
    </row>
    <row r="23" spans="2:31" ht="17.25" customHeight="1" thickBot="1">
      <c r="B23" s="1404" t="s">
        <v>300</v>
      </c>
      <c r="C23" s="1404"/>
      <c r="D23" s="1404"/>
      <c r="E23" s="1404"/>
      <c r="F23" s="1404"/>
      <c r="G23" s="1404"/>
      <c r="H23" s="489"/>
      <c r="I23" s="489"/>
      <c r="J23" s="489"/>
      <c r="K23" s="489"/>
      <c r="L23" s="489"/>
      <c r="M23" s="489"/>
      <c r="N23" s="489"/>
      <c r="O23" s="612"/>
      <c r="P23" s="879"/>
      <c r="Q23" s="879"/>
      <c r="R23" s="879"/>
      <c r="S23" s="879"/>
      <c r="T23" s="612"/>
      <c r="U23" s="507" t="s">
        <v>259</v>
      </c>
      <c r="V23" s="508" t="s">
        <v>248</v>
      </c>
      <c r="W23" s="508" t="s">
        <v>249</v>
      </c>
      <c r="X23" s="509" t="s">
        <v>250</v>
      </c>
      <c r="Y23" s="508" t="s">
        <v>249</v>
      </c>
      <c r="Z23" s="510" t="s">
        <v>251</v>
      </c>
      <c r="AB23" s="1276"/>
      <c r="AC23" s="1277"/>
      <c r="AD23" s="1277"/>
      <c r="AE23" s="1277"/>
    </row>
    <row r="24" spans="2:31" ht="17.25" customHeight="1">
      <c r="B24" s="1404" t="s">
        <v>301</v>
      </c>
      <c r="C24" s="1404"/>
      <c r="D24" s="1404"/>
      <c r="E24" s="1404"/>
      <c r="F24" s="1404"/>
      <c r="G24" s="1404"/>
      <c r="H24" s="489"/>
      <c r="I24" s="489"/>
      <c r="J24" s="489"/>
      <c r="K24" s="489"/>
      <c r="L24" s="489"/>
      <c r="M24" s="489"/>
      <c r="N24" s="489"/>
      <c r="O24" s="879"/>
      <c r="P24" s="879"/>
      <c r="Q24" s="879"/>
      <c r="R24" s="879"/>
      <c r="S24" s="879"/>
      <c r="T24" s="612"/>
      <c r="U24" s="511" t="s">
        <v>302</v>
      </c>
      <c r="V24" s="512" t="str">
        <f t="shared" ref="V24:Z28" si="5">J4</f>
        <v/>
      </c>
      <c r="W24" s="513">
        <f t="shared" si="5"/>
        <v>0</v>
      </c>
      <c r="X24" s="512">
        <f t="shared" si="5"/>
        <v>0</v>
      </c>
      <c r="Y24" s="514">
        <f t="shared" si="5"/>
        <v>0</v>
      </c>
      <c r="Z24" s="515" t="str">
        <f t="shared" si="5"/>
        <v xml:space="preserve"> </v>
      </c>
      <c r="AB24" s="1277"/>
      <c r="AC24" s="1277"/>
      <c r="AD24" s="1277"/>
      <c r="AE24" s="1277"/>
    </row>
    <row r="25" spans="2:31" ht="17.25" customHeight="1">
      <c r="B25" s="1404"/>
      <c r="C25" s="1404"/>
      <c r="D25" s="1404"/>
      <c r="E25" s="1404"/>
      <c r="F25" s="1404"/>
      <c r="G25" s="1404"/>
      <c r="H25" s="489"/>
      <c r="I25" s="489"/>
      <c r="J25" s="489"/>
      <c r="K25" s="489"/>
      <c r="L25" s="489"/>
      <c r="M25" s="489"/>
      <c r="N25" s="489"/>
      <c r="O25" s="879"/>
      <c r="P25" s="879"/>
      <c r="Q25" s="879"/>
      <c r="R25" s="879"/>
      <c r="S25" s="879"/>
      <c r="T25" s="879"/>
      <c r="U25" s="516" t="s">
        <v>262</v>
      </c>
      <c r="V25" s="440" t="str">
        <f t="shared" si="5"/>
        <v/>
      </c>
      <c r="W25" s="513">
        <f t="shared" si="5"/>
        <v>0</v>
      </c>
      <c r="X25" s="440">
        <f t="shared" si="5"/>
        <v>0</v>
      </c>
      <c r="Y25" s="514">
        <f t="shared" si="5"/>
        <v>0</v>
      </c>
      <c r="Z25" s="517" t="str">
        <f t="shared" si="5"/>
        <v xml:space="preserve"> </v>
      </c>
      <c r="AB25" s="1277"/>
      <c r="AC25" s="1277"/>
      <c r="AD25" s="1277"/>
      <c r="AE25" s="1277"/>
    </row>
    <row r="26" spans="2:31" ht="17.25" customHeight="1">
      <c r="B26" s="1403" t="s">
        <v>303</v>
      </c>
      <c r="C26" s="1404"/>
      <c r="D26" s="1404"/>
      <c r="E26" s="1404"/>
      <c r="F26" s="1404"/>
      <c r="G26" s="1404"/>
      <c r="H26" s="489"/>
      <c r="I26" s="489"/>
      <c r="J26" s="489"/>
      <c r="K26" s="489"/>
      <c r="L26" s="489"/>
      <c r="M26" s="489"/>
      <c r="N26" s="489"/>
      <c r="O26" s="879"/>
      <c r="P26" s="518"/>
      <c r="Q26" s="518"/>
      <c r="R26" s="518"/>
      <c r="S26" s="518"/>
      <c r="T26" s="879"/>
      <c r="U26" s="516" t="s">
        <v>266</v>
      </c>
      <c r="V26" s="440" t="str">
        <f t="shared" si="5"/>
        <v/>
      </c>
      <c r="W26" s="513">
        <f t="shared" si="5"/>
        <v>0</v>
      </c>
      <c r="X26" s="440">
        <f t="shared" si="5"/>
        <v>0</v>
      </c>
      <c r="Y26" s="514">
        <f t="shared" si="5"/>
        <v>0</v>
      </c>
      <c r="Z26" s="517" t="str">
        <f t="shared" si="5"/>
        <v xml:space="preserve"> </v>
      </c>
      <c r="AB26" s="1277"/>
      <c r="AC26" s="1277"/>
      <c r="AD26" s="1277"/>
      <c r="AE26" s="1277"/>
    </row>
    <row r="27" spans="2:31" ht="17.25" customHeight="1">
      <c r="B27" s="1405" t="s">
        <v>171</v>
      </c>
      <c r="C27" s="1405"/>
      <c r="D27" s="1405"/>
      <c r="E27" s="1405"/>
      <c r="F27" s="1405"/>
      <c r="G27" s="1405"/>
      <c r="H27" s="489"/>
      <c r="I27" s="489"/>
      <c r="J27" s="489"/>
      <c r="K27" s="489"/>
      <c r="L27" s="489"/>
      <c r="M27" s="489"/>
      <c r="N27" s="489"/>
      <c r="O27" s="518"/>
      <c r="P27" s="879"/>
      <c r="Q27" s="879"/>
      <c r="R27" s="879"/>
      <c r="S27" s="879"/>
      <c r="T27" s="879"/>
      <c r="U27" s="516" t="s">
        <v>270</v>
      </c>
      <c r="V27" s="440" t="str">
        <f t="shared" si="5"/>
        <v/>
      </c>
      <c r="W27" s="513">
        <f t="shared" si="5"/>
        <v>0</v>
      </c>
      <c r="X27" s="440">
        <f t="shared" si="5"/>
        <v>0</v>
      </c>
      <c r="Y27" s="514">
        <f t="shared" si="5"/>
        <v>0</v>
      </c>
      <c r="Z27" s="517" t="str">
        <f t="shared" si="5"/>
        <v xml:space="preserve"> </v>
      </c>
      <c r="AB27" s="1401"/>
      <c r="AC27" s="1401"/>
      <c r="AD27" s="1401"/>
      <c r="AE27" s="1401"/>
    </row>
    <row r="28" spans="2:31" ht="17.25" customHeight="1" thickBot="1">
      <c r="B28" s="1405"/>
      <c r="C28" s="1405"/>
      <c r="D28" s="1405"/>
      <c r="E28" s="1405"/>
      <c r="F28" s="1405"/>
      <c r="G28" s="1405"/>
      <c r="H28" s="489"/>
      <c r="I28" s="489"/>
      <c r="J28" s="489"/>
      <c r="K28" s="489"/>
      <c r="L28" s="489"/>
      <c r="M28" s="489"/>
      <c r="N28" s="489"/>
      <c r="O28" s="879"/>
      <c r="P28" s="489"/>
      <c r="Q28" s="489"/>
      <c r="R28" s="489"/>
      <c r="S28" s="489"/>
      <c r="T28" s="518"/>
      <c r="U28" s="519" t="s">
        <v>273</v>
      </c>
      <c r="V28" s="520" t="str">
        <f t="shared" si="5"/>
        <v/>
      </c>
      <c r="W28" s="521">
        <f t="shared" si="5"/>
        <v>0</v>
      </c>
      <c r="X28" s="520">
        <f t="shared" si="5"/>
        <v>0</v>
      </c>
      <c r="Y28" s="522">
        <f t="shared" si="5"/>
        <v>0</v>
      </c>
      <c r="Z28" s="523" t="str">
        <f t="shared" si="5"/>
        <v xml:space="preserve"> </v>
      </c>
      <c r="AB28" s="1282"/>
      <c r="AC28" s="1282"/>
      <c r="AD28" s="1282"/>
      <c r="AE28" s="1282"/>
    </row>
    <row r="29" spans="2:31" ht="17.25" customHeight="1" thickTop="1" thickBot="1">
      <c r="B29" s="1277" t="s">
        <v>172</v>
      </c>
      <c r="C29" s="1277"/>
      <c r="D29" s="1277"/>
      <c r="E29" s="1277"/>
      <c r="F29" s="1277"/>
      <c r="G29" s="1277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879"/>
      <c r="U29" s="524" t="s">
        <v>304</v>
      </c>
      <c r="V29" s="525" t="s">
        <v>248</v>
      </c>
      <c r="W29" s="525" t="s">
        <v>249</v>
      </c>
      <c r="X29" s="526" t="s">
        <v>250</v>
      </c>
      <c r="Y29" s="525" t="s">
        <v>249</v>
      </c>
      <c r="Z29" s="527" t="s">
        <v>251</v>
      </c>
    </row>
    <row r="30" spans="2:31" ht="17.25" customHeight="1">
      <c r="B30" s="1277" t="s">
        <v>174</v>
      </c>
      <c r="C30" s="1277"/>
      <c r="D30" s="1277"/>
      <c r="E30" s="1277"/>
      <c r="F30" s="1277"/>
      <c r="G30" s="1277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511" t="s">
        <v>305</v>
      </c>
      <c r="V30" s="512" t="str">
        <f t="shared" ref="V30:Z34" si="6">J14</f>
        <v xml:space="preserve"> </v>
      </c>
      <c r="W30" s="513">
        <f t="shared" si="6"/>
        <v>0</v>
      </c>
      <c r="X30" s="512">
        <f t="shared" si="6"/>
        <v>0</v>
      </c>
      <c r="Y30" s="514">
        <f t="shared" si="6"/>
        <v>0</v>
      </c>
      <c r="Z30" s="515" t="str">
        <f t="shared" si="6"/>
        <v xml:space="preserve"> </v>
      </c>
    </row>
    <row r="31" spans="2:31" ht="17.25" customHeight="1">
      <c r="B31" s="1276" t="s">
        <v>306</v>
      </c>
      <c r="C31" s="1276"/>
      <c r="D31" s="1276"/>
      <c r="E31" s="1276"/>
      <c r="F31" s="1276"/>
      <c r="G31" s="1276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516" t="s">
        <v>287</v>
      </c>
      <c r="V31" s="512" t="str">
        <f t="shared" si="6"/>
        <v xml:space="preserve"> </v>
      </c>
      <c r="W31" s="513">
        <f t="shared" si="6"/>
        <v>0</v>
      </c>
      <c r="X31" s="512">
        <f t="shared" si="6"/>
        <v>0</v>
      </c>
      <c r="Y31" s="514">
        <f t="shared" si="6"/>
        <v>0</v>
      </c>
      <c r="Z31" s="515" t="str">
        <f t="shared" si="6"/>
        <v xml:space="preserve"> </v>
      </c>
    </row>
    <row r="32" spans="2:31" ht="17.25" customHeight="1">
      <c r="B32" s="1277" t="s">
        <v>175</v>
      </c>
      <c r="C32" s="1277"/>
      <c r="D32" s="1277"/>
      <c r="E32" s="1277"/>
      <c r="F32" s="1277"/>
      <c r="G32" s="1277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516" t="s">
        <v>289</v>
      </c>
      <c r="V32" s="512" t="str">
        <f t="shared" si="6"/>
        <v xml:space="preserve"> </v>
      </c>
      <c r="W32" s="513">
        <f t="shared" si="6"/>
        <v>0</v>
      </c>
      <c r="X32" s="512">
        <f t="shared" si="6"/>
        <v>0</v>
      </c>
      <c r="Y32" s="514">
        <f t="shared" si="6"/>
        <v>0</v>
      </c>
      <c r="Z32" s="515" t="str">
        <f t="shared" si="6"/>
        <v xml:space="preserve"> </v>
      </c>
    </row>
    <row r="33" spans="2:26" ht="17.25" customHeight="1">
      <c r="B33" s="1277" t="s">
        <v>177</v>
      </c>
      <c r="C33" s="1277"/>
      <c r="D33" s="1277"/>
      <c r="E33" s="1277"/>
      <c r="F33" s="1277"/>
      <c r="G33" s="1277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516" t="s">
        <v>290</v>
      </c>
      <c r="V33" s="512" t="str">
        <f t="shared" si="6"/>
        <v xml:space="preserve"> </v>
      </c>
      <c r="W33" s="513">
        <f t="shared" si="6"/>
        <v>0</v>
      </c>
      <c r="X33" s="512">
        <f t="shared" si="6"/>
        <v>0</v>
      </c>
      <c r="Y33" s="514">
        <f t="shared" si="6"/>
        <v>0</v>
      </c>
      <c r="Z33" s="515" t="str">
        <f t="shared" si="6"/>
        <v xml:space="preserve"> </v>
      </c>
    </row>
    <row r="34" spans="2:26" ht="17.25" customHeight="1" thickBot="1">
      <c r="B34" s="1277"/>
      <c r="C34" s="1277"/>
      <c r="D34" s="1277"/>
      <c r="E34" s="1277"/>
      <c r="F34" s="1277"/>
      <c r="G34" s="1277"/>
      <c r="H34" s="528"/>
      <c r="I34" s="528"/>
      <c r="J34" s="528"/>
      <c r="K34" s="528"/>
      <c r="L34" s="528"/>
      <c r="M34" s="528"/>
      <c r="N34" s="528"/>
      <c r="O34" s="528"/>
      <c r="P34" s="489"/>
      <c r="Q34" s="489"/>
      <c r="R34" s="489"/>
      <c r="S34" s="489"/>
      <c r="T34" s="489"/>
      <c r="U34" s="519" t="s">
        <v>292</v>
      </c>
      <c r="V34" s="512" t="str">
        <f t="shared" si="6"/>
        <v xml:space="preserve"> </v>
      </c>
      <c r="W34" s="513">
        <f t="shared" si="6"/>
        <v>0</v>
      </c>
      <c r="X34" s="512">
        <f t="shared" si="6"/>
        <v>0</v>
      </c>
      <c r="Y34" s="514">
        <f t="shared" si="6"/>
        <v>0</v>
      </c>
      <c r="Z34" s="515" t="str">
        <f t="shared" si="6"/>
        <v xml:space="preserve"> </v>
      </c>
    </row>
    <row r="35" spans="2:26" ht="17.25" customHeight="1" thickTop="1" thickBot="1">
      <c r="B35" s="1401" t="s">
        <v>307</v>
      </c>
      <c r="C35" s="1401"/>
      <c r="D35" s="1401"/>
      <c r="E35" s="1402" t="s">
        <v>308</v>
      </c>
      <c r="F35" s="1402"/>
      <c r="G35" s="1402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529"/>
      <c r="V35" s="530"/>
      <c r="W35" s="530"/>
      <c r="X35" s="531" t="s">
        <v>309</v>
      </c>
      <c r="Y35" s="532"/>
      <c r="Z35" s="533">
        <f>SUM(Z30:Z34,Z24:Z28)</f>
        <v>0</v>
      </c>
    </row>
    <row r="36" spans="2:26" ht="17.25" customHeight="1" thickTop="1">
      <c r="C36" s="528"/>
      <c r="D36" s="528"/>
      <c r="E36" s="528"/>
      <c r="F36" s="528"/>
      <c r="G36" s="528"/>
    </row>
    <row r="37" spans="2:26" ht="17.25" customHeight="1">
      <c r="Z37" s="535"/>
    </row>
    <row r="38" spans="2:26" ht="17.25" customHeight="1"/>
    <row r="39" spans="2:26" ht="17.25" customHeight="1"/>
    <row r="40" spans="2:26" ht="17.25" customHeight="1"/>
    <row r="41" spans="2:26" ht="17.25" customHeight="1"/>
    <row r="42" spans="2:26" ht="17.25" customHeight="1"/>
    <row r="43" spans="2:26" ht="17.25" customHeight="1"/>
    <row r="44" spans="2:26" ht="17.25" customHeight="1"/>
    <row r="45" spans="2:26" ht="17.25" customHeight="1"/>
    <row r="46" spans="2:26" ht="17.25" customHeight="1"/>
    <row r="47" spans="2:26" ht="17.25" customHeight="1"/>
    <row r="48" spans="2:26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</sheetData>
  <sheetProtection algorithmName="SHA-512" hashValue="sL8qOs7a3ynn0Hmz86b3ll9zxW/KRggQXk8Jx9o+kMIV/RmqiBEMp/Ek/MMzsbGq8S4VczACnIFMjyBA/Be7Og==" saltValue="+4AocLYv2dF1yEQHf2p9/A==" spinCount="100000" sheet="1" objects="1" scenarios="1"/>
  <mergeCells count="59">
    <mergeCell ref="U1:Z1"/>
    <mergeCell ref="B2:N2"/>
    <mergeCell ref="P2:S2"/>
    <mergeCell ref="U2:Z2"/>
    <mergeCell ref="B3:C3"/>
    <mergeCell ref="D3:E3"/>
    <mergeCell ref="V3:W3"/>
    <mergeCell ref="B1:G1"/>
    <mergeCell ref="B4:B8"/>
    <mergeCell ref="V4:W4"/>
    <mergeCell ref="V5:W5"/>
    <mergeCell ref="V6:W6"/>
    <mergeCell ref="V7:W7"/>
    <mergeCell ref="V8:W8"/>
    <mergeCell ref="B9:C9"/>
    <mergeCell ref="V9:W9"/>
    <mergeCell ref="V10:W10"/>
    <mergeCell ref="B12:C12"/>
    <mergeCell ref="V11:W11"/>
    <mergeCell ref="B10:G11"/>
    <mergeCell ref="P12:S12"/>
    <mergeCell ref="V12:W12"/>
    <mergeCell ref="V15:W15"/>
    <mergeCell ref="V16:W16"/>
    <mergeCell ref="B18:C18"/>
    <mergeCell ref="V17:W17"/>
    <mergeCell ref="V18:W18"/>
    <mergeCell ref="B13:B17"/>
    <mergeCell ref="V13:W13"/>
    <mergeCell ref="V14:W14"/>
    <mergeCell ref="AB24:AE24"/>
    <mergeCell ref="AB19:AE20"/>
    <mergeCell ref="B21:G21"/>
    <mergeCell ref="B22:G22"/>
    <mergeCell ref="V21:W21"/>
    <mergeCell ref="AB21:AE21"/>
    <mergeCell ref="B20:G20"/>
    <mergeCell ref="U19:Z19"/>
    <mergeCell ref="B23:G23"/>
    <mergeCell ref="V22:W22"/>
    <mergeCell ref="AB22:AE22"/>
    <mergeCell ref="B24:G24"/>
    <mergeCell ref="AB23:AE23"/>
    <mergeCell ref="U20:Z20"/>
    <mergeCell ref="B35:D35"/>
    <mergeCell ref="E35:G35"/>
    <mergeCell ref="B26:G26"/>
    <mergeCell ref="AB25:AE25"/>
    <mergeCell ref="B27:G28"/>
    <mergeCell ref="AB26:AE26"/>
    <mergeCell ref="AB27:AE27"/>
    <mergeCell ref="B29:G29"/>
    <mergeCell ref="AB28:AE28"/>
    <mergeCell ref="B30:G30"/>
    <mergeCell ref="B31:G31"/>
    <mergeCell ref="B32:G32"/>
    <mergeCell ref="B33:G33"/>
    <mergeCell ref="B34:G34"/>
    <mergeCell ref="B25:G25"/>
  </mergeCells>
  <phoneticPr fontId="5" type="noConversion"/>
  <hyperlinks>
    <hyperlink ref="B35" r:id="rId1"/>
    <hyperlink ref="E35:G35" r:id="rId2" display="신라스틸판넬 Home Page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66"/>
  <sheetViews>
    <sheetView showGridLines="0" zoomScaleNormal="100" workbookViewId="0">
      <selection activeCell="U19" sqref="U19:Z19"/>
    </sheetView>
  </sheetViews>
  <sheetFormatPr defaultColWidth="9" defaultRowHeight="16.5"/>
  <cols>
    <col min="1" max="1" width="1.625" style="534" customWidth="1"/>
    <col min="2" max="2" width="18" customWidth="1"/>
    <col min="3" max="5" width="15.75" customWidth="1"/>
    <col min="6" max="6" width="4.25" customWidth="1"/>
    <col min="7" max="7" width="18" customWidth="1"/>
    <col min="8" max="10" width="15.75" customWidth="1"/>
    <col min="11" max="11" width="3.625" customWidth="1"/>
    <col min="12" max="12" width="18" customWidth="1"/>
    <col min="13" max="15" width="15.75" customWidth="1"/>
    <col min="16" max="16" width="4.25" customWidth="1"/>
  </cols>
  <sheetData>
    <row r="1" spans="1:20" ht="26.25">
      <c r="A1" s="536"/>
      <c r="B1" s="1455" t="s">
        <v>310</v>
      </c>
      <c r="C1" s="1455"/>
      <c r="D1" s="1455"/>
      <c r="E1" s="1455"/>
      <c r="F1" s="612"/>
      <c r="G1" s="1456" t="s">
        <v>311</v>
      </c>
      <c r="H1" s="1456"/>
      <c r="I1" s="894" t="s">
        <v>312</v>
      </c>
      <c r="J1" s="537" t="s">
        <v>99</v>
      </c>
      <c r="K1" s="612"/>
      <c r="L1" s="1457" t="s">
        <v>162</v>
      </c>
      <c r="M1" s="1457"/>
      <c r="N1" s="1457"/>
      <c r="O1" s="1457"/>
    </row>
    <row r="2" spans="1:20" ht="27" thickBot="1">
      <c r="A2" s="536"/>
      <c r="B2" s="538" t="s">
        <v>313</v>
      </c>
      <c r="C2" s="1458" t="str">
        <f>IF(C3&gt;0,C3&amp;"T "&amp;C4&amp;"×"&amp;C5&amp;" = "&amp;E3&amp;"조"," ")</f>
        <v xml:space="preserve"> </v>
      </c>
      <c r="D2" s="1458"/>
      <c r="E2" s="539"/>
      <c r="F2" s="612"/>
      <c r="G2" s="538" t="s">
        <v>314</v>
      </c>
      <c r="H2" s="1458" t="str">
        <f>IF(H3&gt;0,H3&amp;"T "&amp;H4&amp;"×"&amp;H5&amp;" = "&amp;J3&amp;"조", " ")</f>
        <v xml:space="preserve"> </v>
      </c>
      <c r="I2" s="1458"/>
      <c r="J2" s="539"/>
      <c r="K2" s="612"/>
      <c r="L2" s="1455" t="s">
        <v>315</v>
      </c>
      <c r="M2" s="1455"/>
      <c r="N2" s="1455"/>
      <c r="O2" s="1455"/>
      <c r="Q2" s="882"/>
      <c r="R2" s="882"/>
      <c r="S2" s="882"/>
      <c r="T2" s="882"/>
    </row>
    <row r="3" spans="1:20" s="394" customFormat="1" ht="18" thickTop="1" thickBot="1">
      <c r="A3" s="904"/>
      <c r="B3" s="540" t="s">
        <v>316</v>
      </c>
      <c r="C3" s="541"/>
      <c r="D3" s="542" t="s">
        <v>317</v>
      </c>
      <c r="E3" s="543"/>
      <c r="F3" s="613"/>
      <c r="G3" s="540" t="s">
        <v>316</v>
      </c>
      <c r="H3" s="541"/>
      <c r="I3" s="542" t="s">
        <v>317</v>
      </c>
      <c r="J3" s="543"/>
      <c r="K3" s="613"/>
      <c r="L3" s="544" t="s">
        <v>77</v>
      </c>
      <c r="M3" s="545" t="s">
        <v>255</v>
      </c>
      <c r="N3" s="1448" t="s">
        <v>318</v>
      </c>
      <c r="O3" s="1449"/>
      <c r="Q3" s="881"/>
      <c r="R3" s="881"/>
      <c r="S3" s="881"/>
      <c r="T3" s="881"/>
    </row>
    <row r="4" spans="1:20" s="394" customFormat="1" ht="18" customHeight="1" thickTop="1">
      <c r="A4" s="904"/>
      <c r="B4" s="546" t="s">
        <v>319</v>
      </c>
      <c r="C4" s="547"/>
      <c r="D4" s="548"/>
      <c r="E4" s="549"/>
      <c r="F4" s="613"/>
      <c r="G4" s="546" t="s">
        <v>319</v>
      </c>
      <c r="H4" s="547"/>
      <c r="I4" s="548"/>
      <c r="J4" s="549"/>
      <c r="K4" s="613"/>
      <c r="L4" s="550" t="str">
        <f>B2</f>
        <v xml:space="preserve">편개도어 : </v>
      </c>
      <c r="M4" s="551" t="str">
        <f>C2</f>
        <v xml:space="preserve"> </v>
      </c>
      <c r="N4" s="552"/>
      <c r="O4" s="553"/>
      <c r="Q4" s="881"/>
      <c r="R4" s="881"/>
      <c r="S4" s="881"/>
      <c r="T4" s="881"/>
    </row>
    <row r="5" spans="1:20" s="394" customFormat="1" ht="18" customHeight="1" thickBot="1">
      <c r="A5" s="904"/>
      <c r="B5" s="554" t="s">
        <v>320</v>
      </c>
      <c r="C5" s="555"/>
      <c r="D5" s="556"/>
      <c r="E5" s="557"/>
      <c r="F5" s="613"/>
      <c r="G5" s="554" t="s">
        <v>320</v>
      </c>
      <c r="H5" s="555"/>
      <c r="I5" s="556"/>
      <c r="J5" s="557"/>
      <c r="K5" s="613"/>
      <c r="L5" s="558" t="s">
        <v>321</v>
      </c>
      <c r="M5" s="559">
        <f>IF(C9=200," ",C9)</f>
        <v>0</v>
      </c>
      <c r="N5" s="560">
        <f>D9</f>
        <v>0</v>
      </c>
      <c r="O5" s="561" t="str">
        <f>IF(N5&gt;0,"개","")</f>
        <v/>
      </c>
      <c r="Q5" s="562"/>
      <c r="R5" s="562"/>
      <c r="S5" s="562"/>
      <c r="T5" s="881"/>
    </row>
    <row r="6" spans="1:20" s="394" customFormat="1" ht="16.5" customHeight="1">
      <c r="A6" s="904"/>
      <c r="B6" s="1450" t="s">
        <v>322</v>
      </c>
      <c r="C6" s="1450"/>
      <c r="D6" s="1450"/>
      <c r="E6" s="1450"/>
      <c r="F6" s="613"/>
      <c r="G6" s="1452" t="s">
        <v>323</v>
      </c>
      <c r="H6" s="1453"/>
      <c r="I6" s="1453"/>
      <c r="J6" s="1453"/>
      <c r="K6" s="613"/>
      <c r="L6" s="1446" t="s">
        <v>324</v>
      </c>
      <c r="M6" s="563" t="str">
        <f>IF(C10=0,"  ",C3&amp;"T "&amp;C10)</f>
        <v xml:space="preserve">  </v>
      </c>
      <c r="N6" s="463">
        <f>D10</f>
        <v>0</v>
      </c>
      <c r="O6" s="561" t="str">
        <f t="shared" ref="O6:O42" si="0">IF(N6&gt;0,"개","")</f>
        <v/>
      </c>
      <c r="Q6" s="881"/>
      <c r="R6" s="881"/>
      <c r="S6" s="881"/>
      <c r="T6" s="881"/>
    </row>
    <row r="7" spans="1:20" s="394" customFormat="1" ht="17.25" customHeight="1" thickBot="1">
      <c r="A7" s="564"/>
      <c r="B7" s="1451"/>
      <c r="C7" s="1451"/>
      <c r="D7" s="1451"/>
      <c r="E7" s="1451"/>
      <c r="F7" s="613"/>
      <c r="G7" s="1453"/>
      <c r="H7" s="1453"/>
      <c r="I7" s="1453"/>
      <c r="J7" s="1453"/>
      <c r="K7" s="613"/>
      <c r="L7" s="1447"/>
      <c r="M7" s="563" t="str">
        <f>IF(C10=0,"  ",C3&amp;"T "&amp;C11)</f>
        <v xml:space="preserve">  </v>
      </c>
      <c r="N7" s="463">
        <f>D11</f>
        <v>0</v>
      </c>
      <c r="O7" s="561" t="str">
        <f t="shared" si="0"/>
        <v/>
      </c>
      <c r="Q7" s="881"/>
      <c r="R7" s="881"/>
      <c r="S7" s="881"/>
      <c r="T7" s="881"/>
    </row>
    <row r="8" spans="1:20" ht="17.25" customHeight="1" thickTop="1" thickBot="1">
      <c r="A8"/>
      <c r="B8" s="441" t="s">
        <v>77</v>
      </c>
      <c r="C8" s="888" t="s">
        <v>255</v>
      </c>
      <c r="D8" s="1432" t="s">
        <v>318</v>
      </c>
      <c r="E8" s="1454"/>
      <c r="F8" s="612"/>
      <c r="G8" s="441" t="s">
        <v>77</v>
      </c>
      <c r="H8" s="888" t="s">
        <v>255</v>
      </c>
      <c r="I8" s="1432" t="s">
        <v>318</v>
      </c>
      <c r="J8" s="1454"/>
      <c r="K8" s="612"/>
      <c r="L8" s="890" t="s">
        <v>325</v>
      </c>
      <c r="M8" s="563" t="str">
        <f>IF(C10=0,"  ",C3&amp;"T "&amp;C13)</f>
        <v xml:space="preserve">  </v>
      </c>
      <c r="N8" s="463">
        <f>D13</f>
        <v>0</v>
      </c>
      <c r="O8" s="561" t="str">
        <f t="shared" si="0"/>
        <v/>
      </c>
      <c r="Q8" s="883"/>
      <c r="R8" s="883"/>
      <c r="S8" s="883"/>
      <c r="T8" s="882"/>
    </row>
    <row r="9" spans="1:20" ht="17.25" customHeight="1" thickTop="1">
      <c r="A9"/>
      <c r="B9" s="457" t="s">
        <v>321</v>
      </c>
      <c r="C9" s="559">
        <f>IF(C4&gt;0,C4*2+200,)</f>
        <v>0</v>
      </c>
      <c r="D9" s="458">
        <f>E3</f>
        <v>0</v>
      </c>
      <c r="E9" s="460" t="str">
        <f>IF(D9&gt;0,"개","")</f>
        <v/>
      </c>
      <c r="F9" s="612"/>
      <c r="G9" s="457" t="s">
        <v>321</v>
      </c>
      <c r="H9" s="559">
        <f>IF(H4&gt;0,H4*2+200,)</f>
        <v>0</v>
      </c>
      <c r="I9" s="458">
        <f>J3</f>
        <v>0</v>
      </c>
      <c r="J9" s="460" t="str">
        <f>IF(I9&gt;0,"개","")</f>
        <v/>
      </c>
      <c r="K9" s="612"/>
      <c r="L9" s="891" t="s">
        <v>326</v>
      </c>
      <c r="M9" s="563" t="str">
        <f>IF(C10=0,"  ",C15)</f>
        <v xml:space="preserve">  </v>
      </c>
      <c r="N9" s="463">
        <f>D15</f>
        <v>0</v>
      </c>
      <c r="O9" s="561" t="str">
        <f t="shared" si="0"/>
        <v/>
      </c>
      <c r="Q9" s="882"/>
      <c r="R9" s="882"/>
      <c r="S9" s="882"/>
      <c r="T9" s="882"/>
    </row>
    <row r="10" spans="1:20" ht="17.25" customHeight="1" thickBot="1">
      <c r="A10"/>
      <c r="B10" s="1444" t="s">
        <v>324</v>
      </c>
      <c r="C10" s="563">
        <f>C5</f>
        <v>0</v>
      </c>
      <c r="D10" s="463">
        <f>E3*2</f>
        <v>0</v>
      </c>
      <c r="E10" s="465" t="str">
        <f>IF(D10&gt;0,"개","")</f>
        <v/>
      </c>
      <c r="F10" s="612"/>
      <c r="G10" s="1444" t="s">
        <v>324</v>
      </c>
      <c r="H10" s="563">
        <f>H5</f>
        <v>0</v>
      </c>
      <c r="I10" s="463">
        <f>J3*2</f>
        <v>0</v>
      </c>
      <c r="J10" s="465" t="str">
        <f>IF(I10&gt;0,"개","")</f>
        <v/>
      </c>
      <c r="K10" s="612"/>
      <c r="L10" s="565" t="s">
        <v>327</v>
      </c>
      <c r="M10" s="566">
        <f>IF(C16=-10,"  ",C16)</f>
        <v>0</v>
      </c>
      <c r="N10" s="567">
        <f>D16</f>
        <v>0</v>
      </c>
      <c r="O10" s="1259" t="str">
        <f t="shared" si="0"/>
        <v/>
      </c>
      <c r="Q10" s="882"/>
      <c r="R10" s="882"/>
      <c r="S10" s="882"/>
      <c r="T10" s="882"/>
    </row>
    <row r="11" spans="1:20" ht="17.25" customHeight="1" thickTop="1">
      <c r="A11" s="569"/>
      <c r="B11" s="1445"/>
      <c r="C11" s="559">
        <f>C4</f>
        <v>0</v>
      </c>
      <c r="D11" s="494">
        <f>E3*1</f>
        <v>0</v>
      </c>
      <c r="E11" s="465" t="str">
        <f t="shared" ref="E11:E42" si="1">IF(D11&gt;0,"개","")</f>
        <v/>
      </c>
      <c r="F11" s="612"/>
      <c r="G11" s="1445"/>
      <c r="H11" s="559">
        <f>H4/2</f>
        <v>0</v>
      </c>
      <c r="I11" s="494">
        <f>J3*2</f>
        <v>0</v>
      </c>
      <c r="J11" s="465" t="str">
        <f t="shared" ref="J11:J40" si="2">IF(I11&gt;0,"개","")</f>
        <v/>
      </c>
      <c r="K11" s="612"/>
      <c r="L11" s="550" t="str">
        <f>G2</f>
        <v xml:space="preserve">양개도어 : </v>
      </c>
      <c r="M11" s="570" t="str">
        <f>H2</f>
        <v xml:space="preserve"> </v>
      </c>
      <c r="N11" s="571"/>
      <c r="O11" s="572" t="str">
        <f t="shared" si="0"/>
        <v/>
      </c>
      <c r="Q11" s="882"/>
      <c r="R11" s="882"/>
      <c r="S11" s="882"/>
      <c r="T11" s="882"/>
    </row>
    <row r="12" spans="1:20" ht="17.25" customHeight="1">
      <c r="A12" s="569"/>
      <c r="B12" s="573"/>
      <c r="C12" s="559"/>
      <c r="D12" s="494"/>
      <c r="E12" s="465" t="str">
        <f t="shared" si="1"/>
        <v/>
      </c>
      <c r="F12" s="612"/>
      <c r="G12" s="573"/>
      <c r="H12" s="559"/>
      <c r="I12" s="494"/>
      <c r="J12" s="465" t="str">
        <f t="shared" si="2"/>
        <v/>
      </c>
      <c r="K12" s="612"/>
      <c r="L12" s="574" t="s">
        <v>321</v>
      </c>
      <c r="M12" s="440">
        <f>IF(H9=200," ",H9)</f>
        <v>0</v>
      </c>
      <c r="N12" s="463">
        <f>I9</f>
        <v>0</v>
      </c>
      <c r="O12" s="561" t="str">
        <f t="shared" si="0"/>
        <v/>
      </c>
      <c r="Q12" s="882"/>
      <c r="R12" s="882"/>
      <c r="S12" s="882"/>
      <c r="T12" s="882"/>
    </row>
    <row r="13" spans="1:20" ht="17.25" customHeight="1">
      <c r="A13" s="569"/>
      <c r="B13" s="1444" t="s">
        <v>325</v>
      </c>
      <c r="C13" s="563">
        <f>C4</f>
        <v>0</v>
      </c>
      <c r="D13" s="463">
        <f>E3*1</f>
        <v>0</v>
      </c>
      <c r="E13" s="465" t="str">
        <f t="shared" si="1"/>
        <v/>
      </c>
      <c r="F13" s="612"/>
      <c r="G13" s="1444" t="s">
        <v>325</v>
      </c>
      <c r="H13" s="563">
        <f>H5</f>
        <v>0</v>
      </c>
      <c r="I13" s="463">
        <f>J3*2</f>
        <v>0</v>
      </c>
      <c r="J13" s="465" t="str">
        <f t="shared" si="2"/>
        <v/>
      </c>
      <c r="K13" s="612"/>
      <c r="L13" s="1446" t="s">
        <v>324</v>
      </c>
      <c r="M13" s="563" t="str">
        <f>IF(H10=0,"  ",H3&amp;"T "&amp;H10)</f>
        <v xml:space="preserve">  </v>
      </c>
      <c r="N13" s="463">
        <f>I10</f>
        <v>0</v>
      </c>
      <c r="O13" s="561" t="str">
        <f t="shared" si="0"/>
        <v/>
      </c>
      <c r="Q13" s="882"/>
      <c r="R13" s="882"/>
      <c r="S13" s="882"/>
      <c r="T13" s="882"/>
    </row>
    <row r="14" spans="1:20" ht="17.25" customHeight="1">
      <c r="A14" s="569"/>
      <c r="B14" s="1445"/>
      <c r="C14" s="559"/>
      <c r="D14" s="463"/>
      <c r="E14" s="465" t="str">
        <f t="shared" si="1"/>
        <v/>
      </c>
      <c r="F14" s="612"/>
      <c r="G14" s="1445"/>
      <c r="H14" s="575">
        <f>H4/2</f>
        <v>0</v>
      </c>
      <c r="I14" s="494">
        <f>J3*2</f>
        <v>0</v>
      </c>
      <c r="J14" s="465" t="str">
        <f t="shared" si="2"/>
        <v/>
      </c>
      <c r="K14" s="612"/>
      <c r="L14" s="1447"/>
      <c r="M14" s="563" t="str">
        <f>IF(H11=0,"  ",H3&amp;"T "&amp;H11)</f>
        <v xml:space="preserve">  </v>
      </c>
      <c r="N14" s="463">
        <f>I11</f>
        <v>0</v>
      </c>
      <c r="O14" s="561" t="str">
        <f t="shared" si="0"/>
        <v/>
      </c>
    </row>
    <row r="15" spans="1:20" ht="17.25" customHeight="1">
      <c r="A15" s="569"/>
      <c r="B15" s="889" t="s">
        <v>326</v>
      </c>
      <c r="C15" s="559">
        <f>C4</f>
        <v>0</v>
      </c>
      <c r="D15" s="463">
        <f>E3*1</f>
        <v>0</v>
      </c>
      <c r="E15" s="465" t="str">
        <f t="shared" si="1"/>
        <v/>
      </c>
      <c r="F15" s="612"/>
      <c r="G15" s="889" t="s">
        <v>326</v>
      </c>
      <c r="H15" s="559">
        <f>H4/2</f>
        <v>0</v>
      </c>
      <c r="I15" s="463">
        <f>J3*2</f>
        <v>0</v>
      </c>
      <c r="J15" s="465" t="str">
        <f t="shared" si="2"/>
        <v/>
      </c>
      <c r="K15" s="612"/>
      <c r="L15" s="1446" t="s">
        <v>325</v>
      </c>
      <c r="M15" s="563" t="str">
        <f>IF(H13=0,"  ",H3&amp;"T "&amp;H13)</f>
        <v xml:space="preserve">  </v>
      </c>
      <c r="N15" s="463">
        <f>I13</f>
        <v>0</v>
      </c>
      <c r="O15" s="561" t="str">
        <f t="shared" si="0"/>
        <v/>
      </c>
    </row>
    <row r="16" spans="1:20" ht="17.25" customHeight="1">
      <c r="A16" s="569"/>
      <c r="B16" s="889" t="s">
        <v>327</v>
      </c>
      <c r="C16" s="559">
        <f>IF(C4&gt;0,C4-10,)</f>
        <v>0</v>
      </c>
      <c r="D16" s="494">
        <f>E3*1</f>
        <v>0</v>
      </c>
      <c r="E16" s="465" t="str">
        <f t="shared" si="1"/>
        <v/>
      </c>
      <c r="F16" s="612"/>
      <c r="G16" s="889" t="s">
        <v>327</v>
      </c>
      <c r="H16" s="559">
        <f>IF(H4&gt;0,H4/2-10,)</f>
        <v>0</v>
      </c>
      <c r="I16" s="494">
        <f>J3*2</f>
        <v>0</v>
      </c>
      <c r="J16" s="465" t="str">
        <f t="shared" si="2"/>
        <v/>
      </c>
      <c r="K16" s="612"/>
      <c r="L16" s="1447"/>
      <c r="M16" s="563" t="str">
        <f>IF(H14=0,"  ",H3&amp;"T "&amp;H14)</f>
        <v xml:space="preserve">  </v>
      </c>
      <c r="N16" s="463">
        <f>I14</f>
        <v>0</v>
      </c>
      <c r="O16" s="561" t="str">
        <f t="shared" si="0"/>
        <v/>
      </c>
    </row>
    <row r="17" spans="1:15" ht="17.25" customHeight="1">
      <c r="A17" s="569"/>
      <c r="B17" s="889"/>
      <c r="C17" s="559"/>
      <c r="D17" s="494"/>
      <c r="E17" s="465" t="str">
        <f t="shared" si="1"/>
        <v/>
      </c>
      <c r="F17" s="612"/>
      <c r="G17" s="889"/>
      <c r="H17" s="559"/>
      <c r="I17" s="494"/>
      <c r="J17" s="465" t="str">
        <f t="shared" si="2"/>
        <v/>
      </c>
      <c r="K17" s="612"/>
      <c r="L17" s="891" t="s">
        <v>326</v>
      </c>
      <c r="M17" s="563" t="str">
        <f>IF(H15=0,"  ",H15)</f>
        <v xml:space="preserve">  </v>
      </c>
      <c r="N17" s="463">
        <f>I15</f>
        <v>0</v>
      </c>
      <c r="O17" s="561" t="str">
        <f t="shared" si="0"/>
        <v/>
      </c>
    </row>
    <row r="18" spans="1:15" ht="17.25" customHeight="1" thickBot="1">
      <c r="A18" s="874"/>
      <c r="B18" s="488" t="s">
        <v>328</v>
      </c>
      <c r="C18" s="576"/>
      <c r="D18" s="494">
        <f>E3*2</f>
        <v>0</v>
      </c>
      <c r="E18" s="465" t="str">
        <f t="shared" si="1"/>
        <v/>
      </c>
      <c r="F18" s="612"/>
      <c r="G18" s="488" t="s">
        <v>328</v>
      </c>
      <c r="H18" s="575"/>
      <c r="I18" s="494">
        <f>J3*4</f>
        <v>0</v>
      </c>
      <c r="J18" s="465" t="str">
        <f t="shared" si="2"/>
        <v/>
      </c>
      <c r="K18" s="612"/>
      <c r="L18" s="565" t="s">
        <v>327</v>
      </c>
      <c r="M18" s="566">
        <f>IF(H16=-10,"  ",H16)</f>
        <v>0</v>
      </c>
      <c r="N18" s="567">
        <f>I16</f>
        <v>0</v>
      </c>
      <c r="O18" s="1260" t="str">
        <f t="shared" si="0"/>
        <v/>
      </c>
    </row>
    <row r="19" spans="1:15" ht="17.25" customHeight="1" thickTop="1">
      <c r="A19" s="874"/>
      <c r="B19" s="490" t="s">
        <v>329</v>
      </c>
      <c r="C19" s="878"/>
      <c r="D19" s="494">
        <f>E3*2</f>
        <v>0</v>
      </c>
      <c r="E19" s="465" t="str">
        <f t="shared" si="1"/>
        <v/>
      </c>
      <c r="F19" s="612"/>
      <c r="G19" s="490" t="s">
        <v>329</v>
      </c>
      <c r="H19" s="563"/>
      <c r="I19" s="494">
        <f>J3*4</f>
        <v>0</v>
      </c>
      <c r="J19" s="465" t="str">
        <f t="shared" si="2"/>
        <v/>
      </c>
      <c r="K19" s="612"/>
      <c r="L19" s="891"/>
      <c r="M19" s="577"/>
      <c r="N19" s="578"/>
      <c r="O19" s="561" t="str">
        <f t="shared" si="0"/>
        <v/>
      </c>
    </row>
    <row r="20" spans="1:15" ht="17.25" customHeight="1">
      <c r="A20" s="874"/>
      <c r="B20" s="490" t="s">
        <v>330</v>
      </c>
      <c r="C20" s="878"/>
      <c r="D20" s="579">
        <f>IF(C4&gt;=2800,"1",)</f>
        <v>0</v>
      </c>
      <c r="E20" s="465" t="str">
        <f t="shared" si="1"/>
        <v/>
      </c>
      <c r="F20" s="612"/>
      <c r="G20" s="490" t="s">
        <v>330</v>
      </c>
      <c r="H20" s="563"/>
      <c r="I20" s="579">
        <f>IF(H4&gt;=5600,"2",)</f>
        <v>0</v>
      </c>
      <c r="J20" s="465" t="str">
        <f t="shared" si="2"/>
        <v/>
      </c>
      <c r="K20" s="612"/>
      <c r="L20" s="580" t="s">
        <v>328</v>
      </c>
      <c r="M20" s="576"/>
      <c r="N20" s="494">
        <f>D18+I18</f>
        <v>0</v>
      </c>
      <c r="O20" s="561" t="str">
        <f t="shared" si="0"/>
        <v/>
      </c>
    </row>
    <row r="21" spans="1:15" ht="17.25" customHeight="1">
      <c r="A21" s="874"/>
      <c r="B21" s="490" t="s">
        <v>331</v>
      </c>
      <c r="C21" s="878"/>
      <c r="D21" s="494">
        <f>E3*2</f>
        <v>0</v>
      </c>
      <c r="E21" s="465" t="str">
        <f t="shared" si="1"/>
        <v/>
      </c>
      <c r="F21" s="612"/>
      <c r="G21" s="490" t="s">
        <v>331</v>
      </c>
      <c r="H21" s="563"/>
      <c r="I21" s="494">
        <f>J3*2</f>
        <v>0</v>
      </c>
      <c r="J21" s="465" t="str">
        <f t="shared" si="2"/>
        <v/>
      </c>
      <c r="K21" s="612"/>
      <c r="L21" s="581" t="s">
        <v>329</v>
      </c>
      <c r="M21" s="878"/>
      <c r="N21" s="494">
        <f t="shared" ref="N21:N42" si="3">D19+I19</f>
        <v>0</v>
      </c>
      <c r="O21" s="561" t="str">
        <f t="shared" si="0"/>
        <v/>
      </c>
    </row>
    <row r="22" spans="1:15" ht="17.25" customHeight="1">
      <c r="A22" s="874"/>
      <c r="B22" s="490" t="s">
        <v>332</v>
      </c>
      <c r="C22" s="878"/>
      <c r="D22" s="582"/>
      <c r="E22" s="465" t="str">
        <f t="shared" si="1"/>
        <v/>
      </c>
      <c r="F22" s="612"/>
      <c r="G22" s="490" t="s">
        <v>332</v>
      </c>
      <c r="H22" s="563"/>
      <c r="I22" s="494">
        <f>J3*1</f>
        <v>0</v>
      </c>
      <c r="J22" s="465" t="str">
        <f t="shared" si="2"/>
        <v/>
      </c>
      <c r="K22" s="612"/>
      <c r="L22" s="581" t="s">
        <v>330</v>
      </c>
      <c r="M22" s="878"/>
      <c r="N22" s="494">
        <f t="shared" si="3"/>
        <v>0</v>
      </c>
      <c r="O22" s="561" t="str">
        <f t="shared" si="0"/>
        <v/>
      </c>
    </row>
    <row r="23" spans="1:15" ht="17.25" customHeight="1">
      <c r="A23" s="874"/>
      <c r="B23" s="490" t="s">
        <v>333</v>
      </c>
      <c r="C23" s="878"/>
      <c r="D23" s="494">
        <f>E3*2</f>
        <v>0</v>
      </c>
      <c r="E23" s="465" t="str">
        <f t="shared" si="1"/>
        <v/>
      </c>
      <c r="F23" s="612"/>
      <c r="G23" s="490" t="s">
        <v>333</v>
      </c>
      <c r="H23" s="878"/>
      <c r="I23" s="494">
        <f>J3*2</f>
        <v>0</v>
      </c>
      <c r="J23" s="465" t="str">
        <f t="shared" si="2"/>
        <v/>
      </c>
      <c r="K23" s="612"/>
      <c r="L23" s="581" t="s">
        <v>331</v>
      </c>
      <c r="M23" s="878"/>
      <c r="N23" s="494">
        <f t="shared" si="3"/>
        <v>0</v>
      </c>
      <c r="O23" s="561" t="str">
        <f t="shared" si="0"/>
        <v/>
      </c>
    </row>
    <row r="24" spans="1:15" ht="17.25" customHeight="1">
      <c r="A24" s="874"/>
      <c r="B24" s="155" t="s">
        <v>334</v>
      </c>
      <c r="C24" s="878"/>
      <c r="D24" s="463">
        <f>E3*4</f>
        <v>0</v>
      </c>
      <c r="E24" s="465" t="str">
        <f t="shared" si="1"/>
        <v/>
      </c>
      <c r="F24" s="612"/>
      <c r="G24" s="155" t="s">
        <v>334</v>
      </c>
      <c r="H24" s="878"/>
      <c r="I24" s="463">
        <f>J3*4</f>
        <v>0</v>
      </c>
      <c r="J24" s="465" t="str">
        <f t="shared" si="2"/>
        <v/>
      </c>
      <c r="K24" s="612"/>
      <c r="L24" s="581" t="s">
        <v>332</v>
      </c>
      <c r="M24" s="878"/>
      <c r="N24" s="494">
        <f t="shared" si="3"/>
        <v>0</v>
      </c>
      <c r="O24" s="561" t="str">
        <f t="shared" si="0"/>
        <v/>
      </c>
    </row>
    <row r="25" spans="1:15" ht="17.25" customHeight="1">
      <c r="A25" s="874"/>
      <c r="B25" s="155" t="s">
        <v>335</v>
      </c>
      <c r="C25" s="878"/>
      <c r="D25" s="494">
        <f>E3*2</f>
        <v>0</v>
      </c>
      <c r="E25" s="465" t="str">
        <f t="shared" si="1"/>
        <v/>
      </c>
      <c r="F25" s="612"/>
      <c r="G25" s="155" t="s">
        <v>335</v>
      </c>
      <c r="H25" s="878"/>
      <c r="I25" s="494">
        <f>J3*2</f>
        <v>0</v>
      </c>
      <c r="J25" s="465" t="str">
        <f t="shared" si="2"/>
        <v/>
      </c>
      <c r="K25" s="612"/>
      <c r="L25" s="581" t="s">
        <v>333</v>
      </c>
      <c r="M25" s="878"/>
      <c r="N25" s="494">
        <f t="shared" si="3"/>
        <v>0</v>
      </c>
      <c r="O25" s="561" t="str">
        <f t="shared" si="0"/>
        <v/>
      </c>
    </row>
    <row r="26" spans="1:15" ht="17.25" customHeight="1">
      <c r="A26" s="874"/>
      <c r="B26" s="155" t="s">
        <v>336</v>
      </c>
      <c r="C26" s="878"/>
      <c r="D26" s="494">
        <f>E3*1</f>
        <v>0</v>
      </c>
      <c r="E26" s="465" t="str">
        <f t="shared" si="1"/>
        <v/>
      </c>
      <c r="F26" s="612"/>
      <c r="G26" s="155"/>
      <c r="H26" s="878"/>
      <c r="I26" s="494"/>
      <c r="J26" s="465" t="str">
        <f t="shared" si="2"/>
        <v/>
      </c>
      <c r="K26" s="612"/>
      <c r="L26" s="583" t="s">
        <v>334</v>
      </c>
      <c r="M26" s="878"/>
      <c r="N26" s="494">
        <f t="shared" si="3"/>
        <v>0</v>
      </c>
      <c r="O26" s="561" t="str">
        <f t="shared" si="0"/>
        <v/>
      </c>
    </row>
    <row r="27" spans="1:15" ht="17.25" customHeight="1">
      <c r="A27" s="874"/>
      <c r="B27" s="155"/>
      <c r="C27" s="878"/>
      <c r="D27" s="494"/>
      <c r="E27" s="465" t="str">
        <f t="shared" si="1"/>
        <v/>
      </c>
      <c r="F27" s="612"/>
      <c r="G27" s="155" t="s">
        <v>337</v>
      </c>
      <c r="H27" s="878"/>
      <c r="I27" s="494">
        <f>J3*1</f>
        <v>0</v>
      </c>
      <c r="J27" s="465" t="str">
        <f t="shared" si="2"/>
        <v/>
      </c>
      <c r="K27" s="612"/>
      <c r="L27" s="583" t="s">
        <v>335</v>
      </c>
      <c r="M27" s="878"/>
      <c r="N27" s="494">
        <f t="shared" si="3"/>
        <v>0</v>
      </c>
      <c r="O27" s="561" t="str">
        <f t="shared" si="0"/>
        <v/>
      </c>
    </row>
    <row r="28" spans="1:15" ht="17.25" customHeight="1">
      <c r="A28" s="874"/>
      <c r="B28" s="155" t="s">
        <v>338</v>
      </c>
      <c r="C28" s="878"/>
      <c r="D28" s="494">
        <f>E3*1</f>
        <v>0</v>
      </c>
      <c r="E28" s="465" t="str">
        <f t="shared" si="1"/>
        <v/>
      </c>
      <c r="F28" s="612"/>
      <c r="G28" s="155" t="s">
        <v>338</v>
      </c>
      <c r="H28" s="878"/>
      <c r="I28" s="494">
        <f>J3*1</f>
        <v>0</v>
      </c>
      <c r="J28" s="465" t="str">
        <f t="shared" si="2"/>
        <v/>
      </c>
      <c r="K28" s="612"/>
      <c r="L28" s="583" t="s">
        <v>336</v>
      </c>
      <c r="M28" s="878"/>
      <c r="N28" s="494">
        <f t="shared" si="3"/>
        <v>0</v>
      </c>
      <c r="O28" s="561" t="str">
        <f t="shared" si="0"/>
        <v/>
      </c>
    </row>
    <row r="29" spans="1:15" ht="17.25" customHeight="1">
      <c r="A29" s="584"/>
      <c r="B29" s="155" t="s">
        <v>339</v>
      </c>
      <c r="C29" s="878"/>
      <c r="D29" s="494">
        <f>E3*2</f>
        <v>0</v>
      </c>
      <c r="E29" s="465" t="str">
        <f t="shared" si="1"/>
        <v/>
      </c>
      <c r="F29" s="612"/>
      <c r="G29" s="155" t="s">
        <v>339</v>
      </c>
      <c r="H29" s="878"/>
      <c r="I29" s="494">
        <f>J3*4</f>
        <v>0</v>
      </c>
      <c r="J29" s="465" t="str">
        <f t="shared" si="2"/>
        <v/>
      </c>
      <c r="K29" s="612"/>
      <c r="L29" s="583" t="s">
        <v>337</v>
      </c>
      <c r="M29" s="878"/>
      <c r="N29" s="494">
        <f t="shared" si="3"/>
        <v>0</v>
      </c>
      <c r="O29" s="561" t="str">
        <f t="shared" si="0"/>
        <v/>
      </c>
    </row>
    <row r="30" spans="1:15" ht="17.25" customHeight="1">
      <c r="A30" s="874"/>
      <c r="B30" s="155" t="s">
        <v>340</v>
      </c>
      <c r="C30" s="878"/>
      <c r="D30" s="494">
        <f>ROUNDUP((C4+C5)*2/1000*E3*1.05,0)</f>
        <v>0</v>
      </c>
      <c r="E30" s="465" t="str">
        <f>IF(D30&gt;0,"M","")</f>
        <v/>
      </c>
      <c r="F30" s="612"/>
      <c r="G30" s="155" t="s">
        <v>340</v>
      </c>
      <c r="H30" s="878"/>
      <c r="I30" s="494">
        <f>ROUNDUP(((H4/2)+H5)*4/1000*1.05,0)</f>
        <v>0</v>
      </c>
      <c r="J30" s="465" t="str">
        <f>IF(I30&gt;0,"M","")</f>
        <v/>
      </c>
      <c r="K30" s="612"/>
      <c r="L30" s="583" t="s">
        <v>338</v>
      </c>
      <c r="M30" s="878"/>
      <c r="N30" s="494">
        <f t="shared" si="3"/>
        <v>0</v>
      </c>
      <c r="O30" s="561" t="str">
        <f t="shared" si="0"/>
        <v/>
      </c>
    </row>
    <row r="31" spans="1:15" ht="17.25" customHeight="1">
      <c r="A31"/>
      <c r="B31" s="155"/>
      <c r="C31" s="878"/>
      <c r="D31" s="494"/>
      <c r="E31" s="465" t="str">
        <f t="shared" si="1"/>
        <v/>
      </c>
      <c r="F31" s="612"/>
      <c r="G31" s="155"/>
      <c r="H31" s="878"/>
      <c r="I31" s="494"/>
      <c r="J31" s="465" t="str">
        <f t="shared" si="2"/>
        <v/>
      </c>
      <c r="K31" s="612"/>
      <c r="L31" s="583" t="s">
        <v>339</v>
      </c>
      <c r="M31" s="878"/>
      <c r="N31" s="494">
        <f t="shared" si="3"/>
        <v>0</v>
      </c>
      <c r="O31" s="561" t="str">
        <f t="shared" si="0"/>
        <v/>
      </c>
    </row>
    <row r="32" spans="1:15" ht="17.25" customHeight="1">
      <c r="A32"/>
      <c r="B32" s="155" t="s">
        <v>341</v>
      </c>
      <c r="C32" s="878" t="str">
        <f>IF(C3=50,"80mm",IF(C3=75,"105mm",IF(C3=100,"130mm"," ")))</f>
        <v xml:space="preserve"> </v>
      </c>
      <c r="D32" s="494">
        <f>ROUNDUP(C9/800,0)*E3</f>
        <v>0</v>
      </c>
      <c r="E32" s="465" t="str">
        <f t="shared" si="1"/>
        <v/>
      </c>
      <c r="F32" s="612"/>
      <c r="G32" s="155" t="s">
        <v>341</v>
      </c>
      <c r="H32" s="878" t="str">
        <f>C32</f>
        <v xml:space="preserve"> </v>
      </c>
      <c r="I32" s="494">
        <f>ROUNDUP(H9/800,0)*J3</f>
        <v>0</v>
      </c>
      <c r="J32" s="465" t="str">
        <f t="shared" si="2"/>
        <v/>
      </c>
      <c r="K32" s="612"/>
      <c r="L32" s="583" t="s">
        <v>340</v>
      </c>
      <c r="M32" s="878"/>
      <c r="N32" s="494">
        <f t="shared" si="3"/>
        <v>0</v>
      </c>
      <c r="O32" s="561" t="str">
        <f>IF(N32&gt;0,"M","")</f>
        <v/>
      </c>
    </row>
    <row r="33" spans="1:15" ht="17.25" customHeight="1">
      <c r="A33" s="882"/>
      <c r="B33" s="155" t="s">
        <v>342</v>
      </c>
      <c r="C33" s="878"/>
      <c r="D33" s="475">
        <f>D32*2</f>
        <v>0</v>
      </c>
      <c r="E33" s="465" t="str">
        <f t="shared" si="1"/>
        <v/>
      </c>
      <c r="F33" s="612"/>
      <c r="G33" s="155" t="s">
        <v>342</v>
      </c>
      <c r="H33" s="878"/>
      <c r="I33" s="475">
        <f>I32*2</f>
        <v>0</v>
      </c>
      <c r="J33" s="465" t="str">
        <f t="shared" si="2"/>
        <v/>
      </c>
      <c r="K33" s="612"/>
      <c r="L33" s="583"/>
      <c r="M33" s="878"/>
      <c r="N33" s="494">
        <f t="shared" si="3"/>
        <v>0</v>
      </c>
      <c r="O33" s="561" t="str">
        <f t="shared" si="0"/>
        <v/>
      </c>
    </row>
    <row r="34" spans="1:15" ht="17.25" customHeight="1">
      <c r="A34" s="882"/>
      <c r="B34" s="155" t="s">
        <v>343</v>
      </c>
      <c r="C34" s="878" t="s">
        <v>344</v>
      </c>
      <c r="D34" s="475">
        <f>D33</f>
        <v>0</v>
      </c>
      <c r="E34" s="465" t="str">
        <f t="shared" si="1"/>
        <v/>
      </c>
      <c r="F34" s="612"/>
      <c r="G34" s="155" t="s">
        <v>343</v>
      </c>
      <c r="H34" s="878" t="str">
        <f t="shared" ref="H34:H40" si="4">C34</f>
        <v>10×20</v>
      </c>
      <c r="I34" s="475">
        <f>I33</f>
        <v>0</v>
      </c>
      <c r="J34" s="465" t="str">
        <f t="shared" si="2"/>
        <v/>
      </c>
      <c r="K34" s="612"/>
      <c r="L34" s="583" t="s">
        <v>341</v>
      </c>
      <c r="M34" s="878" t="str">
        <f t="shared" ref="M34:M42" si="5">C32</f>
        <v xml:space="preserve"> </v>
      </c>
      <c r="N34" s="494">
        <f t="shared" si="3"/>
        <v>0</v>
      </c>
      <c r="O34" s="561" t="str">
        <f t="shared" si="0"/>
        <v/>
      </c>
    </row>
    <row r="35" spans="1:15" ht="17.25" customHeight="1">
      <c r="A35" s="882"/>
      <c r="B35" s="155" t="s">
        <v>345</v>
      </c>
      <c r="C35" s="878" t="s">
        <v>346</v>
      </c>
      <c r="D35" s="475">
        <f>ROUNDUP((C4+C5)*2/1000*8*1.1,-1)</f>
        <v>0</v>
      </c>
      <c r="E35" s="465" t="str">
        <f t="shared" si="1"/>
        <v/>
      </c>
      <c r="F35" s="612"/>
      <c r="G35" s="155" t="s">
        <v>345</v>
      </c>
      <c r="H35" s="878" t="str">
        <f t="shared" si="4"/>
        <v>4.8-11</v>
      </c>
      <c r="I35" s="475">
        <f>ROUNDUP((H4/2+H5)*4/1000*8*1.1,-1)</f>
        <v>0</v>
      </c>
      <c r="J35" s="465" t="str">
        <f t="shared" si="2"/>
        <v/>
      </c>
      <c r="K35" s="612"/>
      <c r="L35" s="583" t="s">
        <v>342</v>
      </c>
      <c r="M35" s="878"/>
      <c r="N35" s="494">
        <f t="shared" si="3"/>
        <v>0</v>
      </c>
      <c r="O35" s="561" t="str">
        <f t="shared" si="0"/>
        <v/>
      </c>
    </row>
    <row r="36" spans="1:15" ht="17.25" customHeight="1">
      <c r="A36" s="585"/>
      <c r="B36" s="155" t="s">
        <v>347</v>
      </c>
      <c r="C36" s="878" t="s">
        <v>348</v>
      </c>
      <c r="D36" s="475">
        <f>ROUNDUP(C4/1000*8*1.1,-1)</f>
        <v>0</v>
      </c>
      <c r="E36" s="465" t="str">
        <f t="shared" si="1"/>
        <v/>
      </c>
      <c r="F36" s="612"/>
      <c r="G36" s="155" t="s">
        <v>347</v>
      </c>
      <c r="H36" s="878" t="str">
        <f t="shared" si="4"/>
        <v>4.8-16</v>
      </c>
      <c r="I36" s="475">
        <f>ROUNDUP(H4/1000*8*1.1,-1)</f>
        <v>0</v>
      </c>
      <c r="J36" s="465" t="str">
        <f t="shared" si="2"/>
        <v/>
      </c>
      <c r="K36" s="612"/>
      <c r="L36" s="583" t="s">
        <v>343</v>
      </c>
      <c r="M36" s="878" t="str">
        <f t="shared" si="5"/>
        <v>10×20</v>
      </c>
      <c r="N36" s="494">
        <f t="shared" si="3"/>
        <v>0</v>
      </c>
      <c r="O36" s="561" t="str">
        <f t="shared" si="0"/>
        <v/>
      </c>
    </row>
    <row r="37" spans="1:15" ht="17.25" customHeight="1">
      <c r="A37" s="882"/>
      <c r="B37" s="155" t="s">
        <v>349</v>
      </c>
      <c r="C37" s="878" t="s">
        <v>350</v>
      </c>
      <c r="D37" s="475">
        <f>E3*8</f>
        <v>0</v>
      </c>
      <c r="E37" s="465" t="str">
        <f t="shared" si="1"/>
        <v/>
      </c>
      <c r="F37" s="612"/>
      <c r="G37" s="155" t="s">
        <v>349</v>
      </c>
      <c r="H37" s="878" t="str">
        <f t="shared" si="4"/>
        <v>3/8 75mm</v>
      </c>
      <c r="I37" s="475">
        <f>J3*10</f>
        <v>0</v>
      </c>
      <c r="J37" s="465" t="str">
        <f t="shared" si="2"/>
        <v/>
      </c>
      <c r="K37" s="612"/>
      <c r="L37" s="586" t="s">
        <v>345</v>
      </c>
      <c r="M37" s="878" t="str">
        <f t="shared" si="5"/>
        <v>4.8-11</v>
      </c>
      <c r="N37" s="587">
        <f t="shared" si="3"/>
        <v>0</v>
      </c>
      <c r="O37" s="561" t="str">
        <f t="shared" si="0"/>
        <v/>
      </c>
    </row>
    <row r="38" spans="1:15" ht="17.25" customHeight="1">
      <c r="B38" s="155" t="s">
        <v>351</v>
      </c>
      <c r="C38" s="878"/>
      <c r="D38" s="475">
        <f>E3*2</f>
        <v>0</v>
      </c>
      <c r="E38" s="465" t="str">
        <f t="shared" si="1"/>
        <v/>
      </c>
      <c r="F38" s="612"/>
      <c r="G38" s="155" t="s">
        <v>351</v>
      </c>
      <c r="H38" s="878"/>
      <c r="I38" s="475">
        <f>J3*4</f>
        <v>0</v>
      </c>
      <c r="J38" s="465" t="str">
        <f t="shared" si="2"/>
        <v/>
      </c>
      <c r="K38" s="612"/>
      <c r="L38" s="586" t="s">
        <v>347</v>
      </c>
      <c r="M38" s="878" t="str">
        <f t="shared" si="5"/>
        <v>4.8-16</v>
      </c>
      <c r="N38" s="587">
        <f t="shared" si="3"/>
        <v>0</v>
      </c>
      <c r="O38" s="561" t="str">
        <f t="shared" si="0"/>
        <v/>
      </c>
    </row>
    <row r="39" spans="1:15" ht="17.25" customHeight="1">
      <c r="B39" s="155" t="s">
        <v>352</v>
      </c>
      <c r="C39" s="878"/>
      <c r="D39" s="475">
        <f>E3*4</f>
        <v>0</v>
      </c>
      <c r="E39" s="465" t="str">
        <f t="shared" si="1"/>
        <v/>
      </c>
      <c r="F39" s="612"/>
      <c r="G39" s="155" t="s">
        <v>352</v>
      </c>
      <c r="H39" s="878"/>
      <c r="I39" s="475">
        <f>J3*8</f>
        <v>0</v>
      </c>
      <c r="J39" s="465" t="str">
        <f t="shared" si="2"/>
        <v/>
      </c>
      <c r="K39" s="612"/>
      <c r="L39" s="583" t="s">
        <v>349</v>
      </c>
      <c r="M39" s="878" t="str">
        <f t="shared" si="5"/>
        <v>3/8 75mm</v>
      </c>
      <c r="N39" s="494">
        <f t="shared" si="3"/>
        <v>0</v>
      </c>
      <c r="O39" s="561" t="str">
        <f t="shared" si="0"/>
        <v/>
      </c>
    </row>
    <row r="40" spans="1:15" ht="17.25" customHeight="1">
      <c r="B40" s="155" t="s">
        <v>353</v>
      </c>
      <c r="C40" s="878" t="s">
        <v>354</v>
      </c>
      <c r="D40" s="475">
        <f>24*E3</f>
        <v>0</v>
      </c>
      <c r="E40" s="465" t="str">
        <f t="shared" si="1"/>
        <v/>
      </c>
      <c r="F40" s="612"/>
      <c r="G40" s="155" t="s">
        <v>353</v>
      </c>
      <c r="H40" s="878" t="str">
        <f t="shared" si="4"/>
        <v>14-38mm</v>
      </c>
      <c r="I40" s="475">
        <f>J3*36+IF(H4&gt;=5600,8)</f>
        <v>0</v>
      </c>
      <c r="J40" s="465" t="str">
        <f t="shared" si="2"/>
        <v/>
      </c>
      <c r="K40" s="612"/>
      <c r="L40" s="583" t="s">
        <v>351</v>
      </c>
      <c r="M40" s="878"/>
      <c r="N40" s="494">
        <f t="shared" si="3"/>
        <v>0</v>
      </c>
      <c r="O40" s="561" t="str">
        <f t="shared" si="0"/>
        <v/>
      </c>
    </row>
    <row r="41" spans="1:15" ht="17.25" customHeight="1">
      <c r="B41" s="155"/>
      <c r="C41" s="878"/>
      <c r="D41" s="475"/>
      <c r="E41" s="465" t="str">
        <f t="shared" si="1"/>
        <v/>
      </c>
      <c r="F41" s="612"/>
      <c r="G41" s="1435" t="s">
        <v>162</v>
      </c>
      <c r="H41" s="1436"/>
      <c r="I41" s="1436"/>
      <c r="J41" s="1437"/>
      <c r="K41" s="612"/>
      <c r="L41" s="583" t="s">
        <v>352</v>
      </c>
      <c r="M41" s="878"/>
      <c r="N41" s="494">
        <f t="shared" si="3"/>
        <v>0</v>
      </c>
      <c r="O41" s="561" t="str">
        <f t="shared" si="0"/>
        <v/>
      </c>
    </row>
    <row r="42" spans="1:15" ht="17.25" customHeight="1">
      <c r="B42" s="155"/>
      <c r="C42" s="878"/>
      <c r="D42" s="475"/>
      <c r="E42" s="465" t="str">
        <f t="shared" si="1"/>
        <v/>
      </c>
      <c r="F42" s="612"/>
      <c r="G42" s="1438" t="s">
        <v>165</v>
      </c>
      <c r="H42" s="1439"/>
      <c r="I42" s="1439"/>
      <c r="J42" s="1440"/>
      <c r="K42" s="612"/>
      <c r="L42" s="583" t="s">
        <v>353</v>
      </c>
      <c r="M42" s="878" t="str">
        <f t="shared" si="5"/>
        <v>14-38mm</v>
      </c>
      <c r="N42" s="494">
        <f t="shared" si="3"/>
        <v>0</v>
      </c>
      <c r="O42" s="561" t="str">
        <f t="shared" si="0"/>
        <v/>
      </c>
    </row>
    <row r="43" spans="1:15" ht="17.25" customHeight="1" thickBot="1">
      <c r="B43" s="588"/>
      <c r="C43" s="589"/>
      <c r="D43" s="590"/>
      <c r="E43" s="591"/>
      <c r="F43" s="612"/>
      <c r="G43" s="1441" t="s">
        <v>355</v>
      </c>
      <c r="H43" s="1442"/>
      <c r="I43" s="1442"/>
      <c r="J43" s="1443"/>
      <c r="K43" s="612"/>
      <c r="L43" s="592"/>
      <c r="M43" s="593"/>
      <c r="N43" s="594"/>
      <c r="O43" s="568"/>
    </row>
    <row r="44" spans="1:15" ht="17.25" customHeight="1" thickTop="1">
      <c r="B44" s="595"/>
      <c r="C44" s="595"/>
      <c r="D44" s="595"/>
      <c r="E44" s="595"/>
      <c r="F44" s="595"/>
      <c r="G44" s="595"/>
      <c r="H44" s="595"/>
      <c r="I44" s="595"/>
      <c r="J44" s="595"/>
    </row>
    <row r="45" spans="1:15" ht="17.25" customHeight="1">
      <c r="B45" s="596" t="s">
        <v>356</v>
      </c>
      <c r="C45" s="597" t="s">
        <v>357</v>
      </c>
      <c r="D45" s="597">
        <v>12</v>
      </c>
      <c r="E45" s="597"/>
      <c r="F45" s="597"/>
      <c r="G45" s="597" t="s">
        <v>356</v>
      </c>
      <c r="H45" s="597" t="s">
        <v>358</v>
      </c>
      <c r="I45" s="598">
        <v>24</v>
      </c>
      <c r="J45" s="595"/>
      <c r="L45" s="873"/>
    </row>
    <row r="46" spans="1:15" ht="17.25" customHeight="1">
      <c r="B46" s="599"/>
      <c r="C46" s="600" t="s">
        <v>359</v>
      </c>
      <c r="D46" s="600">
        <v>4</v>
      </c>
      <c r="E46" s="600"/>
      <c r="F46" s="600"/>
      <c r="G46" s="600"/>
      <c r="H46" s="600" t="s">
        <v>359</v>
      </c>
      <c r="I46" s="601">
        <v>4</v>
      </c>
      <c r="J46" s="602"/>
      <c r="K46" s="602"/>
      <c r="L46" s="602"/>
      <c r="M46" s="602"/>
      <c r="N46" s="602"/>
    </row>
    <row r="47" spans="1:15" ht="17.25" customHeight="1">
      <c r="B47" s="599" t="s">
        <v>360</v>
      </c>
      <c r="C47" s="600">
        <v>4</v>
      </c>
      <c r="D47" s="600">
        <v>4</v>
      </c>
      <c r="E47" s="600"/>
      <c r="F47" s="600"/>
      <c r="G47" s="600"/>
      <c r="H47" s="600" t="s">
        <v>361</v>
      </c>
      <c r="I47" s="601">
        <v>4</v>
      </c>
      <c r="J47" s="602"/>
      <c r="K47" s="602"/>
      <c r="L47" s="602"/>
      <c r="M47" s="602"/>
      <c r="N47" s="602"/>
    </row>
    <row r="48" spans="1:15" ht="17.25" customHeight="1">
      <c r="B48" s="599" t="s">
        <v>362</v>
      </c>
      <c r="C48" s="600" t="s">
        <v>363</v>
      </c>
      <c r="D48" s="600">
        <v>4</v>
      </c>
      <c r="E48" s="600"/>
      <c r="F48" s="600"/>
      <c r="G48" s="600" t="s">
        <v>360</v>
      </c>
      <c r="H48" s="600">
        <v>4</v>
      </c>
      <c r="I48" s="601">
        <v>4</v>
      </c>
      <c r="J48" s="602"/>
      <c r="K48" s="602"/>
      <c r="L48" s="602"/>
      <c r="M48" s="602"/>
      <c r="N48" s="602"/>
    </row>
    <row r="49" spans="2:14" ht="17.25" customHeight="1">
      <c r="B49" s="599"/>
      <c r="C49" s="600"/>
      <c r="D49" s="600"/>
      <c r="E49" s="600"/>
      <c r="F49" s="600"/>
      <c r="G49" s="600" t="s">
        <v>364</v>
      </c>
      <c r="H49" s="600" t="s">
        <v>365</v>
      </c>
      <c r="I49" s="601">
        <v>8</v>
      </c>
      <c r="J49" s="602"/>
      <c r="K49" s="602"/>
      <c r="L49" s="602"/>
      <c r="M49" s="602"/>
      <c r="N49" s="602"/>
    </row>
    <row r="50" spans="2:14" ht="17.25" customHeight="1">
      <c r="B50" s="599" t="s">
        <v>134</v>
      </c>
      <c r="C50" s="600"/>
      <c r="D50" s="600">
        <f>SUM(D45:D48)</f>
        <v>24</v>
      </c>
      <c r="E50" s="600"/>
      <c r="F50" s="600"/>
      <c r="G50" s="600" t="s">
        <v>134</v>
      </c>
      <c r="H50" s="600"/>
      <c r="I50" s="601">
        <f>SUM(I45:I49)</f>
        <v>44</v>
      </c>
      <c r="J50" s="602"/>
      <c r="K50" s="602"/>
      <c r="L50" s="602"/>
      <c r="M50" s="602"/>
      <c r="N50" s="602"/>
    </row>
    <row r="51" spans="2:14" ht="17.25" customHeight="1">
      <c r="B51" s="603"/>
      <c r="C51" s="604"/>
      <c r="D51" s="604"/>
      <c r="E51" s="604"/>
      <c r="F51" s="604"/>
      <c r="G51" s="604"/>
      <c r="H51" s="604"/>
      <c r="I51" s="605"/>
      <c r="J51" s="602"/>
      <c r="K51" s="602"/>
      <c r="L51" s="602"/>
      <c r="M51" s="602"/>
      <c r="N51" s="602"/>
    </row>
    <row r="52" spans="2:14" ht="17.25" customHeight="1">
      <c r="B52" s="606" t="s">
        <v>366</v>
      </c>
      <c r="C52" s="607"/>
      <c r="D52" s="607"/>
      <c r="E52" s="607"/>
      <c r="F52" s="607"/>
      <c r="G52" s="608"/>
      <c r="H52" s="607"/>
      <c r="I52" s="609"/>
      <c r="J52" s="602"/>
      <c r="K52" s="602"/>
      <c r="L52" s="602"/>
      <c r="M52" s="602"/>
      <c r="N52" s="602"/>
    </row>
    <row r="53" spans="2:14" ht="17.25" customHeight="1">
      <c r="B53" s="602"/>
      <c r="C53" s="602"/>
      <c r="D53" s="602"/>
      <c r="E53" s="602"/>
      <c r="F53" s="602"/>
      <c r="G53" s="602"/>
      <c r="H53" s="602"/>
      <c r="I53" s="602"/>
      <c r="J53" s="602"/>
      <c r="K53" s="602"/>
      <c r="L53" s="602"/>
      <c r="M53" s="602"/>
      <c r="N53" s="602"/>
    </row>
    <row r="54" spans="2:14" ht="17.25" customHeight="1">
      <c r="B54" s="602"/>
      <c r="C54" s="602"/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</row>
    <row r="55" spans="2:14" ht="17.25" customHeight="1"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</row>
    <row r="56" spans="2:14" ht="17.25" customHeight="1">
      <c r="B56" s="602"/>
      <c r="C56" s="602"/>
      <c r="D56" s="602"/>
      <c r="E56" s="602"/>
      <c r="F56" s="602"/>
      <c r="G56" s="602"/>
      <c r="H56" s="602"/>
      <c r="I56" s="602"/>
      <c r="J56" s="602"/>
      <c r="K56" s="602"/>
      <c r="L56" s="602"/>
      <c r="M56" s="602"/>
      <c r="N56" s="602"/>
    </row>
    <row r="57" spans="2:14" ht="17.25" customHeight="1">
      <c r="B57" s="602"/>
      <c r="C57" s="602"/>
      <c r="D57" s="602"/>
      <c r="E57" s="602"/>
      <c r="F57" s="602"/>
      <c r="G57" s="602"/>
      <c r="H57" s="602"/>
      <c r="I57" s="602"/>
      <c r="J57" s="602"/>
      <c r="K57" s="602"/>
      <c r="L57" s="602"/>
      <c r="M57" s="602"/>
      <c r="N57" s="602"/>
    </row>
    <row r="58" spans="2:14" ht="17.25" customHeight="1"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</row>
    <row r="59" spans="2:14" ht="17.25" customHeight="1"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</row>
    <row r="60" spans="2:14" ht="17.25" customHeight="1">
      <c r="B60" s="602"/>
      <c r="C60" s="602"/>
      <c r="D60" s="602"/>
      <c r="E60" s="602"/>
      <c r="F60" s="602"/>
      <c r="G60" s="602"/>
      <c r="H60" s="602"/>
      <c r="I60" s="602"/>
      <c r="J60" s="602"/>
      <c r="K60" s="602"/>
      <c r="L60" s="602"/>
      <c r="M60" s="602"/>
      <c r="N60" s="602"/>
    </row>
    <row r="61" spans="2:14" ht="17.25" customHeight="1"/>
    <row r="62" spans="2:14" ht="17.25" customHeight="1"/>
    <row r="63" spans="2:14" ht="17.25" customHeight="1"/>
    <row r="64" spans="2:14" ht="17.25" customHeight="1"/>
    <row r="65" ht="17.25" customHeight="1"/>
    <row r="66" ht="17.25" customHeight="1"/>
  </sheetData>
  <sheetProtection algorithmName="SHA-512" hashValue="FxnUvMSTkw1m0EqPz1CsTbavc2I75CpAaueGeOZtwqbQvLmy72pAqq0mDHYTDdGE69RisK+dmWOBB1nLbdaHWA==" saltValue="qbORUminPmouxOxaa8AIAg==" spinCount="100000" sheet="1" objects="1" scenarios="1"/>
  <mergeCells count="21">
    <mergeCell ref="B1:E1"/>
    <mergeCell ref="G1:H1"/>
    <mergeCell ref="L1:O1"/>
    <mergeCell ref="C2:D2"/>
    <mergeCell ref="H2:I2"/>
    <mergeCell ref="L2:O2"/>
    <mergeCell ref="L13:L14"/>
    <mergeCell ref="L15:L16"/>
    <mergeCell ref="N3:O3"/>
    <mergeCell ref="B6:E7"/>
    <mergeCell ref="G6:J7"/>
    <mergeCell ref="L6:L7"/>
    <mergeCell ref="D8:E8"/>
    <mergeCell ref="I8:J8"/>
    <mergeCell ref="G41:J41"/>
    <mergeCell ref="G42:J42"/>
    <mergeCell ref="G43:J43"/>
    <mergeCell ref="B10:B11"/>
    <mergeCell ref="G10:G11"/>
    <mergeCell ref="B13:B14"/>
    <mergeCell ref="G13:G14"/>
  </mergeCells>
  <phoneticPr fontId="5" type="noConversion"/>
  <hyperlinks>
    <hyperlink ref="I1" r:id="rId1"/>
    <hyperlink ref="J1" r:id="rId2"/>
    <hyperlink ref="G6:J7" r:id="rId3" display="주소 : 부산시 부산 동래구 반송로 213  "/>
  </hyperlinks>
  <pageMargins left="0.7" right="0.7" top="0.75" bottom="0.75" header="0.3" footer="0.3"/>
  <pageSetup paperSize="9" orientation="portrait" r:id="rId4"/>
  <ignoredErrors>
    <ignoredError sqref="E30 J30 O32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16</vt:i4>
      </vt:variant>
    </vt:vector>
  </HeadingPairs>
  <TitlesOfParts>
    <vt:vector size="33" baseType="lpstr">
      <vt:lpstr>사용 설명서</vt:lpstr>
      <vt:lpstr>물량산출</vt:lpstr>
      <vt:lpstr>크립바</vt:lpstr>
      <vt:lpstr>엠바</vt:lpstr>
      <vt:lpstr>티바</vt:lpstr>
      <vt:lpstr>스판드럴</vt:lpstr>
      <vt:lpstr>천정석고</vt:lpstr>
      <vt:lpstr> 큐비클</vt:lpstr>
      <vt:lpstr>행거도어</vt:lpstr>
      <vt:lpstr>스터드</vt:lpstr>
      <vt:lpstr>SGP V1.0</vt:lpstr>
      <vt:lpstr>내진 시스템</vt:lpstr>
      <vt:lpstr>예금 적금 이자</vt:lpstr>
      <vt:lpstr>대출 계산기</vt:lpstr>
      <vt:lpstr>경조사</vt:lpstr>
      <vt:lpstr>전화번호부</vt:lpstr>
      <vt:lpstr>참고</vt:lpstr>
      <vt:lpstr>가로</vt:lpstr>
      <vt:lpstr>가로폭</vt:lpstr>
      <vt:lpstr>로스</vt:lpstr>
      <vt:lpstr>세로</vt:lpstr>
      <vt:lpstr>세로폭</vt:lpstr>
      <vt:lpstr>크NO</vt:lpstr>
      <vt:lpstr>크가로</vt:lpstr>
      <vt:lpstr>크가로폭</vt:lpstr>
      <vt:lpstr>크립바모양코드</vt:lpstr>
      <vt:lpstr>크립바색상코드</vt:lpstr>
      <vt:lpstr>크모양</vt:lpstr>
      <vt:lpstr>크색상</vt:lpstr>
      <vt:lpstr>크세로</vt:lpstr>
      <vt:lpstr>크세로폭</vt:lpstr>
      <vt:lpstr>크품목코드</vt:lpstr>
      <vt:lpstr>품목코드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2026-03-04T01:09:02Z</dcterms:created>
  <dcterms:modified xsi:type="dcterms:W3CDTF">2026-05-04T01:17:27Z</dcterms:modified>
  <cp:category/>
  <cp:contentStatus/>
</cp:coreProperties>
</file>