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8550" activeTab="0"/>
  </bookViews>
  <sheets>
    <sheet name="구조계산서" sheetId="1" r:id="rId1"/>
    <sheet name="강제제원표" sheetId="2" r:id="rId2"/>
  </sheets>
  <definedNames>
    <definedName name="_xlnm.Print_Area" localSheetId="1">'강제제원표'!$A$1:$M$85</definedName>
    <definedName name="_xlnm.Print_Area" localSheetId="0">'구조계산서'!$A$1:$T$659</definedName>
    <definedName name="_xlnm.Print_Titles" localSheetId="1">'강제제원표'!$1:$6</definedName>
  </definedNames>
  <calcPr fullCalcOnLoad="1"/>
</workbook>
</file>

<file path=xl/sharedStrings.xml><?xml version="1.0" encoding="utf-8"?>
<sst xmlns="http://schemas.openxmlformats.org/spreadsheetml/2006/main" count="921" uniqueCount="589">
  <si>
    <t>* 복공구조계산</t>
  </si>
  <si>
    <t>복공평면도</t>
  </si>
  <si>
    <t>복공단면도</t>
  </si>
  <si>
    <t>1) 하중 조건</t>
  </si>
  <si>
    <t>가로(B) :</t>
  </si>
  <si>
    <t>m</t>
  </si>
  <si>
    <t>세로(L) :</t>
  </si>
  <si>
    <t>&lt;하중제원 모식도&gt;</t>
  </si>
  <si>
    <t>* 아웃트리거 규격</t>
  </si>
  <si>
    <t>* 복공 규격</t>
  </si>
  <si>
    <t>본 현장의 하중조건은 아웃트리거가 복공중앙부에 위치할때 모멘트가 가장 크므로 중앙부에서 검토함.</t>
  </si>
  <si>
    <t xml:space="preserve">   가) 본 현장 복공상부에서 작업하는 작업기계의 종류 : 트럭크레인 (</t>
  </si>
  <si>
    <t xml:space="preserve"> ton)</t>
  </si>
  <si>
    <t>ton</t>
  </si>
  <si>
    <t>x</t>
  </si>
  <si>
    <t>)  =</t>
  </si>
  <si>
    <t>사용강재 제원 :</t>
  </si>
  <si>
    <t xml:space="preserve">  - 복공 평면도 및 단면도</t>
  </si>
  <si>
    <t>트럭크레인 중량 :</t>
  </si>
  <si>
    <t>총중량 :</t>
  </si>
  <si>
    <t>단면적(A) 
㎠</t>
  </si>
  <si>
    <t>단위중량(W)
kg/m</t>
  </si>
  <si>
    <t>유효단면적(Aw)
㎠</t>
  </si>
  <si>
    <r>
      <t>단면2차모멘트(I)
cm</t>
    </r>
    <r>
      <rPr>
        <vertAlign val="superscript"/>
        <sz val="9"/>
        <rFont val="돋움"/>
        <family val="3"/>
      </rPr>
      <t>4</t>
    </r>
  </si>
  <si>
    <t>단면계수(z)
㎤</t>
  </si>
  <si>
    <t>계산지간(L)
㎝</t>
  </si>
  <si>
    <t>회전반경(r)
㎝</t>
  </si>
  <si>
    <t>가) 적용하중</t>
  </si>
  <si>
    <t>w =</t>
  </si>
  <si>
    <t>kg/㎠</t>
  </si>
  <si>
    <t>x</t>
  </si>
  <si>
    <t>m +</t>
  </si>
  <si>
    <t>kg/m</t>
  </si>
  <si>
    <t>=</t>
  </si>
  <si>
    <t xml:space="preserve">   (2) 활하중(적재하중 + 충격하중)</t>
  </si>
  <si>
    <t>최대활하중(P) =  (</t>
  </si>
  <si>
    <t>P  =</t>
  </si>
  <si>
    <t>인양 중량 :</t>
  </si>
  <si>
    <t xml:space="preserve">하중은 트럭크레인의 최대하중 인양시에 대해 적용함. </t>
  </si>
  <si>
    <t>나) 휨모멘트에 대한 검토</t>
  </si>
  <si>
    <t>kg/㎝</t>
  </si>
  <si>
    <r>
      <t>Mmax = WL</t>
    </r>
    <r>
      <rPr>
        <vertAlign val="superscript"/>
        <sz val="9"/>
        <rFont val="돋움"/>
        <family val="3"/>
      </rPr>
      <t>2</t>
    </r>
    <r>
      <rPr>
        <sz val="9"/>
        <rFont val="돋움"/>
        <family val="3"/>
      </rPr>
      <t>/8  +  PL/4</t>
    </r>
  </si>
  <si>
    <t>/</t>
  </si>
  <si>
    <t>+</t>
  </si>
  <si>
    <r>
      <t>2</t>
    </r>
    <r>
      <rPr>
        <sz val="9"/>
        <rFont val="돋움"/>
        <family val="3"/>
      </rPr>
      <t xml:space="preserve">  /</t>
    </r>
  </si>
  <si>
    <t>kg·㎝</t>
  </si>
  <si>
    <t>σb =  Mmax / Z</t>
  </si>
  <si>
    <t>kg</t>
  </si>
  <si>
    <t xml:space="preserve">σba=  </t>
  </si>
  <si>
    <t>-</t>
  </si>
  <si>
    <t>1.5 x { 1,400 - 24(</t>
  </si>
  <si>
    <t>4.5 )}</t>
  </si>
  <si>
    <t xml:space="preserve">∴ </t>
  </si>
  <si>
    <t>σb</t>
  </si>
  <si>
    <t>σba</t>
  </si>
  <si>
    <t>----------------------------------</t>
  </si>
  <si>
    <t>다) 전단에 대한 검토</t>
  </si>
  <si>
    <t>Qmax = WL/2 + P =</t>
  </si>
  <si>
    <t>τb  =</t>
  </si>
  <si>
    <t>Qmax / As =</t>
  </si>
  <si>
    <t>τba  =</t>
  </si>
  <si>
    <t>τba</t>
  </si>
  <si>
    <t>τb</t>
  </si>
  <si>
    <t>라) 처짐에 대한 검토</t>
  </si>
  <si>
    <t>최대 처짐은 트럭크레인의 아웃트리거가 상현재 중앙에 위치한 경우에 발생함.</t>
  </si>
  <si>
    <r>
      <t>δmax = 5WL</t>
    </r>
    <r>
      <rPr>
        <vertAlign val="superscript"/>
        <sz val="9"/>
        <rFont val="돋움"/>
        <family val="3"/>
      </rPr>
      <t>4</t>
    </r>
    <r>
      <rPr>
        <sz val="9"/>
        <rFont val="돋움"/>
        <family val="3"/>
      </rPr>
      <t>/384EI + PL</t>
    </r>
    <r>
      <rPr>
        <vertAlign val="superscript"/>
        <sz val="9"/>
        <rFont val="돋움"/>
        <family val="3"/>
      </rPr>
      <t>3</t>
    </r>
    <r>
      <rPr>
        <sz val="9"/>
        <rFont val="돋움"/>
        <family val="3"/>
      </rPr>
      <t>/48EI</t>
    </r>
  </si>
  <si>
    <t>=(5 x</t>
  </si>
  <si>
    <t>384 x</t>
  </si>
  <si>
    <t>+ (</t>
  </si>
  <si>
    <r>
      <t>3</t>
    </r>
    <r>
      <rPr>
        <sz val="9"/>
        <rFont val="돋움"/>
        <family val="3"/>
      </rPr>
      <t>) / (</t>
    </r>
  </si>
  <si>
    <r>
      <t>4</t>
    </r>
    <r>
      <rPr>
        <sz val="9"/>
        <rFont val="돋움"/>
        <family val="3"/>
      </rPr>
      <t>) / (</t>
    </r>
  </si>
  <si>
    <t>)</t>
  </si>
  <si>
    <t>48 x 2,100,000 x</t>
  </si>
  <si>
    <t>㎝</t>
  </si>
  <si>
    <t>δmax / L =</t>
  </si>
  <si>
    <t>1  /</t>
  </si>
  <si>
    <t>----------</t>
  </si>
  <si>
    <t>(2열)</t>
  </si>
  <si>
    <t xml:space="preserve"> * 본 강재의 제원은 강재 2열에 대한 값임.</t>
  </si>
  <si>
    <t>복공판 하중</t>
  </si>
  <si>
    <t>m x</t>
  </si>
  <si>
    <t xml:space="preserve">kg/㎡ </t>
  </si>
  <si>
    <t>m =</t>
  </si>
  <si>
    <t>w1 =</t>
  </si>
  <si>
    <t>w2 =</t>
  </si>
  <si>
    <t>w = w1 + w2 =</t>
  </si>
  <si>
    <t xml:space="preserve">   (3) 수평하중(최대활하중의 20%를 적용)</t>
  </si>
  <si>
    <t>N  =</t>
  </si>
  <si>
    <t>나) 휨모멘트와 축력에 대한 검토</t>
  </si>
  <si>
    <t>w4 =</t>
  </si>
  <si>
    <t>활하중은 부재 중앙에 작용하는 것으로 검토함.</t>
  </si>
  <si>
    <r>
      <t>Mmax = W</t>
    </r>
    <r>
      <rPr>
        <vertAlign val="subscript"/>
        <sz val="9"/>
        <rFont val="돋움"/>
        <family val="3"/>
      </rPr>
      <t>4</t>
    </r>
    <r>
      <rPr>
        <sz val="9"/>
        <rFont val="돋움"/>
        <family val="3"/>
      </rPr>
      <t>L</t>
    </r>
    <r>
      <rPr>
        <vertAlign val="superscript"/>
        <sz val="9"/>
        <rFont val="돋움"/>
        <family val="3"/>
      </rPr>
      <t>2</t>
    </r>
    <r>
      <rPr>
        <sz val="9"/>
        <rFont val="돋움"/>
        <family val="3"/>
      </rPr>
      <t>/8  +  PL/4 + W/4(3L-4a)</t>
    </r>
  </si>
  <si>
    <t>4 x (</t>
  </si>
  <si>
    <t>3  x</t>
  </si>
  <si>
    <t>- 4 x</t>
  </si>
  <si>
    <t>압축력은 트럭크레인 작업시 발생되는 수평하중임(최대활하중의 20%적용).</t>
  </si>
  <si>
    <t>N =</t>
  </si>
  <si>
    <t>σc =  N / A</t>
  </si>
  <si>
    <t>λc =</t>
  </si>
  <si>
    <t>회전반경
(ry)㎝</t>
  </si>
  <si>
    <t>Lk / ix  =</t>
  </si>
  <si>
    <t>1.5 x {1,400 - 8.4(</t>
  </si>
  <si>
    <t>20 )}</t>
  </si>
  <si>
    <t>σca</t>
  </si>
  <si>
    <t>σc</t>
  </si>
  <si>
    <t>다) 압축력 검토</t>
  </si>
  <si>
    <t>라) 전단에 대한 검토</t>
  </si>
  <si>
    <r>
      <t>Qmax = W</t>
    </r>
    <r>
      <rPr>
        <vertAlign val="subscript"/>
        <sz val="9"/>
        <rFont val="돋움"/>
        <family val="3"/>
      </rPr>
      <t>4</t>
    </r>
    <r>
      <rPr>
        <sz val="9"/>
        <rFont val="돋움"/>
        <family val="3"/>
      </rPr>
      <t xml:space="preserve">L/2 + P + 3W/L(L-a) </t>
    </r>
  </si>
  <si>
    <t>x  (</t>
  </si>
  <si>
    <r>
      <t>δmax = 5W</t>
    </r>
    <r>
      <rPr>
        <vertAlign val="subscript"/>
        <sz val="9"/>
        <rFont val="돋움"/>
        <family val="3"/>
      </rPr>
      <t>4</t>
    </r>
    <r>
      <rPr>
        <sz val="9"/>
        <rFont val="돋움"/>
        <family val="3"/>
      </rPr>
      <t>L</t>
    </r>
    <r>
      <rPr>
        <vertAlign val="superscript"/>
        <sz val="9"/>
        <rFont val="돋움"/>
        <family val="3"/>
      </rPr>
      <t>4</t>
    </r>
    <r>
      <rPr>
        <sz val="9"/>
        <rFont val="돋움"/>
        <family val="3"/>
      </rPr>
      <t>/384EI + PL</t>
    </r>
    <r>
      <rPr>
        <vertAlign val="superscript"/>
        <sz val="9"/>
        <rFont val="돋움"/>
        <family val="3"/>
      </rPr>
      <t>3</t>
    </r>
    <r>
      <rPr>
        <sz val="9"/>
        <rFont val="돋움"/>
        <family val="3"/>
      </rPr>
      <t>/48EI</t>
    </r>
  </si>
  <si>
    <t>3) 수평, 수직 angle</t>
  </si>
  <si>
    <t>사용강재재원 :</t>
  </si>
  <si>
    <t>(SS41)</t>
  </si>
  <si>
    <t>※ 수평하중은 수평·수직 angle에서 처리하며 각각의 부담율은 1/2씩이라고 가정한다.</t>
  </si>
  <si>
    <t>가) 수평 angle</t>
  </si>
  <si>
    <t xml:space="preserve">    1) 적용하중</t>
  </si>
  <si>
    <t>수평하중 H1은 적재하중의 20%의 1/2이므로</t>
  </si>
  <si>
    <t>H1 =</t>
  </si>
  <si>
    <t>×</t>
  </si>
  <si>
    <t>1/2</t>
  </si>
  <si>
    <t>=</t>
  </si>
  <si>
    <t xml:space="preserve">    2) 인장력에 대한 검토</t>
  </si>
  <si>
    <t>단면계수(z)
㎤</t>
  </si>
  <si>
    <t>계산지간(L)
㎝</t>
  </si>
  <si>
    <r>
      <t>)</t>
    </r>
    <r>
      <rPr>
        <vertAlign val="superscript"/>
        <sz val="9"/>
        <rFont val="돋움"/>
        <family val="3"/>
      </rPr>
      <t xml:space="preserve">2 </t>
    </r>
    <r>
      <rPr>
        <sz val="9"/>
        <rFont val="돋움"/>
        <family val="3"/>
      </rPr>
      <t>+</t>
    </r>
    <r>
      <rPr>
        <vertAlign val="superscript"/>
        <sz val="9"/>
        <rFont val="돋움"/>
        <family val="3"/>
      </rPr>
      <t xml:space="preserve">  </t>
    </r>
    <r>
      <rPr>
        <sz val="9"/>
        <rFont val="돋움"/>
        <family val="3"/>
      </rPr>
      <t xml:space="preserve"> (</t>
    </r>
  </si>
  <si>
    <t>×</t>
  </si>
  <si>
    <t>{      (</t>
  </si>
  <si>
    <r>
      <t>)</t>
    </r>
    <r>
      <rPr>
        <vertAlign val="superscript"/>
        <sz val="9"/>
        <rFont val="돋움"/>
        <family val="3"/>
      </rPr>
      <t xml:space="preserve">2   </t>
    </r>
    <r>
      <rPr>
        <sz val="9"/>
        <rFont val="돋움"/>
        <family val="3"/>
      </rPr>
      <t xml:space="preserve"> /</t>
    </r>
  </si>
  <si>
    <t>}</t>
  </si>
  <si>
    <t>=</t>
  </si>
  <si>
    <t>τb  =</t>
  </si>
  <si>
    <t xml:space="preserve">σca=  </t>
  </si>
  <si>
    <t>σt</t>
  </si>
  <si>
    <r>
      <t>T</t>
    </r>
    <r>
      <rPr>
        <vertAlign val="subscript"/>
        <sz val="9"/>
        <rFont val="돋움"/>
        <family val="3"/>
      </rPr>
      <t>MAX</t>
    </r>
  </si>
  <si>
    <t>/</t>
  </si>
  <si>
    <t>kg/㎠</t>
  </si>
  <si>
    <t xml:space="preserve">σta </t>
  </si>
  <si>
    <t>σta =</t>
  </si>
  <si>
    <t>-----------</t>
  </si>
  <si>
    <t>나) 수직 angle</t>
  </si>
  <si>
    <t xml:space="preserve">    수직angle은 Post Pile 방향에 대하여 검토하며 수평하중은 수평angle의 경우와 같다고 생각하고 적재하중의 </t>
  </si>
  <si>
    <t xml:space="preserve">    20% 의 1/2를 고려하며, 인장력에 대해서만 유효하다고 가정한다.</t>
  </si>
  <si>
    <t xml:space="preserve">    1) 인장력에 대한 검토</t>
  </si>
  <si>
    <t>H1 / Cos θ</t>
  </si>
  <si>
    <r>
      <t>(H</t>
    </r>
    <r>
      <rPr>
        <vertAlign val="subscript"/>
        <sz val="9"/>
        <rFont val="돋움"/>
        <family val="3"/>
      </rPr>
      <t>1</t>
    </r>
    <r>
      <rPr>
        <sz val="9"/>
        <rFont val="돋움"/>
        <family val="3"/>
      </rPr>
      <t xml:space="preserve"> / Cos θ) × (1+ (h</t>
    </r>
    <r>
      <rPr>
        <vertAlign val="subscript"/>
        <sz val="9"/>
        <rFont val="돋움"/>
        <family val="3"/>
      </rPr>
      <t>1</t>
    </r>
    <r>
      <rPr>
        <sz val="9"/>
        <rFont val="돋움"/>
        <family val="3"/>
      </rPr>
      <t>/2h</t>
    </r>
    <r>
      <rPr>
        <vertAlign val="subscript"/>
        <sz val="9"/>
        <rFont val="돋움"/>
        <family val="3"/>
      </rPr>
      <t>2</t>
    </r>
    <r>
      <rPr>
        <sz val="9"/>
        <rFont val="돋움"/>
        <family val="3"/>
      </rPr>
      <t>))</t>
    </r>
  </si>
  <si>
    <t>{1 + (</t>
  </si>
  <si>
    <t xml:space="preserve">여기서, </t>
  </si>
  <si>
    <t>h1  =</t>
  </si>
  <si>
    <t>m</t>
  </si>
  <si>
    <t xml:space="preserve">h2 = </t>
  </si>
  <si>
    <t>/   (</t>
  </si>
  <si>
    <t>2   ×</t>
  </si>
  <si>
    <t>)}</t>
  </si>
  <si>
    <r>
      <t>σt =  T</t>
    </r>
    <r>
      <rPr>
        <vertAlign val="subscript"/>
        <sz val="9"/>
        <rFont val="돋움"/>
        <family val="3"/>
      </rPr>
      <t>MAX</t>
    </r>
    <r>
      <rPr>
        <sz val="9"/>
        <rFont val="돋움"/>
        <family val="3"/>
      </rPr>
      <t xml:space="preserve"> / A</t>
    </r>
    <r>
      <rPr>
        <vertAlign val="subscript"/>
        <sz val="9"/>
        <rFont val="돋움"/>
        <family val="3"/>
      </rPr>
      <t>W</t>
    </r>
  </si>
  <si>
    <t xml:space="preserve">    =</t>
  </si>
  <si>
    <t>4) Post Pile의 검토</t>
  </si>
  <si>
    <t>사용강재제원</t>
  </si>
  <si>
    <t>H -</t>
  </si>
  <si>
    <t xml:space="preserve">  ×</t>
  </si>
  <si>
    <t>가) 적용하중</t>
  </si>
  <si>
    <t xml:space="preserve">     1) 사하중</t>
  </si>
  <si>
    <t>사용강재재원</t>
  </si>
  <si>
    <t>부재명칭</t>
  </si>
  <si>
    <t>Strut</t>
  </si>
  <si>
    <t>길이</t>
  </si>
  <si>
    <t>공칭</t>
  </si>
  <si>
    <t>칫수</t>
  </si>
  <si>
    <t>Nominal</t>
  </si>
  <si>
    <t>Size</t>
  </si>
  <si>
    <t>표준 단면 치수</t>
  </si>
  <si>
    <t>Standard Sectional</t>
  </si>
  <si>
    <t>Dimension</t>
  </si>
  <si>
    <t>mm</t>
  </si>
  <si>
    <t>단면적</t>
  </si>
  <si>
    <t>Sectional</t>
  </si>
  <si>
    <t>Area</t>
  </si>
  <si>
    <r>
      <t>cm</t>
    </r>
    <r>
      <rPr>
        <b/>
        <vertAlign val="superscript"/>
        <sz val="11"/>
        <color indexed="9"/>
        <rFont val="돋움"/>
        <family val="3"/>
      </rPr>
      <t>2</t>
    </r>
  </si>
  <si>
    <t>단위</t>
  </si>
  <si>
    <t>중량</t>
  </si>
  <si>
    <t>Unit</t>
  </si>
  <si>
    <t>Weight</t>
  </si>
  <si>
    <t>kg/m</t>
  </si>
  <si>
    <t>단면 2차</t>
  </si>
  <si>
    <t>모멘트</t>
  </si>
  <si>
    <t>Moment of</t>
  </si>
  <si>
    <t>Inertia</t>
  </si>
  <si>
    <r>
      <t>cm</t>
    </r>
    <r>
      <rPr>
        <b/>
        <vertAlign val="superscript"/>
        <sz val="11"/>
        <color indexed="9"/>
        <rFont val="돋움"/>
        <family val="3"/>
      </rPr>
      <t>4</t>
    </r>
  </si>
  <si>
    <t>단면2차</t>
  </si>
  <si>
    <t>반경</t>
  </si>
  <si>
    <t>Radius of</t>
  </si>
  <si>
    <t>Gyration</t>
  </si>
  <si>
    <t>cm</t>
  </si>
  <si>
    <t>단면 계수</t>
  </si>
  <si>
    <t>Modulus of</t>
  </si>
  <si>
    <t>Section</t>
  </si>
  <si>
    <r>
      <t>cm</t>
    </r>
    <r>
      <rPr>
        <b/>
        <vertAlign val="superscript"/>
        <sz val="11"/>
        <color indexed="9"/>
        <rFont val="돋움"/>
        <family val="3"/>
      </rPr>
      <t>3</t>
    </r>
  </si>
  <si>
    <t>H x B</t>
  </si>
  <si>
    <t>Tw</t>
  </si>
  <si>
    <t>Tf</t>
  </si>
  <si>
    <t>r</t>
  </si>
  <si>
    <t>A</t>
  </si>
  <si>
    <t>w</t>
  </si>
  <si>
    <t>Ix</t>
  </si>
  <si>
    <t>Iy</t>
  </si>
  <si>
    <t>ix</t>
  </si>
  <si>
    <t>iy</t>
  </si>
  <si>
    <t>Zx</t>
  </si>
  <si>
    <t>zy</t>
  </si>
  <si>
    <t>100x100</t>
  </si>
  <si>
    <t>125x125</t>
  </si>
  <si>
    <t>150x75</t>
  </si>
  <si>
    <t>150x100</t>
  </si>
  <si>
    <t>148x100</t>
  </si>
  <si>
    <t>150x150</t>
  </si>
  <si>
    <t>200x100</t>
  </si>
  <si>
    <t>198x199</t>
  </si>
  <si>
    <t>200x150</t>
  </si>
  <si>
    <t>194x150</t>
  </si>
  <si>
    <t>200x200</t>
  </si>
  <si>
    <t>200x204</t>
  </si>
  <si>
    <t>208x202</t>
  </si>
  <si>
    <t>250x125</t>
  </si>
  <si>
    <t>248x124</t>
  </si>
  <si>
    <t>250x175</t>
  </si>
  <si>
    <t>244x175</t>
  </si>
  <si>
    <t>250x250</t>
  </si>
  <si>
    <t>244x252</t>
  </si>
  <si>
    <t>248x249</t>
  </si>
  <si>
    <t>250x255</t>
  </si>
  <si>
    <t>300x150</t>
  </si>
  <si>
    <t>298x149</t>
  </si>
  <si>
    <t>300x200</t>
  </si>
  <si>
    <t>294x200</t>
  </si>
  <si>
    <t>298x201</t>
  </si>
  <si>
    <t>300x300</t>
  </si>
  <si>
    <t>294x302</t>
  </si>
  <si>
    <t>298x299</t>
  </si>
  <si>
    <t>300x305</t>
  </si>
  <si>
    <t>304x301</t>
  </si>
  <si>
    <t>310x305</t>
  </si>
  <si>
    <t>310x310</t>
  </si>
  <si>
    <t>350x175</t>
  </si>
  <si>
    <t>346x174</t>
  </si>
  <si>
    <t>354x176</t>
  </si>
  <si>
    <t>340x250</t>
  </si>
  <si>
    <t>336x249</t>
  </si>
  <si>
    <t>350x350</t>
  </si>
  <si>
    <t>344x348</t>
  </si>
  <si>
    <t>344x354</t>
  </si>
  <si>
    <t>350x357</t>
  </si>
  <si>
    <t>400x200</t>
  </si>
  <si>
    <t>396x199</t>
  </si>
  <si>
    <t>404x201</t>
  </si>
  <si>
    <t>400x300</t>
  </si>
  <si>
    <t>386x299</t>
  </si>
  <si>
    <t>390x300</t>
  </si>
  <si>
    <t>400x400</t>
  </si>
  <si>
    <t>388x402</t>
  </si>
  <si>
    <t>394x398</t>
  </si>
  <si>
    <t>394x405</t>
  </si>
  <si>
    <t>400x408</t>
  </si>
  <si>
    <t>406x403</t>
  </si>
  <si>
    <t>414x405</t>
  </si>
  <si>
    <t>428x407</t>
  </si>
  <si>
    <t>458x417</t>
  </si>
  <si>
    <t>498x432</t>
  </si>
  <si>
    <t>18,8</t>
  </si>
  <si>
    <t>450x200</t>
  </si>
  <si>
    <t>446x199</t>
  </si>
  <si>
    <t>450x300</t>
  </si>
  <si>
    <t>434x299</t>
  </si>
  <si>
    <t>440x300</t>
  </si>
  <si>
    <t>18,9</t>
  </si>
  <si>
    <t>500x200</t>
  </si>
  <si>
    <t>496x199</t>
  </si>
  <si>
    <t>506x201</t>
  </si>
  <si>
    <t>500x300</t>
  </si>
  <si>
    <t>482x300</t>
  </si>
  <si>
    <t>488x300</t>
  </si>
  <si>
    <t>600x200</t>
  </si>
  <si>
    <t>596x199</t>
  </si>
  <si>
    <t>606x201</t>
  </si>
  <si>
    <t>612x202</t>
  </si>
  <si>
    <t>600x300</t>
  </si>
  <si>
    <t>582x300</t>
  </si>
  <si>
    <t>588x300</t>
  </si>
  <si>
    <t>594x302</t>
  </si>
  <si>
    <t>700x300</t>
  </si>
  <si>
    <t>692x300</t>
  </si>
  <si>
    <t>708x302</t>
  </si>
  <si>
    <t>800x300</t>
  </si>
  <si>
    <t>792x300</t>
  </si>
  <si>
    <t>808x302</t>
  </si>
  <si>
    <t>900x300</t>
  </si>
  <si>
    <t>890x299</t>
  </si>
  <si>
    <t>912x302</t>
  </si>
  <si>
    <t>918x303</t>
  </si>
  <si>
    <t>강재규격</t>
  </si>
  <si>
    <t>복공판</t>
  </si>
  <si>
    <t>상형재</t>
  </si>
  <si>
    <t>하형재</t>
  </si>
  <si>
    <t>Bracing</t>
  </si>
  <si>
    <t>보받침</t>
  </si>
  <si>
    <t>수평angle</t>
  </si>
  <si>
    <t>수직angle</t>
  </si>
  <si>
    <t>수평(본)</t>
  </si>
  <si>
    <t>수직(단)</t>
  </si>
  <si>
    <t>개수</t>
  </si>
  <si>
    <t>※   수평angle 길이 =</t>
  </si>
  <si>
    <r>
      <t>)</t>
    </r>
    <r>
      <rPr>
        <vertAlign val="superscript"/>
        <sz val="9"/>
        <rFont val="돋움"/>
        <family val="3"/>
      </rPr>
      <t xml:space="preserve">2   </t>
    </r>
    <r>
      <rPr>
        <sz val="9"/>
        <rFont val="돋움"/>
        <family val="3"/>
      </rPr>
      <t xml:space="preserve"> </t>
    </r>
  </si>
  <si>
    <t xml:space="preserve">       (</t>
  </si>
  <si>
    <t>=</t>
  </si>
  <si>
    <t>m</t>
  </si>
  <si>
    <t xml:space="preserve">      수직angle 길이 =</t>
  </si>
  <si>
    <t xml:space="preserve"> Pile자중</t>
  </si>
  <si>
    <t>합계</t>
  </si>
  <si>
    <t xml:space="preserve">     2) 활하중</t>
  </si>
  <si>
    <t>Outrigger의 최대하중을 적용하며, Post Pile의 상부에 직접 작용하는것으로 가정한다.</t>
  </si>
  <si>
    <t xml:space="preserve">     3) 수평하중</t>
  </si>
  <si>
    <t>수평하중은 수평angle의 검토의 경우와 동일하게 적용한다.</t>
  </si>
  <si>
    <t>N2  =</t>
  </si>
  <si>
    <t xml:space="preserve">     4) 수평하중에 의한 압축력</t>
  </si>
  <si>
    <t>수평하중에 의하여 생기는 최하층 지주의 압축력은 간략식에 따르면,</t>
  </si>
  <si>
    <t xml:space="preserve">     =</t>
  </si>
  <si>
    <t>(</t>
  </si>
  <si>
    <t>-</t>
  </si>
  <si>
    <t>0.5 ×</t>
  </si>
  <si>
    <t>)   /</t>
  </si>
  <si>
    <t xml:space="preserve">       Post Pile 1본당 작용하는 고정하중 :  N1</t>
  </si>
  <si>
    <t>=</t>
  </si>
  <si>
    <t>+</t>
  </si>
  <si>
    <t>σc</t>
  </si>
  <si>
    <t>근입방식</t>
  </si>
  <si>
    <t>허용지지력</t>
  </si>
  <si>
    <t>지지층</t>
  </si>
  <si>
    <t>N value</t>
  </si>
  <si>
    <t>※ 본현장에서의 Post Pile의 지지층은</t>
  </si>
  <si>
    <t xml:space="preserve">    설계를 위하여 </t>
  </si>
  <si>
    <t xml:space="preserve">을 적용하였다. </t>
  </si>
  <si>
    <t>이며, 지지력 검토시 N치는 충분한 안전</t>
  </si>
  <si>
    <t xml:space="preserve">여기서,      </t>
  </si>
  <si>
    <t>N  =  Ns  =</t>
  </si>
  <si>
    <t>Ap  =  선단면적  =</t>
  </si>
  <si>
    <t>×</t>
  </si>
  <si>
    <r>
      <t>m</t>
    </r>
    <r>
      <rPr>
        <vertAlign val="superscript"/>
        <sz val="9"/>
        <rFont val="돋움"/>
        <family val="3"/>
      </rPr>
      <t>2</t>
    </r>
  </si>
  <si>
    <t xml:space="preserve">Ls  =  가상지지점으로부터 최종근입심도까지 거리 </t>
  </si>
  <si>
    <t xml:space="preserve">Lc  =  최종 굴착면으로부터 가상지지점까지의 거리  </t>
  </si>
  <si>
    <t>qu  =  점성토의 일축압축강도</t>
  </si>
  <si>
    <r>
      <t>t/m</t>
    </r>
    <r>
      <rPr>
        <vertAlign val="superscript"/>
        <sz val="9"/>
        <rFont val="돋움"/>
        <family val="3"/>
      </rPr>
      <t>2</t>
    </r>
  </si>
  <si>
    <t>As  =  선단주변장</t>
  </si>
  <si>
    <t xml:space="preserve">Ra =  </t>
  </si>
  <si>
    <t>×</t>
  </si>
  <si>
    <t>(2/3) × { (  30  ×</t>
  </si>
  <si>
    <t>)   +</t>
  </si>
  <si>
    <t xml:space="preserve">( (1/5)  × </t>
  </si>
  <si>
    <t>) }</t>
  </si>
  <si>
    <t xml:space="preserve">     =</t>
  </si>
  <si>
    <t xml:space="preserve">) × </t>
  </si>
  <si>
    <t>t</t>
  </si>
  <si>
    <t>R   =</t>
  </si>
  <si>
    <t>Ra</t>
  </si>
  <si>
    <t>R</t>
  </si>
  <si>
    <t>5) BOLT 검토(Piece Bracket)</t>
  </si>
  <si>
    <t>BOLT 제원 :</t>
  </si>
  <si>
    <t>σta =</t>
  </si>
  <si>
    <t>허용인장응력(σa)</t>
  </si>
  <si>
    <t>가) 적용하중</t>
  </si>
  <si>
    <t>부재명칭</t>
  </si>
  <si>
    <t>길이</t>
  </si>
  <si>
    <t>개수</t>
  </si>
  <si>
    <t>수평(본)</t>
  </si>
  <si>
    <t>수직(단)</t>
  </si>
  <si>
    <t>하중</t>
  </si>
  <si>
    <t>강재규격</t>
  </si>
  <si>
    <t>복공판</t>
  </si>
  <si>
    <t>상형재</t>
  </si>
  <si>
    <t>하형재</t>
  </si>
  <si>
    <t>수평angle</t>
  </si>
  <si>
    <t>합계</t>
  </si>
  <si>
    <t xml:space="preserve">     1) 사하중(N1)</t>
  </si>
  <si>
    <t>Piece Bracket에 작용하는 활하중은 Outrigger의 최대하중으로 본다.</t>
  </si>
  <si>
    <t>N2  =</t>
  </si>
  <si>
    <t>N1   +   N2</t>
  </si>
  <si>
    <t xml:space="preserve">  =  </t>
  </si>
  <si>
    <t>나) BOLT 간격계산</t>
  </si>
  <si>
    <t xml:space="preserve">    1) 최소중심간격   =</t>
  </si>
  <si>
    <t>mm</t>
  </si>
  <si>
    <t xml:space="preserve">    2) 최대중심간격(응력방향)</t>
  </si>
  <si>
    <t>(If M22 Bolt)</t>
  </si>
  <si>
    <t>mm 이하</t>
  </si>
  <si>
    <t>ⓑ</t>
  </si>
  <si>
    <t>12 t</t>
  </si>
  <si>
    <t xml:space="preserve">ⓐ </t>
  </si>
  <si>
    <t>mm</t>
  </si>
  <si>
    <t>적용</t>
  </si>
  <si>
    <t xml:space="preserve">     3) 최대중심간격(응력직각방향)</t>
  </si>
  <si>
    <t>mm 이하</t>
  </si>
  <si>
    <t>24 t</t>
  </si>
  <si>
    <t>=</t>
  </si>
  <si>
    <t xml:space="preserve">a, b 중 작은값인 </t>
  </si>
  <si>
    <t>a, b 중 작은값인</t>
  </si>
  <si>
    <t>적용</t>
  </si>
  <si>
    <t xml:space="preserve">     4) BOLT 구멍중심에서 연단까지의 기준</t>
  </si>
  <si>
    <t>최대 :</t>
  </si>
  <si>
    <t>8 t</t>
  </si>
  <si>
    <t>최소 :</t>
  </si>
  <si>
    <t>다) 전단에 필요한 BOLT 개수 산정(n)</t>
  </si>
  <si>
    <t>Q  =</t>
  </si>
  <si>
    <t>볼트개소당 전단응력(Rt)   =</t>
  </si>
  <si>
    <t>허용전단응력(σta)</t>
  </si>
  <si>
    <t>σta</t>
  </si>
  <si>
    <t>유효단면적(Aw)</t>
  </si>
  <si>
    <t>Aw</t>
  </si>
  <si>
    <t xml:space="preserve"> =</t>
  </si>
  <si>
    <t>n   =</t>
  </si>
  <si>
    <t xml:space="preserve"> Q  /  Rt  =</t>
  </si>
  <si>
    <t>/</t>
  </si>
  <si>
    <t xml:space="preserve">   F10T -  Φ</t>
  </si>
  <si>
    <t>소요수량 :</t>
  </si>
  <si>
    <t>n  =</t>
  </si>
  <si>
    <t>EA 이상</t>
  </si>
  <si>
    <t>따라서 Piece Bracket 1개당 F10T -  Φ22mm</t>
  </si>
  <si>
    <t>EA 사용</t>
  </si>
  <si>
    <t>※  인양중량  =</t>
  </si>
  <si>
    <t>H  -</t>
  </si>
  <si>
    <t>x</t>
  </si>
  <si>
    <t>H  -</t>
  </si>
  <si>
    <t>x</t>
  </si>
  <si>
    <t xml:space="preserve">L - </t>
  </si>
  <si>
    <t>×</t>
  </si>
  <si>
    <r>
      <t>H</t>
    </r>
    <r>
      <rPr>
        <vertAlign val="subscript"/>
        <sz val="9"/>
        <rFont val="돋움"/>
        <family val="3"/>
      </rPr>
      <t>1</t>
    </r>
    <r>
      <rPr>
        <sz val="9"/>
        <rFont val="돋움"/>
        <family val="3"/>
      </rPr>
      <t xml:space="preserve">  =</t>
    </r>
  </si>
  <si>
    <r>
      <t>N3  =  H</t>
    </r>
    <r>
      <rPr>
        <vertAlign val="subscript"/>
        <sz val="9"/>
        <rFont val="돋움"/>
        <family val="3"/>
      </rPr>
      <t>1</t>
    </r>
    <r>
      <rPr>
        <sz val="9"/>
        <rFont val="돋움"/>
        <family val="3"/>
      </rPr>
      <t xml:space="preserve"> × ( h - 0.5h</t>
    </r>
    <r>
      <rPr>
        <vertAlign val="subscript"/>
        <sz val="9"/>
        <rFont val="돋움"/>
        <family val="3"/>
      </rPr>
      <t>1</t>
    </r>
    <r>
      <rPr>
        <sz val="9"/>
        <rFont val="돋움"/>
        <family val="3"/>
      </rPr>
      <t xml:space="preserve"> ) / L</t>
    </r>
  </si>
  <si>
    <t>천공후 항타</t>
  </si>
  <si>
    <t>단기허용지지력</t>
  </si>
  <si>
    <t>} ×</t>
  </si>
  <si>
    <t xml:space="preserve">  ×</t>
  </si>
  <si>
    <t>H-1990×750×200</t>
  </si>
  <si>
    <t>H-600×200×11×17</t>
  </si>
  <si>
    <t>H-300×300×10×15(2열)</t>
  </si>
  <si>
    <t>H-300×200×9×14</t>
  </si>
  <si>
    <t>H-300×300×10×15</t>
  </si>
  <si>
    <t>L-100×100×10</t>
  </si>
  <si>
    <t>단위중량
kg/m</t>
  </si>
  <si>
    <t>하중(kg)</t>
  </si>
  <si>
    <t xml:space="preserve">단면적(A)  </t>
  </si>
  <si>
    <r>
      <t>cm</t>
    </r>
    <r>
      <rPr>
        <vertAlign val="superscript"/>
        <sz val="9"/>
        <rFont val="돋움"/>
        <family val="3"/>
      </rPr>
      <t>2</t>
    </r>
  </si>
  <si>
    <r>
      <t>kg/cm</t>
    </r>
    <r>
      <rPr>
        <vertAlign val="superscript"/>
        <sz val="9"/>
        <rFont val="돋움"/>
        <family val="3"/>
      </rPr>
      <t>2</t>
    </r>
  </si>
  <si>
    <r>
      <t>N</t>
    </r>
    <r>
      <rPr>
        <vertAlign val="subscript"/>
        <sz val="9"/>
        <rFont val="돋움"/>
        <family val="3"/>
      </rPr>
      <t>max</t>
    </r>
  </si>
  <si>
    <r>
      <t>N</t>
    </r>
    <r>
      <rPr>
        <vertAlign val="subscript"/>
        <sz val="9"/>
        <rFont val="돋움"/>
        <family val="3"/>
      </rPr>
      <t>max</t>
    </r>
    <r>
      <rPr>
        <sz val="9"/>
        <rFont val="돋움"/>
        <family val="3"/>
      </rPr>
      <t xml:space="preserve">   = </t>
    </r>
  </si>
  <si>
    <r>
      <t>N</t>
    </r>
    <r>
      <rPr>
        <vertAlign val="subscript"/>
        <sz val="9"/>
        <rFont val="돋움"/>
        <family val="3"/>
      </rPr>
      <t xml:space="preserve">max </t>
    </r>
    <r>
      <rPr>
        <sz val="9"/>
        <rFont val="돋움"/>
        <family val="3"/>
      </rPr>
      <t xml:space="preserve">   =   N1   +   N2   +   N3</t>
    </r>
  </si>
  <si>
    <t xml:space="preserve">   (1) 사하중(복공판 + 상형재)</t>
  </si>
  <si>
    <t>하형재에는 복공판의 하중이 상형재로 전달되어 집중하중으로 작용하는 것으로 검토함.</t>
  </si>
  <si>
    <t>상형재 하중</t>
  </si>
  <si>
    <t>하형재 하중</t>
  </si>
  <si>
    <t xml:space="preserve">하중은 트럭크레인의 최대활하중이 하형재의 중앙부에 전달하는 것으로 검토함. </t>
  </si>
  <si>
    <t>&lt;하형재하중 단면도&gt;</t>
  </si>
  <si>
    <t>하형재는 휨과 압축을 받는 부재로 검토함.</t>
  </si>
  <si>
    <t>최대 전단력 Qmax는 트럭크레인의 아웃트리거가 상형재의 단부에 위치한 경우에 발생함.</t>
  </si>
  <si>
    <t>수평 angle에 작용하는 최대인장력은 Truck Crane의 Outrigger가 하형재의 단부에 위치한 경우 발생한다.</t>
  </si>
  <si>
    <t>H-600×300×11×17</t>
  </si>
  <si>
    <t>2) 상형재 검토</t>
  </si>
  <si>
    <t>(클렘쉘 1.53㎥하중+흙중량+기타자재중량 고려)</t>
  </si>
  <si>
    <t>아웃트리거의 최대하중 = 집중하중 X 0.7 + 충격하중(적재하중의 20%적용)</t>
  </si>
  <si>
    <t>최대 휨모멘트 Mmax는 트럭크레인의 아웃트리거가 상형재 중앙에 위치한 경우에 발생함.</t>
  </si>
  <si>
    <t>&lt;상형재하중 단면도&gt;</t>
  </si>
  <si>
    <t>최대 처짐은 트럭크레인의 아웃트리거가 상형재 중앙에 위치한 경우에 발생함.</t>
  </si>
  <si>
    <t>2) 하형재 검토</t>
  </si>
  <si>
    <t>상형재 길이 :</t>
  </si>
  <si>
    <t>하형재 길이 :</t>
  </si>
  <si>
    <t xml:space="preserve">     5) 최대휨모멘트</t>
  </si>
  <si>
    <t>Mmax = 0.5 x H1 x h1 =</t>
  </si>
  <si>
    <t>x</t>
  </si>
  <si>
    <t>kg</t>
  </si>
  <si>
    <t>:</t>
  </si>
  <si>
    <t>σba</t>
  </si>
  <si>
    <t>(4.5 &lt; L / b ≤ 30)</t>
  </si>
  <si>
    <t>=</t>
  </si>
  <si>
    <t>Kg/cm²</t>
  </si>
  <si>
    <t>( 20 &lt; L / Rx ≤ 93 )</t>
  </si>
  <si>
    <t>+</t>
  </si>
  <si>
    <t>A</t>
  </si>
  <si>
    <t>단면2차모멘트</t>
  </si>
  <si>
    <t>단면적</t>
  </si>
  <si>
    <t>(A)㎠</t>
  </si>
  <si>
    <t xml:space="preserve">단위중량
</t>
  </si>
  <si>
    <t>(W)kg/m</t>
  </si>
  <si>
    <t>Ix</t>
  </si>
  <si>
    <t>Iy</t>
  </si>
  <si>
    <t>단면계수
(z)㎤</t>
  </si>
  <si>
    <t>지간</t>
  </si>
  <si>
    <t>㎝</t>
  </si>
  <si>
    <t>Rx</t>
  </si>
  <si>
    <t>Ry</t>
  </si>
  <si>
    <t>Zx</t>
  </si>
  <si>
    <t>Zy</t>
  </si>
  <si>
    <t>회전반경
(cm2)</t>
  </si>
  <si>
    <t xml:space="preserve">     6) 최대압축력</t>
  </si>
  <si>
    <t>지간계산</t>
  </si>
  <si>
    <t>연직방향</t>
  </si>
  <si>
    <t>수평방향</t>
  </si>
  <si>
    <t>:</t>
  </si>
  <si>
    <t>kg•cm</t>
  </si>
  <si>
    <t>c m</t>
  </si>
  <si>
    <t>L/Rx</t>
  </si>
  <si>
    <t>L/Ry</t>
  </si>
  <si>
    <t>나) 허용응력</t>
  </si>
  <si>
    <t xml:space="preserve">   1) 허용 휨 압축 응력 (σba)</t>
  </si>
  <si>
    <t>플랜지고정간 거리</t>
  </si>
  <si>
    <t>L/b</t>
  </si>
  <si>
    <t xml:space="preserve">   2) 허용 축방향 압축 응력{σca (x)}</t>
  </si>
  <si>
    <t>σca(x)</t>
  </si>
  <si>
    <t>=</t>
  </si>
  <si>
    <t>Kg/cm²</t>
  </si>
  <si>
    <t xml:space="preserve">   3) 허용 축방향 압축 응력 {σca (y)}</t>
  </si>
  <si>
    <t>:</t>
  </si>
  <si>
    <t>( L / Ry &gt; 93 )</t>
  </si>
  <si>
    <t>σca(y)</t>
  </si>
  <si>
    <t>=</t>
  </si>
  <si>
    <t>------------------------</t>
  </si>
  <si>
    <t>x</t>
  </si>
  <si>
    <t>1.5  x 0.9</t>
  </si>
  <si>
    <t>+</t>
  </si>
  <si>
    <r>
      <t>(L/Ry)</t>
    </r>
    <r>
      <rPr>
        <vertAlign val="superscript"/>
        <sz val="9"/>
        <rFont val="바탕체"/>
        <family val="1"/>
      </rPr>
      <t>2</t>
    </r>
  </si>
  <si>
    <t>-----------------------</t>
  </si>
  <si>
    <t>1.5  x  0.9</t>
  </si>
  <si>
    <t>Kg/cm²</t>
  </si>
  <si>
    <t>+</t>
  </si>
  <si>
    <t>σeax</t>
  </si>
  <si>
    <t>=</t>
  </si>
  <si>
    <t>-----------------</t>
  </si>
  <si>
    <t>x</t>
  </si>
  <si>
    <t>1.5  x  0.9</t>
  </si>
  <si>
    <t>L  /  Rx</t>
  </si>
  <si>
    <t>²</t>
  </si>
  <si>
    <t>Kg/cm</t>
  </si>
  <si>
    <t xml:space="preserve">   4) 오일러공식에의한 허용압축응력(σeax)</t>
  </si>
  <si>
    <t>--------------------</t>
  </si>
  <si>
    <t>다) 응력 검토</t>
  </si>
  <si>
    <t xml:space="preserve">   1) 휨 압축 응력 (σb)</t>
  </si>
  <si>
    <t>M</t>
  </si>
  <si>
    <t>σb</t>
  </si>
  <si>
    <t>=</t>
  </si>
  <si>
    <t>Kg/cm²</t>
  </si>
  <si>
    <t>Z</t>
  </si>
  <si>
    <t>∴</t>
  </si>
  <si>
    <t>σba</t>
  </si>
  <si>
    <t>----------------------------------</t>
  </si>
  <si>
    <t>------</t>
  </si>
  <si>
    <t>--------------------</t>
  </si>
  <si>
    <t xml:space="preserve">   2) 축방향 압축 응력 (σc)</t>
  </si>
  <si>
    <t>N</t>
  </si>
  <si>
    <t>---------</t>
  </si>
  <si>
    <t>------------------</t>
  </si>
  <si>
    <t>Kg/cm²</t>
  </si>
  <si>
    <t>∴</t>
  </si>
  <si>
    <t>σcax</t>
  </si>
  <si>
    <t>----------------------------------</t>
  </si>
  <si>
    <t>σcay</t>
  </si>
  <si>
    <t>------------</t>
  </si>
  <si>
    <t xml:space="preserve">   3) 축방향력과 휨모멘트의 동시작용에 대한 응력 검토(연직방향)</t>
  </si>
  <si>
    <t>σc</t>
  </si>
  <si>
    <t>σb</t>
  </si>
  <si>
    <t>+</t>
  </si>
  <si>
    <t>--------------------------</t>
  </si>
  <si>
    <t>≤</t>
  </si>
  <si>
    <t>σca(x)</t>
  </si>
  <si>
    <t>σba</t>
  </si>
  <si>
    <t>(1 - ------------)</t>
  </si>
  <si>
    <t>σeax</t>
  </si>
  <si>
    <t>=</t>
  </si>
  <si>
    <t>---------------------------</t>
  </si>
  <si>
    <t>(1 - -----------)</t>
  </si>
  <si>
    <t>-----------</t>
  </si>
  <si>
    <t xml:space="preserve">   4) 축방향력과 휨모멘트의 동시작용에 대한 응력 검토(수평방향)</t>
  </si>
  <si>
    <t>σc</t>
  </si>
  <si>
    <t>σb</t>
  </si>
  <si>
    <t>--------------------------</t>
  </si>
  <si>
    <t>≤</t>
  </si>
  <si>
    <t>σca(y)</t>
  </si>
  <si>
    <t>σc</t>
  </si>
  <si>
    <t>σba</t>
  </si>
  <si>
    <t>(1 - ------------)</t>
  </si>
  <si>
    <t>σeax</t>
  </si>
  <si>
    <t>=</t>
  </si>
  <si>
    <t>+</t>
  </si>
  <si>
    <t>---------------------------</t>
  </si>
  <si>
    <t>------------</t>
  </si>
  <si>
    <t>라) 지지력 검토</t>
  </si>
  <si>
    <t>모래자갈층</t>
  </si>
</sst>
</file>

<file path=xl/styles.xml><?xml version="1.0" encoding="utf-8"?>
<styleSheet xmlns="http://schemas.openxmlformats.org/spreadsheetml/2006/main">
  <numFmts count="3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0_ "/>
    <numFmt numFmtId="182" formatCode="#,##0_ "/>
    <numFmt numFmtId="183" formatCode="#,##0.00_ "/>
    <numFmt numFmtId="184" formatCode="#,##0.0_ "/>
    <numFmt numFmtId="185" formatCode="#,##0_);[Red]\(#,##0\)"/>
    <numFmt numFmtId="186" formatCode="mm&quot;월&quot;\ dd&quot;일&quot;"/>
    <numFmt numFmtId="187" formatCode="General&quot;2&quot;"/>
    <numFmt numFmtId="188" formatCode="General&quot;^2&quot;"/>
    <numFmt numFmtId="189" formatCode="0.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_ "/>
    <numFmt numFmtId="195" formatCode="0_);[Red]\(0\)"/>
    <numFmt numFmtId="196" formatCode="0.000_ "/>
  </numFmts>
  <fonts count="20">
    <font>
      <sz val="11"/>
      <name val="돋움"/>
      <family val="3"/>
    </font>
    <font>
      <sz val="9"/>
      <name val="돋움"/>
      <family val="3"/>
    </font>
    <font>
      <sz val="8"/>
      <name val="돋움"/>
      <family val="3"/>
    </font>
    <font>
      <b/>
      <sz val="14"/>
      <name val="돋움"/>
      <family val="3"/>
    </font>
    <font>
      <vertAlign val="superscript"/>
      <sz val="9"/>
      <name val="돋움"/>
      <family val="3"/>
    </font>
    <font>
      <sz val="9"/>
      <color indexed="10"/>
      <name val="돋움"/>
      <family val="3"/>
    </font>
    <font>
      <vertAlign val="subscript"/>
      <sz val="9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sz val="11"/>
      <color indexed="8"/>
      <name val="돋움"/>
      <family val="3"/>
    </font>
    <font>
      <sz val="10"/>
      <color indexed="8"/>
      <name val="굴림"/>
      <family val="3"/>
    </font>
    <font>
      <sz val="10"/>
      <name val="굴림"/>
      <family val="3"/>
    </font>
    <font>
      <sz val="9"/>
      <name val="바탕체"/>
      <family val="1"/>
    </font>
    <font>
      <vertAlign val="superscript"/>
      <sz val="9"/>
      <name val="바탕체"/>
      <family val="1"/>
    </font>
    <font>
      <sz val="10"/>
      <name val="바탕체"/>
      <family val="1"/>
    </font>
    <font>
      <b/>
      <sz val="9"/>
      <color indexed="10"/>
      <name val="바탕체"/>
      <family val="1"/>
    </font>
    <font>
      <b/>
      <sz val="9"/>
      <name val="바탕체"/>
      <family val="1"/>
    </font>
    <font>
      <sz val="9"/>
      <color indexed="10"/>
      <name val="바탕체"/>
      <family val="1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thin"/>
      <top style="double"/>
      <bottom style="double"/>
    </border>
    <border>
      <left style="medium"/>
      <right style="thin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180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 horizontal="center"/>
    </xf>
    <xf numFmtId="0" fontId="4" fillId="0" borderId="0" xfId="0" applyFont="1" applyAlignment="1" quotePrefix="1">
      <alignment horizontal="left"/>
    </xf>
    <xf numFmtId="18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8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82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/>
    </xf>
    <xf numFmtId="20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center"/>
    </xf>
    <xf numFmtId="189" fontId="1" fillId="0" borderId="0" xfId="0" applyNumberFormat="1" applyFont="1" applyAlignment="1">
      <alignment/>
    </xf>
    <xf numFmtId="0" fontId="9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wrapText="1"/>
    </xf>
    <xf numFmtId="3" fontId="11" fillId="3" borderId="1" xfId="0" applyNumberFormat="1" applyFont="1" applyFill="1" applyBorder="1" applyAlignment="1">
      <alignment horizontal="center" wrapText="1"/>
    </xf>
    <xf numFmtId="3" fontId="11" fillId="0" borderId="1" xfId="0" applyNumberFormat="1" applyFont="1" applyBorder="1" applyAlignment="1">
      <alignment horizontal="center" wrapText="1"/>
    </xf>
    <xf numFmtId="0" fontId="11" fillId="3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13" fillId="3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89" fontId="5" fillId="0" borderId="0" xfId="0" applyNumberFormat="1" applyFont="1" applyAlignment="1">
      <alignment/>
    </xf>
    <xf numFmtId="0" fontId="11" fillId="4" borderId="1" xfId="0" applyFont="1" applyFill="1" applyBorder="1" applyAlignment="1">
      <alignment horizontal="center" wrapText="1"/>
    </xf>
    <xf numFmtId="3" fontId="11" fillId="4" borderId="1" xfId="0" applyNumberFormat="1" applyFont="1" applyFill="1" applyBorder="1" applyAlignment="1">
      <alignment horizontal="center" wrapText="1"/>
    </xf>
    <xf numFmtId="0" fontId="0" fillId="4" borderId="0" xfId="0" applyFill="1" applyAlignment="1">
      <alignment/>
    </xf>
    <xf numFmtId="0" fontId="1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41" fontId="14" fillId="0" borderId="0" xfId="17" applyFont="1" applyAlignment="1">
      <alignment horizontal="center"/>
    </xf>
    <xf numFmtId="41" fontId="14" fillId="0" borderId="0" xfId="17" applyFont="1" applyAlignment="1">
      <alignment/>
    </xf>
    <xf numFmtId="0" fontId="14" fillId="0" borderId="0" xfId="0" applyFont="1" applyAlignment="1" quotePrefix="1">
      <alignment/>
    </xf>
    <xf numFmtId="0" fontId="14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Alignment="1" quotePrefix="1">
      <alignment/>
    </xf>
    <xf numFmtId="18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3" fontId="14" fillId="0" borderId="0" xfId="0" applyNumberFormat="1" applyFont="1" applyAlignment="1">
      <alignment/>
    </xf>
    <xf numFmtId="0" fontId="15" fillId="0" borderId="0" xfId="0" applyFont="1" applyAlignment="1">
      <alignment horizontal="left"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 quotePrefix="1">
      <alignment/>
    </xf>
    <xf numFmtId="180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196" fontId="14" fillId="0" borderId="0" xfId="0" applyNumberFormat="1" applyFont="1" applyAlignment="1">
      <alignment horizontal="center"/>
    </xf>
    <xf numFmtId="180" fontId="5" fillId="0" borderId="0" xfId="0" applyNumberFormat="1" applyFont="1" applyAlignment="1">
      <alignment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2" fontId="1" fillId="5" borderId="8" xfId="0" applyNumberFormat="1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82" fontId="1" fillId="0" borderId="0" xfId="0" applyNumberFormat="1" applyFont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2" fontId="1" fillId="5" borderId="9" xfId="0" applyNumberFormat="1" applyFont="1" applyFill="1" applyBorder="1" applyAlignment="1">
      <alignment horizontal="center"/>
    </xf>
    <xf numFmtId="2" fontId="1" fillId="5" borderId="10" xfId="0" applyNumberFormat="1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2" fontId="1" fillId="5" borderId="14" xfId="0" applyNumberFormat="1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2" fontId="1" fillId="5" borderId="4" xfId="0" applyNumberFormat="1" applyFont="1" applyFill="1" applyBorder="1" applyAlignment="1">
      <alignment horizontal="center"/>
    </xf>
    <xf numFmtId="2" fontId="1" fillId="5" borderId="7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18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5" fillId="5" borderId="36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85" fontId="14" fillId="0" borderId="0" xfId="0" applyNumberFormat="1" applyFont="1" applyAlignment="1">
      <alignment horizontal="center"/>
    </xf>
    <xf numFmtId="41" fontId="14" fillId="0" borderId="0" xfId="0" applyNumberFormat="1" applyFont="1" applyAlignment="1">
      <alignment horizontal="center"/>
    </xf>
    <xf numFmtId="182" fontId="14" fillId="0" borderId="0" xfId="0" applyNumberFormat="1" applyFont="1" applyAlignment="1">
      <alignment horizontal="left"/>
    </xf>
    <xf numFmtId="41" fontId="14" fillId="0" borderId="0" xfId="17" applyFont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5" fillId="5" borderId="43" xfId="0" applyNumberFormat="1" applyFont="1" applyFill="1" applyBorder="1" applyAlignment="1">
      <alignment horizontal="center" vertical="center"/>
    </xf>
    <xf numFmtId="0" fontId="5" fillId="5" borderId="44" xfId="0" applyNumberFormat="1" applyFont="1" applyFill="1" applyBorder="1" applyAlignment="1">
      <alignment horizontal="center" vertical="center"/>
    </xf>
    <xf numFmtId="0" fontId="5" fillId="5" borderId="45" xfId="0" applyNumberFormat="1" applyFont="1" applyFill="1" applyBorder="1" applyAlignment="1">
      <alignment horizontal="center" vertical="center"/>
    </xf>
    <xf numFmtId="0" fontId="5" fillId="5" borderId="46" xfId="0" applyNumberFormat="1" applyFont="1" applyFill="1" applyBorder="1" applyAlignment="1">
      <alignment horizontal="center" vertical="center"/>
    </xf>
    <xf numFmtId="0" fontId="5" fillId="5" borderId="47" xfId="0" applyNumberFormat="1" applyFont="1" applyFill="1" applyBorder="1" applyAlignment="1">
      <alignment horizontal="center" vertical="center"/>
    </xf>
    <xf numFmtId="0" fontId="5" fillId="5" borderId="48" xfId="0" applyNumberFormat="1" applyFont="1" applyFill="1" applyBorder="1" applyAlignment="1">
      <alignment horizontal="center" vertical="center"/>
    </xf>
    <xf numFmtId="0" fontId="5" fillId="5" borderId="49" xfId="0" applyNumberFormat="1" applyFont="1" applyFill="1" applyBorder="1" applyAlignment="1">
      <alignment horizontal="center" vertical="center"/>
    </xf>
    <xf numFmtId="0" fontId="5" fillId="5" borderId="50" xfId="0" applyNumberFormat="1" applyFont="1" applyFill="1" applyBorder="1" applyAlignment="1">
      <alignment horizontal="center" vertical="center"/>
    </xf>
    <xf numFmtId="0" fontId="1" fillId="5" borderId="47" xfId="0" applyNumberFormat="1" applyFont="1" applyFill="1" applyBorder="1" applyAlignment="1">
      <alignment horizontal="center" vertical="center"/>
    </xf>
    <xf numFmtId="0" fontId="1" fillId="5" borderId="48" xfId="0" applyNumberFormat="1" applyFont="1" applyFill="1" applyBorder="1" applyAlignment="1">
      <alignment horizontal="center" vertical="center"/>
    </xf>
    <xf numFmtId="0" fontId="1" fillId="5" borderId="44" xfId="0" applyNumberFormat="1" applyFont="1" applyFill="1" applyBorder="1" applyAlignment="1">
      <alignment horizontal="center" vertical="center"/>
    </xf>
    <xf numFmtId="0" fontId="1" fillId="5" borderId="49" xfId="0" applyNumberFormat="1" applyFont="1" applyFill="1" applyBorder="1" applyAlignment="1">
      <alignment horizontal="center" vertical="center"/>
    </xf>
    <xf numFmtId="0" fontId="1" fillId="5" borderId="50" xfId="0" applyNumberFormat="1" applyFont="1" applyFill="1" applyBorder="1" applyAlignment="1">
      <alignment horizontal="center" vertical="center"/>
    </xf>
    <xf numFmtId="0" fontId="1" fillId="5" borderId="46" xfId="0" applyNumberFormat="1" applyFont="1" applyFill="1" applyBorder="1" applyAlignment="1">
      <alignment horizontal="center" vertical="center"/>
    </xf>
    <xf numFmtId="0" fontId="1" fillId="5" borderId="51" xfId="0" applyNumberFormat="1" applyFont="1" applyFill="1" applyBorder="1" applyAlignment="1">
      <alignment horizontal="center" vertical="center"/>
    </xf>
    <xf numFmtId="0" fontId="1" fillId="5" borderId="52" xfId="0" applyNumberFormat="1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184" fontId="1" fillId="0" borderId="0" xfId="0" applyNumberFormat="1" applyFont="1" applyAlignment="1">
      <alignment horizontal="center"/>
    </xf>
    <xf numFmtId="185" fontId="1" fillId="0" borderId="0" xfId="0" applyNumberFormat="1" applyFont="1" applyAlignment="1">
      <alignment horizontal="center"/>
    </xf>
    <xf numFmtId="183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5" borderId="43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center" vertical="center"/>
    </xf>
    <xf numFmtId="0" fontId="5" fillId="5" borderId="47" xfId="0" applyFont="1" applyFill="1" applyBorder="1" applyAlignment="1">
      <alignment horizontal="center" vertical="center"/>
    </xf>
    <xf numFmtId="0" fontId="5" fillId="5" borderId="48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5" fillId="5" borderId="50" xfId="0" applyFont="1" applyFill="1" applyBorder="1" applyAlignment="1">
      <alignment horizontal="center" vertical="center"/>
    </xf>
    <xf numFmtId="0" fontId="1" fillId="5" borderId="47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44" xfId="0" applyFont="1" applyFill="1" applyBorder="1" applyAlignment="1">
      <alignment horizontal="center" vertical="center"/>
    </xf>
    <xf numFmtId="0" fontId="1" fillId="5" borderId="49" xfId="0" applyFont="1" applyFill="1" applyBorder="1" applyAlignment="1">
      <alignment horizontal="center" vertical="center"/>
    </xf>
    <xf numFmtId="0" fontId="1" fillId="5" borderId="50" xfId="0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/>
    </xf>
    <xf numFmtId="182" fontId="5" fillId="5" borderId="47" xfId="0" applyNumberFormat="1" applyFont="1" applyFill="1" applyBorder="1" applyAlignment="1">
      <alignment horizontal="center" vertical="center"/>
    </xf>
    <xf numFmtId="182" fontId="5" fillId="5" borderId="48" xfId="0" applyNumberFormat="1" applyFont="1" applyFill="1" applyBorder="1" applyAlignment="1">
      <alignment horizontal="center" vertical="center"/>
    </xf>
    <xf numFmtId="182" fontId="5" fillId="5" borderId="44" xfId="0" applyNumberFormat="1" applyFont="1" applyFill="1" applyBorder="1" applyAlignment="1">
      <alignment horizontal="center" vertical="center"/>
    </xf>
    <xf numFmtId="182" fontId="5" fillId="5" borderId="49" xfId="0" applyNumberFormat="1" applyFont="1" applyFill="1" applyBorder="1" applyAlignment="1">
      <alignment horizontal="center" vertical="center"/>
    </xf>
    <xf numFmtId="182" fontId="5" fillId="5" borderId="50" xfId="0" applyNumberFormat="1" applyFont="1" applyFill="1" applyBorder="1" applyAlignment="1">
      <alignment horizontal="center" vertical="center"/>
    </xf>
    <xf numFmtId="182" fontId="5" fillId="5" borderId="46" xfId="0" applyNumberFormat="1" applyFont="1" applyFill="1" applyBorder="1" applyAlignment="1">
      <alignment horizontal="center" vertical="center"/>
    </xf>
    <xf numFmtId="180" fontId="5" fillId="5" borderId="47" xfId="0" applyNumberFormat="1" applyFont="1" applyFill="1" applyBorder="1" applyAlignment="1">
      <alignment horizontal="center" vertical="center"/>
    </xf>
    <xf numFmtId="180" fontId="5" fillId="5" borderId="44" xfId="0" applyNumberFormat="1" applyFont="1" applyFill="1" applyBorder="1" applyAlignment="1">
      <alignment horizontal="center" vertical="center"/>
    </xf>
    <xf numFmtId="180" fontId="5" fillId="5" borderId="49" xfId="0" applyNumberFormat="1" applyFont="1" applyFill="1" applyBorder="1" applyAlignment="1">
      <alignment horizontal="center" vertical="center"/>
    </xf>
    <xf numFmtId="180" fontId="5" fillId="5" borderId="46" xfId="0" applyNumberFormat="1" applyFont="1" applyFill="1" applyBorder="1" applyAlignment="1">
      <alignment horizontal="center" vertical="center"/>
    </xf>
    <xf numFmtId="2" fontId="1" fillId="5" borderId="47" xfId="0" applyNumberFormat="1" applyFont="1" applyFill="1" applyBorder="1" applyAlignment="1">
      <alignment horizontal="center" vertical="center"/>
    </xf>
    <xf numFmtId="2" fontId="1" fillId="5" borderId="51" xfId="0" applyNumberFormat="1" applyFont="1" applyFill="1" applyBorder="1" applyAlignment="1">
      <alignment horizontal="center" vertical="center"/>
    </xf>
    <xf numFmtId="2" fontId="1" fillId="5" borderId="49" xfId="0" applyNumberFormat="1" applyFont="1" applyFill="1" applyBorder="1" applyAlignment="1">
      <alignment horizontal="center" vertical="center"/>
    </xf>
    <xf numFmtId="2" fontId="1" fillId="5" borderId="52" xfId="0" applyNumberFormat="1" applyFont="1" applyFill="1" applyBorder="1" applyAlignment="1">
      <alignment horizontal="center" vertical="center"/>
    </xf>
    <xf numFmtId="0" fontId="1" fillId="5" borderId="55" xfId="0" applyFont="1" applyFill="1" applyBorder="1" applyAlignment="1">
      <alignment horizontal="center" vertical="center"/>
    </xf>
    <xf numFmtId="0" fontId="1" fillId="5" borderId="56" xfId="0" applyFont="1" applyFill="1" applyBorder="1" applyAlignment="1">
      <alignment horizontal="center" vertical="center"/>
    </xf>
    <xf numFmtId="0" fontId="1" fillId="5" borderId="57" xfId="0" applyFont="1" applyFill="1" applyBorder="1" applyAlignment="1">
      <alignment horizontal="center" vertical="center"/>
    </xf>
    <xf numFmtId="0" fontId="1" fillId="5" borderId="58" xfId="0" applyFont="1" applyFill="1" applyBorder="1" applyAlignment="1">
      <alignment horizontal="center" vertical="center"/>
    </xf>
    <xf numFmtId="0" fontId="5" fillId="5" borderId="55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182" fontId="5" fillId="5" borderId="55" xfId="0" applyNumberFormat="1" applyFont="1" applyFill="1" applyBorder="1" applyAlignment="1">
      <alignment horizontal="center" vertical="center"/>
    </xf>
    <xf numFmtId="182" fontId="5" fillId="5" borderId="57" xfId="0" applyNumberFormat="1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/>
    </xf>
    <xf numFmtId="0" fontId="1" fillId="0" borderId="59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5" fillId="5" borderId="63" xfId="0" applyFont="1" applyFill="1" applyBorder="1" applyAlignment="1">
      <alignment horizontal="center" vertical="center"/>
    </xf>
    <xf numFmtId="0" fontId="5" fillId="5" borderId="64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wrapText="1"/>
    </xf>
    <xf numFmtId="0" fontId="5" fillId="5" borderId="65" xfId="0" applyNumberFormat="1" applyFont="1" applyFill="1" applyBorder="1" applyAlignment="1">
      <alignment horizontal="center" vertical="center"/>
    </xf>
    <xf numFmtId="0" fontId="5" fillId="5" borderId="66" xfId="0" applyNumberFormat="1" applyFont="1" applyFill="1" applyBorder="1" applyAlignment="1">
      <alignment horizontal="center" vertical="center"/>
    </xf>
    <xf numFmtId="3" fontId="5" fillId="5" borderId="67" xfId="0" applyNumberFormat="1" applyFont="1" applyFill="1" applyBorder="1" applyAlignment="1">
      <alignment horizontal="center" vertical="center"/>
    </xf>
    <xf numFmtId="0" fontId="5" fillId="5" borderId="67" xfId="0" applyNumberFormat="1" applyFont="1" applyFill="1" applyBorder="1" applyAlignment="1">
      <alignment horizontal="center" vertical="center"/>
    </xf>
    <xf numFmtId="0" fontId="5" fillId="5" borderId="35" xfId="0" applyNumberFormat="1" applyFont="1" applyFill="1" applyBorder="1" applyAlignment="1">
      <alignment horizontal="center" vertical="center"/>
    </xf>
    <xf numFmtId="0" fontId="5" fillId="5" borderId="68" xfId="0" applyNumberFormat="1" applyFont="1" applyFill="1" applyBorder="1" applyAlignment="1">
      <alignment horizontal="center" vertical="center"/>
    </xf>
    <xf numFmtId="0" fontId="5" fillId="5" borderId="36" xfId="0" applyNumberFormat="1" applyFont="1" applyFill="1" applyBorder="1" applyAlignment="1">
      <alignment horizontal="center" vertical="center"/>
    </xf>
    <xf numFmtId="3" fontId="1" fillId="5" borderId="69" xfId="0" applyNumberFormat="1" applyFont="1" applyFill="1" applyBorder="1" applyAlignment="1">
      <alignment horizontal="center" vertical="center"/>
    </xf>
    <xf numFmtId="0" fontId="1" fillId="5" borderId="66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5" fillId="5" borderId="69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wrapText="1"/>
    </xf>
    <xf numFmtId="3" fontId="14" fillId="0" borderId="0" xfId="0" applyNumberFormat="1" applyFont="1" applyAlignment="1">
      <alignment horizontal="center"/>
    </xf>
    <xf numFmtId="182" fontId="14" fillId="0" borderId="0" xfId="0" applyNumberFormat="1" applyFont="1" applyAlignment="1">
      <alignment horizontal="center"/>
    </xf>
    <xf numFmtId="196" fontId="14" fillId="0" borderId="0" xfId="0" applyNumberFormat="1" applyFont="1" applyAlignment="1">
      <alignment horizontal="center"/>
    </xf>
    <xf numFmtId="0" fontId="11" fillId="3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9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330</xdr:row>
      <xdr:rowOff>9525</xdr:rowOff>
    </xdr:from>
    <xdr:to>
      <xdr:col>13</xdr:col>
      <xdr:colOff>171450</xdr:colOff>
      <xdr:row>330</xdr:row>
      <xdr:rowOff>133350</xdr:rowOff>
    </xdr:to>
    <xdr:grpSp>
      <xdr:nvGrpSpPr>
        <xdr:cNvPr id="1" name="Group 31"/>
        <xdr:cNvGrpSpPr>
          <a:grpSpLocks/>
        </xdr:cNvGrpSpPr>
      </xdr:nvGrpSpPr>
      <xdr:grpSpPr>
        <a:xfrm>
          <a:off x="3171825" y="50653950"/>
          <a:ext cx="1333500" cy="123825"/>
          <a:chOff x="307" y="5099"/>
          <a:chExt cx="140" cy="14"/>
        </a:xfrm>
        <a:solidFill>
          <a:srgbClr val="FFFFFF"/>
        </a:solidFill>
      </xdr:grpSpPr>
      <xdr:sp>
        <xdr:nvSpPr>
          <xdr:cNvPr id="2" name="Line 27"/>
          <xdr:cNvSpPr>
            <a:spLocks/>
          </xdr:cNvSpPr>
        </xdr:nvSpPr>
        <xdr:spPr>
          <a:xfrm>
            <a:off x="307" y="5109"/>
            <a:ext cx="4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" name="Line 28"/>
          <xdr:cNvSpPr>
            <a:spLocks/>
          </xdr:cNvSpPr>
        </xdr:nvSpPr>
        <xdr:spPr>
          <a:xfrm flipV="1">
            <a:off x="311" y="5099"/>
            <a:ext cx="5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" name="Line 30"/>
          <xdr:cNvSpPr>
            <a:spLocks/>
          </xdr:cNvSpPr>
        </xdr:nvSpPr>
        <xdr:spPr>
          <a:xfrm>
            <a:off x="316" y="5099"/>
            <a:ext cx="1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4</xdr:col>
      <xdr:colOff>171450</xdr:colOff>
      <xdr:row>348</xdr:row>
      <xdr:rowOff>9525</xdr:rowOff>
    </xdr:from>
    <xdr:to>
      <xdr:col>8</xdr:col>
      <xdr:colOff>171450</xdr:colOff>
      <xdr:row>348</xdr:row>
      <xdr:rowOff>142875</xdr:rowOff>
    </xdr:to>
    <xdr:grpSp>
      <xdr:nvGrpSpPr>
        <xdr:cNvPr id="5" name="Group 33"/>
        <xdr:cNvGrpSpPr>
          <a:grpSpLocks/>
        </xdr:cNvGrpSpPr>
      </xdr:nvGrpSpPr>
      <xdr:grpSpPr>
        <a:xfrm>
          <a:off x="1504950" y="53549550"/>
          <a:ext cx="1333500" cy="133350"/>
          <a:chOff x="307" y="5099"/>
          <a:chExt cx="140" cy="14"/>
        </a:xfrm>
        <a:solidFill>
          <a:srgbClr val="FFFFFF"/>
        </a:solidFill>
      </xdr:grpSpPr>
      <xdr:sp>
        <xdr:nvSpPr>
          <xdr:cNvPr id="6" name="Line 34"/>
          <xdr:cNvSpPr>
            <a:spLocks/>
          </xdr:cNvSpPr>
        </xdr:nvSpPr>
        <xdr:spPr>
          <a:xfrm>
            <a:off x="307" y="5109"/>
            <a:ext cx="4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" name="Line 35"/>
          <xdr:cNvSpPr>
            <a:spLocks/>
          </xdr:cNvSpPr>
        </xdr:nvSpPr>
        <xdr:spPr>
          <a:xfrm flipV="1">
            <a:off x="311" y="5099"/>
            <a:ext cx="5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" name="Line 36"/>
          <xdr:cNvSpPr>
            <a:spLocks/>
          </xdr:cNvSpPr>
        </xdr:nvSpPr>
        <xdr:spPr>
          <a:xfrm>
            <a:off x="316" y="5099"/>
            <a:ext cx="1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5</xdr:col>
      <xdr:colOff>171450</xdr:colOff>
      <xdr:row>399</xdr:row>
      <xdr:rowOff>9525</xdr:rowOff>
    </xdr:from>
    <xdr:to>
      <xdr:col>9</xdr:col>
      <xdr:colOff>171450</xdr:colOff>
      <xdr:row>399</xdr:row>
      <xdr:rowOff>142875</xdr:rowOff>
    </xdr:to>
    <xdr:grpSp>
      <xdr:nvGrpSpPr>
        <xdr:cNvPr id="9" name="Group 37"/>
        <xdr:cNvGrpSpPr>
          <a:grpSpLocks/>
        </xdr:cNvGrpSpPr>
      </xdr:nvGrpSpPr>
      <xdr:grpSpPr>
        <a:xfrm>
          <a:off x="1838325" y="61702950"/>
          <a:ext cx="1333500" cy="133350"/>
          <a:chOff x="307" y="5099"/>
          <a:chExt cx="140" cy="14"/>
        </a:xfrm>
        <a:solidFill>
          <a:srgbClr val="FFFFFF"/>
        </a:solidFill>
      </xdr:grpSpPr>
      <xdr:sp>
        <xdr:nvSpPr>
          <xdr:cNvPr id="10" name="Line 38"/>
          <xdr:cNvSpPr>
            <a:spLocks/>
          </xdr:cNvSpPr>
        </xdr:nvSpPr>
        <xdr:spPr>
          <a:xfrm>
            <a:off x="307" y="5109"/>
            <a:ext cx="4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" name="Line 39"/>
          <xdr:cNvSpPr>
            <a:spLocks/>
          </xdr:cNvSpPr>
        </xdr:nvSpPr>
        <xdr:spPr>
          <a:xfrm flipV="1">
            <a:off x="311" y="5099"/>
            <a:ext cx="5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" name="Line 40"/>
          <xdr:cNvSpPr>
            <a:spLocks/>
          </xdr:cNvSpPr>
        </xdr:nvSpPr>
        <xdr:spPr>
          <a:xfrm>
            <a:off x="316" y="5099"/>
            <a:ext cx="1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5</xdr:col>
      <xdr:colOff>171450</xdr:colOff>
      <xdr:row>400</xdr:row>
      <xdr:rowOff>9525</xdr:rowOff>
    </xdr:from>
    <xdr:to>
      <xdr:col>9</xdr:col>
      <xdr:colOff>171450</xdr:colOff>
      <xdr:row>400</xdr:row>
      <xdr:rowOff>142875</xdr:rowOff>
    </xdr:to>
    <xdr:grpSp>
      <xdr:nvGrpSpPr>
        <xdr:cNvPr id="13" name="Group 41"/>
        <xdr:cNvGrpSpPr>
          <a:grpSpLocks/>
        </xdr:cNvGrpSpPr>
      </xdr:nvGrpSpPr>
      <xdr:grpSpPr>
        <a:xfrm>
          <a:off x="1838325" y="61874400"/>
          <a:ext cx="1333500" cy="133350"/>
          <a:chOff x="307" y="5099"/>
          <a:chExt cx="140" cy="14"/>
        </a:xfrm>
        <a:solidFill>
          <a:srgbClr val="FFFFFF"/>
        </a:solidFill>
      </xdr:grpSpPr>
      <xdr:sp>
        <xdr:nvSpPr>
          <xdr:cNvPr id="14" name="Line 42"/>
          <xdr:cNvSpPr>
            <a:spLocks/>
          </xdr:cNvSpPr>
        </xdr:nvSpPr>
        <xdr:spPr>
          <a:xfrm>
            <a:off x="307" y="5109"/>
            <a:ext cx="4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" name="Line 43"/>
          <xdr:cNvSpPr>
            <a:spLocks/>
          </xdr:cNvSpPr>
        </xdr:nvSpPr>
        <xdr:spPr>
          <a:xfrm flipV="1">
            <a:off x="311" y="5099"/>
            <a:ext cx="5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" name="Line 44"/>
          <xdr:cNvSpPr>
            <a:spLocks/>
          </xdr:cNvSpPr>
        </xdr:nvSpPr>
        <xdr:spPr>
          <a:xfrm>
            <a:off x="316" y="5099"/>
            <a:ext cx="1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0</xdr:colOff>
      <xdr:row>556</xdr:row>
      <xdr:rowOff>0</xdr:rowOff>
    </xdr:from>
    <xdr:to>
      <xdr:col>13</xdr:col>
      <xdr:colOff>0</xdr:colOff>
      <xdr:row>558</xdr:row>
      <xdr:rowOff>9525</xdr:rowOff>
    </xdr:to>
    <xdr:pic>
      <xdr:nvPicPr>
        <xdr:cNvPr id="1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86506050"/>
          <a:ext cx="3667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33</xdr:row>
      <xdr:rowOff>76200</xdr:rowOff>
    </xdr:from>
    <xdr:to>
      <xdr:col>16</xdr:col>
      <xdr:colOff>323850</xdr:colOff>
      <xdr:row>61</xdr:row>
      <xdr:rowOff>76200</xdr:rowOff>
    </xdr:to>
    <xdr:pic>
      <xdr:nvPicPr>
        <xdr:cNvPr id="18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4914900"/>
          <a:ext cx="4676775" cy="400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8"/>
  <sheetViews>
    <sheetView showGridLines="0" tabSelected="1" view="pageBreakPreview" zoomScaleSheetLayoutView="100" workbookViewId="0" topLeftCell="A341">
      <selection activeCell="A158" sqref="A158"/>
    </sheetView>
  </sheetViews>
  <sheetFormatPr defaultColWidth="8.88671875" defaultRowHeight="13.5"/>
  <cols>
    <col min="1" max="32" width="3.88671875" style="1" customWidth="1"/>
    <col min="33" max="16384" width="8.88671875" style="1" customWidth="1"/>
  </cols>
  <sheetData>
    <row r="1" ht="18.75">
      <c r="A1" s="2" t="s">
        <v>0</v>
      </c>
    </row>
    <row r="2" ht="11.25">
      <c r="A2" s="1" t="s">
        <v>17</v>
      </c>
    </row>
    <row r="3" spans="1:20" ht="13.5" customHeight="1">
      <c r="A3" s="212" t="s">
        <v>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</row>
    <row r="4" ht="11.25"/>
    <row r="5" ht="11.25"/>
    <row r="6" ht="11.25"/>
    <row r="7" ht="11.25"/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spans="1:20" ht="11.2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</row>
    <row r="31" ht="11.25"/>
    <row r="32" spans="1:20" ht="11.25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</row>
    <row r="33" spans="1:20" ht="11.25">
      <c r="A33" s="212" t="s">
        <v>2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</row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>
      <c r="A63" s="1" t="s">
        <v>3</v>
      </c>
    </row>
    <row r="64" spans="1:13" ht="11.25">
      <c r="A64" s="1" t="s">
        <v>11</v>
      </c>
      <c r="L64" s="13">
        <v>25</v>
      </c>
      <c r="M64" s="1" t="s">
        <v>12</v>
      </c>
    </row>
    <row r="66" spans="2:3" ht="11.25">
      <c r="B66" s="94"/>
      <c r="C66" s="94"/>
    </row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7" ht="11.25">
      <c r="I87" s="1" t="s">
        <v>7</v>
      </c>
    </row>
    <row r="89" ht="11.25">
      <c r="B89" s="1" t="s">
        <v>8</v>
      </c>
    </row>
    <row r="90" spans="3:12" ht="11.25">
      <c r="C90" s="1" t="s">
        <v>4</v>
      </c>
      <c r="E90" s="6">
        <v>4.55</v>
      </c>
      <c r="F90" s="1" t="s">
        <v>5</v>
      </c>
      <c r="I90" s="1" t="s">
        <v>6</v>
      </c>
      <c r="K90" s="6">
        <v>4</v>
      </c>
      <c r="L90" s="1" t="s">
        <v>5</v>
      </c>
    </row>
    <row r="92" ht="11.25">
      <c r="B92" s="1" t="s">
        <v>9</v>
      </c>
    </row>
    <row r="93" spans="3:13" ht="11.25">
      <c r="C93" s="1" t="s">
        <v>467</v>
      </c>
      <c r="F93" s="46">
        <v>5</v>
      </c>
      <c r="G93" s="1" t="s">
        <v>5</v>
      </c>
      <c r="I93" s="1" t="s">
        <v>468</v>
      </c>
      <c r="L93" s="46">
        <v>4.5</v>
      </c>
      <c r="M93" s="1" t="s">
        <v>5</v>
      </c>
    </row>
    <row r="95" ht="11.25">
      <c r="C95" s="1" t="s">
        <v>10</v>
      </c>
    </row>
    <row r="97" ht="11.25">
      <c r="C97" s="1" t="s">
        <v>462</v>
      </c>
    </row>
    <row r="99" spans="3:18" ht="11.25">
      <c r="C99" s="1" t="s">
        <v>18</v>
      </c>
      <c r="F99" s="3">
        <f>L64</f>
        <v>25</v>
      </c>
      <c r="G99" s="1" t="s">
        <v>13</v>
      </c>
      <c r="I99" s="1" t="s">
        <v>37</v>
      </c>
      <c r="L99" s="13">
        <v>15</v>
      </c>
      <c r="M99" s="1" t="s">
        <v>13</v>
      </c>
      <c r="O99" s="1" t="s">
        <v>19</v>
      </c>
      <c r="Q99" s="1">
        <f>F99+L99</f>
        <v>40</v>
      </c>
      <c r="R99" s="1" t="s">
        <v>13</v>
      </c>
    </row>
    <row r="101" spans="3:13" ht="11.25">
      <c r="C101" s="1" t="s">
        <v>35</v>
      </c>
      <c r="F101" s="3">
        <f>Q99</f>
        <v>40</v>
      </c>
      <c r="G101" s="3" t="s">
        <v>14</v>
      </c>
      <c r="H101" s="3">
        <v>0.7</v>
      </c>
      <c r="I101" s="3" t="s">
        <v>14</v>
      </c>
      <c r="J101" s="3">
        <v>1.2</v>
      </c>
      <c r="K101" s="1" t="s">
        <v>15</v>
      </c>
      <c r="L101" s="1">
        <f>ROUND(F101*H101*J101,2)</f>
        <v>33.6</v>
      </c>
      <c r="M101" s="1" t="s">
        <v>13</v>
      </c>
    </row>
    <row r="103" spans="3:9" ht="11.25">
      <c r="C103" s="1" t="s">
        <v>423</v>
      </c>
      <c r="F103" s="1">
        <v>10</v>
      </c>
      <c r="H103" s="1" t="s">
        <v>461</v>
      </c>
      <c r="I103" s="3"/>
    </row>
    <row r="105" ht="11.25">
      <c r="A105" s="1" t="s">
        <v>460</v>
      </c>
    </row>
    <row r="107" spans="2:15" ht="12" thickBot="1">
      <c r="B107" s="1" t="s">
        <v>16</v>
      </c>
      <c r="E107" s="47" t="s">
        <v>424</v>
      </c>
      <c r="F107" s="13">
        <v>588</v>
      </c>
      <c r="G107" s="13" t="s">
        <v>425</v>
      </c>
      <c r="H107" s="13">
        <v>300</v>
      </c>
      <c r="I107" s="13" t="s">
        <v>425</v>
      </c>
      <c r="J107" s="13">
        <v>12</v>
      </c>
      <c r="K107" s="13" t="s">
        <v>425</v>
      </c>
      <c r="L107" s="13">
        <v>20</v>
      </c>
      <c r="M107" s="3"/>
      <c r="N107" s="3"/>
      <c r="O107" s="3"/>
    </row>
    <row r="108" spans="2:18" ht="25.5" customHeight="1" thickBot="1">
      <c r="B108" s="213" t="s">
        <v>20</v>
      </c>
      <c r="C108" s="214"/>
      <c r="D108" s="214" t="s">
        <v>21</v>
      </c>
      <c r="E108" s="215"/>
      <c r="F108" s="215"/>
      <c r="G108" s="214" t="s">
        <v>22</v>
      </c>
      <c r="H108" s="215"/>
      <c r="I108" s="215"/>
      <c r="J108" s="214" t="s">
        <v>23</v>
      </c>
      <c r="K108" s="215"/>
      <c r="L108" s="215"/>
      <c r="M108" s="214" t="s">
        <v>26</v>
      </c>
      <c r="N108" s="215"/>
      <c r="O108" s="214" t="s">
        <v>24</v>
      </c>
      <c r="P108" s="215"/>
      <c r="Q108" s="214" t="s">
        <v>25</v>
      </c>
      <c r="R108" s="216"/>
    </row>
    <row r="109" spans="2:18" ht="12.75" thickBot="1" thickTop="1">
      <c r="B109" s="219">
        <f>강제제원표!F74</f>
        <v>192.5</v>
      </c>
      <c r="C109" s="208"/>
      <c r="D109" s="208">
        <f>강제제원표!G74</f>
        <v>151</v>
      </c>
      <c r="E109" s="208"/>
      <c r="F109" s="208"/>
      <c r="G109" s="204">
        <f>F107*J107/100</f>
        <v>70.56</v>
      </c>
      <c r="H109" s="204"/>
      <c r="I109" s="204"/>
      <c r="J109" s="210">
        <f>강제제원표!H74</f>
        <v>118000</v>
      </c>
      <c r="K109" s="210"/>
      <c r="L109" s="210"/>
      <c r="M109" s="208">
        <f>강제제원표!J74</f>
        <v>24.8</v>
      </c>
      <c r="N109" s="208"/>
      <c r="O109" s="210">
        <f>강제제원표!L74</f>
        <v>4020</v>
      </c>
      <c r="P109" s="210"/>
      <c r="Q109" s="204">
        <f>F93*100</f>
        <v>500</v>
      </c>
      <c r="R109" s="205"/>
    </row>
    <row r="110" spans="2:18" ht="12.75" thickBot="1" thickTop="1">
      <c r="B110" s="220"/>
      <c r="C110" s="209"/>
      <c r="D110" s="209"/>
      <c r="E110" s="209"/>
      <c r="F110" s="209"/>
      <c r="G110" s="206"/>
      <c r="H110" s="206"/>
      <c r="I110" s="206"/>
      <c r="J110" s="211"/>
      <c r="K110" s="211"/>
      <c r="L110" s="211"/>
      <c r="M110" s="209"/>
      <c r="N110" s="209"/>
      <c r="O110" s="211"/>
      <c r="P110" s="211"/>
      <c r="Q110" s="206"/>
      <c r="R110" s="207"/>
    </row>
    <row r="112" ht="11.25">
      <c r="B112" s="1" t="s">
        <v>27</v>
      </c>
    </row>
    <row r="113" ht="11.25">
      <c r="B113" s="1" t="s">
        <v>450</v>
      </c>
    </row>
    <row r="114" spans="3:16" ht="11.25">
      <c r="C114" s="1" t="s">
        <v>28</v>
      </c>
      <c r="D114" s="48">
        <v>187.6</v>
      </c>
      <c r="E114" s="1" t="s">
        <v>81</v>
      </c>
      <c r="F114" s="3" t="s">
        <v>30</v>
      </c>
      <c r="G114" s="7">
        <v>2</v>
      </c>
      <c r="H114" s="1" t="s">
        <v>31</v>
      </c>
      <c r="I114" s="3">
        <f>D109</f>
        <v>151</v>
      </c>
      <c r="J114" s="1" t="s">
        <v>32</v>
      </c>
      <c r="K114" s="3" t="s">
        <v>33</v>
      </c>
      <c r="L114" s="1">
        <f>ROUND((D114*G114+I114),2)</f>
        <v>526.2</v>
      </c>
      <c r="M114" s="1" t="s">
        <v>32</v>
      </c>
      <c r="N114" s="3" t="s">
        <v>33</v>
      </c>
      <c r="O114" s="1">
        <f>L114/100</f>
        <v>5.2620000000000005</v>
      </c>
      <c r="P114" s="1" t="s">
        <v>40</v>
      </c>
    </row>
    <row r="115" ht="11.25">
      <c r="B115" s="1" t="s">
        <v>34</v>
      </c>
    </row>
    <row r="116" ht="11.25">
      <c r="C116" s="1" t="s">
        <v>38</v>
      </c>
    </row>
    <row r="118" spans="3:9" ht="11.25">
      <c r="C118" s="1" t="s">
        <v>36</v>
      </c>
      <c r="D118" s="1">
        <f>L101</f>
        <v>33.6</v>
      </c>
      <c r="E118" s="1" t="s">
        <v>13</v>
      </c>
      <c r="F118" s="3" t="s">
        <v>33</v>
      </c>
      <c r="G118" s="95">
        <f>ROUND(D118*1000,0)</f>
        <v>33600</v>
      </c>
      <c r="H118" s="95"/>
      <c r="I118" s="1" t="s">
        <v>47</v>
      </c>
    </row>
    <row r="120" ht="11.25">
      <c r="B120" s="1" t="s">
        <v>39</v>
      </c>
    </row>
    <row r="121" ht="11.25">
      <c r="C121" s="1" t="s">
        <v>463</v>
      </c>
    </row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40" ht="11.25">
      <c r="I140" s="1" t="s">
        <v>464</v>
      </c>
    </row>
    <row r="142" ht="13.5">
      <c r="C142" s="1" t="s">
        <v>41</v>
      </c>
    </row>
    <row r="143" spans="4:16" ht="13.5">
      <c r="D143" s="1" t="s">
        <v>33</v>
      </c>
      <c r="E143" s="1">
        <f>O114</f>
        <v>5.2620000000000005</v>
      </c>
      <c r="F143" s="3" t="s">
        <v>14</v>
      </c>
      <c r="G143" s="3">
        <f>F93*100</f>
        <v>500</v>
      </c>
      <c r="H143" s="10" t="s">
        <v>44</v>
      </c>
      <c r="I143" s="3">
        <v>8</v>
      </c>
      <c r="J143" s="3" t="s">
        <v>43</v>
      </c>
      <c r="K143" s="95">
        <f>G118</f>
        <v>33600</v>
      </c>
      <c r="L143" s="95"/>
      <c r="M143" s="3" t="s">
        <v>14</v>
      </c>
      <c r="N143" s="3">
        <f>F93*100</f>
        <v>500</v>
      </c>
      <c r="O143" s="9" t="s">
        <v>42</v>
      </c>
      <c r="P143" s="3">
        <v>4</v>
      </c>
    </row>
    <row r="144" spans="4:7" ht="11.25">
      <c r="D144" s="1" t="s">
        <v>33</v>
      </c>
      <c r="E144" s="95">
        <f>ROUND((E143*G143^2)/8+(K143*N143/4),0)</f>
        <v>4364438</v>
      </c>
      <c r="F144" s="95"/>
      <c r="G144" s="1" t="s">
        <v>45</v>
      </c>
    </row>
    <row r="146" spans="3:15" ht="11.25">
      <c r="C146" s="1" t="s">
        <v>46</v>
      </c>
      <c r="F146" s="3" t="s">
        <v>33</v>
      </c>
      <c r="G146" s="95">
        <f>E144</f>
        <v>4364438</v>
      </c>
      <c r="H146" s="95"/>
      <c r="I146" s="9" t="s">
        <v>42</v>
      </c>
      <c r="J146" s="95">
        <f>O109</f>
        <v>4020</v>
      </c>
      <c r="K146" s="95"/>
      <c r="L146" s="3" t="s">
        <v>33</v>
      </c>
      <c r="M146" s="94">
        <f>ROUND(G146/J146,2)</f>
        <v>1085.68</v>
      </c>
      <c r="N146" s="94"/>
      <c r="O146" s="1" t="s">
        <v>29</v>
      </c>
    </row>
    <row r="148" spans="3:15" ht="11.25">
      <c r="C148" s="1" t="s">
        <v>48</v>
      </c>
      <c r="D148" s="1" t="s">
        <v>50</v>
      </c>
      <c r="E148" s="3"/>
      <c r="F148" s="11"/>
      <c r="G148" s="11">
        <f>F93*100</f>
        <v>500</v>
      </c>
      <c r="H148" s="9" t="s">
        <v>42</v>
      </c>
      <c r="I148" s="3">
        <f>H107/10</f>
        <v>30</v>
      </c>
      <c r="J148" s="3" t="s">
        <v>49</v>
      </c>
      <c r="K148" s="1" t="s">
        <v>51</v>
      </c>
      <c r="L148" s="3" t="s">
        <v>33</v>
      </c>
      <c r="M148" s="175">
        <f>ROUND(1.5*(1400-24*(G148/I148-4.5)),2)</f>
        <v>1662</v>
      </c>
      <c r="N148" s="175"/>
      <c r="O148" s="1" t="s">
        <v>29</v>
      </c>
    </row>
    <row r="150" spans="3:13" ht="11.25">
      <c r="C150" s="3" t="s">
        <v>52</v>
      </c>
      <c r="D150" s="3" t="s">
        <v>54</v>
      </c>
      <c r="E150" s="3" t="str">
        <f>IF(M148&gt;M146,"&gt;","&lt;")</f>
        <v>&gt;</v>
      </c>
      <c r="F150" s="3" t="s">
        <v>53</v>
      </c>
      <c r="G150" s="8" t="s">
        <v>55</v>
      </c>
      <c r="M150" s="13" t="str">
        <f>IF(M148&gt;M146,"o.k","n.g")</f>
        <v>o.k</v>
      </c>
    </row>
    <row r="152" ht="11.25">
      <c r="B152" s="1" t="s">
        <v>56</v>
      </c>
    </row>
    <row r="153" ht="11.25">
      <c r="C153" s="1" t="s">
        <v>457</v>
      </c>
    </row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>
      <c r="I166" s="1" t="s">
        <v>464</v>
      </c>
    </row>
    <row r="168" spans="3:14" ht="11.25">
      <c r="C168" s="1" t="s">
        <v>57</v>
      </c>
      <c r="G168" s="1">
        <f>L114</f>
        <v>526.2</v>
      </c>
      <c r="H168" s="3" t="s">
        <v>14</v>
      </c>
      <c r="I168" s="12">
        <f>F93</f>
        <v>5</v>
      </c>
      <c r="J168" s="9" t="s">
        <v>42</v>
      </c>
      <c r="K168" s="3">
        <v>2</v>
      </c>
      <c r="L168" s="3" t="s">
        <v>43</v>
      </c>
      <c r="M168" s="95">
        <f>L101*1000</f>
        <v>33600</v>
      </c>
      <c r="N168" s="95"/>
    </row>
    <row r="169" spans="6:9" ht="11.25">
      <c r="F169" s="1" t="s">
        <v>33</v>
      </c>
      <c r="G169" s="95">
        <f>ROUND((G168*I168/K168+M168),2)</f>
        <v>34915.5</v>
      </c>
      <c r="H169" s="95"/>
      <c r="I169" s="1" t="s">
        <v>47</v>
      </c>
    </row>
    <row r="171" spans="3:15" ht="11.25">
      <c r="C171" s="1" t="s">
        <v>58</v>
      </c>
      <c r="D171" s="1" t="s">
        <v>59</v>
      </c>
      <c r="G171" s="95">
        <f>G169</f>
        <v>34915.5</v>
      </c>
      <c r="H171" s="94"/>
      <c r="I171" s="9" t="s">
        <v>42</v>
      </c>
      <c r="J171" s="94">
        <f>G109</f>
        <v>70.56</v>
      </c>
      <c r="K171" s="94"/>
      <c r="L171" s="3" t="s">
        <v>33</v>
      </c>
      <c r="M171" s="94">
        <f>ROUND(G171/J171,2)</f>
        <v>494.83</v>
      </c>
      <c r="N171" s="94"/>
      <c r="O171" s="1" t="s">
        <v>29</v>
      </c>
    </row>
    <row r="173" spans="3:13" ht="11.25">
      <c r="C173" s="1" t="s">
        <v>60</v>
      </c>
      <c r="E173" s="3">
        <v>800</v>
      </c>
      <c r="F173" s="3" t="s">
        <v>30</v>
      </c>
      <c r="G173" s="3">
        <v>1.5</v>
      </c>
      <c r="H173" s="3" t="s">
        <v>30</v>
      </c>
      <c r="I173" s="3">
        <v>0.9</v>
      </c>
      <c r="J173" s="3" t="s">
        <v>33</v>
      </c>
      <c r="K173" s="95">
        <f>ROUND(E173*G173*I173,0)</f>
        <v>1080</v>
      </c>
      <c r="L173" s="95"/>
      <c r="M173" s="1" t="s">
        <v>29</v>
      </c>
    </row>
    <row r="175" spans="3:13" ht="11.25">
      <c r="C175" s="3" t="s">
        <v>52</v>
      </c>
      <c r="D175" s="3" t="s">
        <v>61</v>
      </c>
      <c r="E175" s="3" t="str">
        <f>IF(K173&gt;M171,"&gt;","&lt;")</f>
        <v>&gt;</v>
      </c>
      <c r="F175" s="3" t="s">
        <v>62</v>
      </c>
      <c r="G175" s="8" t="s">
        <v>55</v>
      </c>
      <c r="M175" s="13" t="str">
        <f>IF(K173&gt;M171,"o.k","n.g")</f>
        <v>o.k</v>
      </c>
    </row>
    <row r="177" ht="11.25">
      <c r="B177" s="1" t="s">
        <v>63</v>
      </c>
    </row>
    <row r="178" ht="11.25">
      <c r="C178" s="1" t="s">
        <v>465</v>
      </c>
    </row>
    <row r="180" ht="13.5">
      <c r="C180" s="1" t="s">
        <v>65</v>
      </c>
    </row>
    <row r="181" spans="4:15" ht="13.5">
      <c r="D181" s="8" t="s">
        <v>66</v>
      </c>
      <c r="E181" s="3">
        <f>O114</f>
        <v>5.2620000000000005</v>
      </c>
      <c r="F181" s="3" t="s">
        <v>30</v>
      </c>
      <c r="G181" s="1">
        <f>F93*100</f>
        <v>500</v>
      </c>
      <c r="H181" s="15" t="s">
        <v>70</v>
      </c>
      <c r="I181" s="1" t="s">
        <v>67</v>
      </c>
      <c r="J181" s="95">
        <v>2100000</v>
      </c>
      <c r="K181" s="95"/>
      <c r="L181" s="3" t="s">
        <v>30</v>
      </c>
      <c r="M181" s="95">
        <f>J109</f>
        <v>118000</v>
      </c>
      <c r="N181" s="95"/>
      <c r="O181" s="1" t="s">
        <v>71</v>
      </c>
    </row>
    <row r="182" spans="4:15" ht="13.5">
      <c r="D182" s="9" t="s">
        <v>68</v>
      </c>
      <c r="E182" s="95">
        <f>G118</f>
        <v>33600</v>
      </c>
      <c r="F182" s="95"/>
      <c r="G182" s="3" t="s">
        <v>30</v>
      </c>
      <c r="H182" s="1">
        <f>F93*100</f>
        <v>500</v>
      </c>
      <c r="I182" s="14" t="s">
        <v>69</v>
      </c>
      <c r="J182" s="1" t="s">
        <v>72</v>
      </c>
      <c r="M182" s="95">
        <f>J109</f>
        <v>118000</v>
      </c>
      <c r="N182" s="94"/>
      <c r="O182" s="1" t="s">
        <v>71</v>
      </c>
    </row>
    <row r="183" spans="4:13" ht="11.25">
      <c r="D183" s="1" t="s">
        <v>33</v>
      </c>
      <c r="E183" s="94">
        <f>ROUND((5*E181*G181^4)/(384*J181*M181),3)</f>
        <v>0.017</v>
      </c>
      <c r="F183" s="94"/>
      <c r="G183" s="3" t="s">
        <v>43</v>
      </c>
      <c r="H183" s="94">
        <f>ROUND((E182*H182^3)/(48*2100000*M182),3)</f>
        <v>0.353</v>
      </c>
      <c r="I183" s="94"/>
      <c r="J183" s="3" t="s">
        <v>33</v>
      </c>
      <c r="K183" s="94">
        <f>E183+H183</f>
        <v>0.37</v>
      </c>
      <c r="L183" s="94"/>
      <c r="M183" s="1" t="s">
        <v>73</v>
      </c>
    </row>
    <row r="185" spans="3:16" ht="11.25">
      <c r="C185" s="1" t="s">
        <v>74</v>
      </c>
      <c r="E185" s="1">
        <f>K183</f>
        <v>0.37</v>
      </c>
      <c r="F185" s="9" t="s">
        <v>42</v>
      </c>
      <c r="G185" s="3">
        <f>F93*100</f>
        <v>500</v>
      </c>
      <c r="H185" s="3" t="s">
        <v>33</v>
      </c>
      <c r="I185" s="3" t="s">
        <v>75</v>
      </c>
      <c r="J185" s="3">
        <f>ROUND(G185/E185,0)</f>
        <v>1351</v>
      </c>
      <c r="K185" s="3" t="str">
        <f>IF(J185&gt;M185,"&lt;","&gt;")</f>
        <v>&lt;</v>
      </c>
      <c r="L185" s="3" t="s">
        <v>75</v>
      </c>
      <c r="M185" s="3">
        <v>300</v>
      </c>
      <c r="N185" s="8" t="s">
        <v>76</v>
      </c>
      <c r="P185" s="16" t="str">
        <f>IF(J185&gt;M185,"o.k","n,g")</f>
        <v>o.k</v>
      </c>
    </row>
    <row r="189" ht="11.25">
      <c r="A189" s="1" t="s">
        <v>466</v>
      </c>
    </row>
    <row r="191" spans="2:15" ht="12" thickBot="1">
      <c r="B191" s="1" t="s">
        <v>16</v>
      </c>
      <c r="E191" s="47" t="s">
        <v>426</v>
      </c>
      <c r="F191" s="13">
        <v>300</v>
      </c>
      <c r="G191" s="13" t="s">
        <v>427</v>
      </c>
      <c r="H191" s="13">
        <v>300</v>
      </c>
      <c r="I191" s="13" t="s">
        <v>427</v>
      </c>
      <c r="J191" s="13">
        <v>10</v>
      </c>
      <c r="K191" s="13" t="s">
        <v>427</v>
      </c>
      <c r="L191" s="13">
        <v>15</v>
      </c>
      <c r="M191" s="3" t="s">
        <v>77</v>
      </c>
      <c r="N191" s="3"/>
      <c r="O191" s="3"/>
    </row>
    <row r="192" spans="2:18" ht="25.5" customHeight="1" thickBot="1">
      <c r="B192" s="170" t="s">
        <v>20</v>
      </c>
      <c r="C192" s="152"/>
      <c r="D192" s="151" t="s">
        <v>21</v>
      </c>
      <c r="E192" s="171"/>
      <c r="F192" s="152"/>
      <c r="G192" s="151" t="s">
        <v>22</v>
      </c>
      <c r="H192" s="171"/>
      <c r="I192" s="152"/>
      <c r="J192" s="151" t="s">
        <v>23</v>
      </c>
      <c r="K192" s="171"/>
      <c r="L192" s="152"/>
      <c r="M192" s="151" t="s">
        <v>99</v>
      </c>
      <c r="N192" s="152"/>
      <c r="O192" s="151" t="s">
        <v>24</v>
      </c>
      <c r="P192" s="152"/>
      <c r="Q192" s="151" t="s">
        <v>25</v>
      </c>
      <c r="R192" s="153"/>
    </row>
    <row r="193" spans="2:18" ht="12" thickTop="1">
      <c r="B193" s="176">
        <v>240</v>
      </c>
      <c r="C193" s="177"/>
      <c r="D193" s="180">
        <v>188</v>
      </c>
      <c r="E193" s="181"/>
      <c r="F193" s="177"/>
      <c r="G193" s="184">
        <f>F191*J191*2/100</f>
        <v>60</v>
      </c>
      <c r="H193" s="185"/>
      <c r="I193" s="186"/>
      <c r="J193" s="190">
        <v>40800</v>
      </c>
      <c r="K193" s="191"/>
      <c r="L193" s="192"/>
      <c r="M193" s="196">
        <v>13</v>
      </c>
      <c r="N193" s="197"/>
      <c r="O193" s="190">
        <v>2720</v>
      </c>
      <c r="P193" s="192"/>
      <c r="Q193" s="200">
        <f>L93</f>
        <v>4.5</v>
      </c>
      <c r="R193" s="201"/>
    </row>
    <row r="194" spans="2:18" ht="12" thickBot="1">
      <c r="B194" s="178"/>
      <c r="C194" s="179"/>
      <c r="D194" s="182"/>
      <c r="E194" s="183"/>
      <c r="F194" s="179"/>
      <c r="G194" s="187"/>
      <c r="H194" s="188"/>
      <c r="I194" s="189"/>
      <c r="J194" s="193"/>
      <c r="K194" s="194"/>
      <c r="L194" s="195"/>
      <c r="M194" s="198"/>
      <c r="N194" s="199"/>
      <c r="O194" s="193"/>
      <c r="P194" s="195"/>
      <c r="Q194" s="202"/>
      <c r="R194" s="203"/>
    </row>
    <row r="195" spans="2:18" ht="11.25">
      <c r="B195" s="19" t="s">
        <v>78</v>
      </c>
      <c r="C195" s="17"/>
      <c r="D195" s="17"/>
      <c r="E195" s="17"/>
      <c r="F195" s="17"/>
      <c r="G195" s="17"/>
      <c r="H195" s="17"/>
      <c r="I195" s="17"/>
      <c r="J195" s="18"/>
      <c r="K195" s="18"/>
      <c r="L195" s="18"/>
      <c r="M195" s="17"/>
      <c r="N195" s="17"/>
      <c r="O195" s="18"/>
      <c r="P195" s="18"/>
      <c r="Q195" s="17"/>
      <c r="R195" s="17"/>
    </row>
    <row r="197" ht="11.25">
      <c r="B197" s="1" t="s">
        <v>27</v>
      </c>
    </row>
    <row r="198" ht="11.25">
      <c r="B198" s="1" t="s">
        <v>450</v>
      </c>
    </row>
    <row r="199" ht="11.25">
      <c r="C199" s="1" t="s">
        <v>451</v>
      </c>
    </row>
    <row r="200" ht="11.25">
      <c r="C200" s="1" t="s">
        <v>79</v>
      </c>
    </row>
    <row r="201" spans="3:13" ht="11.25">
      <c r="C201" s="1" t="s">
        <v>83</v>
      </c>
      <c r="D201" s="1">
        <f>D114</f>
        <v>187.6</v>
      </c>
      <c r="E201" s="1" t="s">
        <v>81</v>
      </c>
      <c r="F201" s="3" t="s">
        <v>30</v>
      </c>
      <c r="G201" s="7">
        <v>2</v>
      </c>
      <c r="H201" s="1" t="s">
        <v>80</v>
      </c>
      <c r="I201" s="4">
        <f>F93</f>
        <v>5</v>
      </c>
      <c r="J201" s="1" t="s">
        <v>82</v>
      </c>
      <c r="K201" s="174">
        <f>ROUND(D201*G201*I201,2)</f>
        <v>1876</v>
      </c>
      <c r="L201" s="174"/>
      <c r="M201" s="1" t="s">
        <v>47</v>
      </c>
    </row>
    <row r="202" spans="3:12" ht="11.25">
      <c r="C202" s="1" t="s">
        <v>452</v>
      </c>
      <c r="F202" s="3"/>
      <c r="G202" s="7"/>
      <c r="I202" s="4"/>
      <c r="K202" s="11"/>
      <c r="L202" s="11"/>
    </row>
    <row r="203" spans="3:11" ht="11.25">
      <c r="C203" s="1" t="s">
        <v>84</v>
      </c>
      <c r="D203" s="3">
        <f>D109</f>
        <v>151</v>
      </c>
      <c r="E203" s="1" t="s">
        <v>32</v>
      </c>
      <c r="F203" s="3" t="s">
        <v>30</v>
      </c>
      <c r="G203" s="7">
        <f>F93</f>
        <v>5</v>
      </c>
      <c r="H203" s="1" t="s">
        <v>82</v>
      </c>
      <c r="I203" s="175">
        <f>ROUND(D203*G203,2)</f>
        <v>755</v>
      </c>
      <c r="J203" s="175"/>
      <c r="K203" s="1" t="s">
        <v>47</v>
      </c>
    </row>
    <row r="204" spans="3:14" ht="11.25">
      <c r="C204" s="1" t="s">
        <v>85</v>
      </c>
      <c r="F204" s="172">
        <f>K201+I203</f>
        <v>2631</v>
      </c>
      <c r="G204" s="94"/>
      <c r="H204" s="1" t="s">
        <v>47</v>
      </c>
      <c r="I204" s="3"/>
      <c r="K204" s="3"/>
      <c r="N204" s="3"/>
    </row>
    <row r="205" spans="3:14" ht="11.25">
      <c r="C205" s="1" t="s">
        <v>453</v>
      </c>
      <c r="F205" s="20"/>
      <c r="G205" s="3"/>
      <c r="I205" s="3"/>
      <c r="K205" s="3"/>
      <c r="N205" s="3"/>
    </row>
    <row r="206" spans="3:14" ht="11.25">
      <c r="C206" s="1" t="s">
        <v>89</v>
      </c>
      <c r="D206" s="1">
        <f>D193</f>
        <v>188</v>
      </c>
      <c r="E206" s="1" t="s">
        <v>32</v>
      </c>
      <c r="F206" s="20"/>
      <c r="G206" s="3"/>
      <c r="I206" s="3"/>
      <c r="K206" s="3"/>
      <c r="N206" s="3"/>
    </row>
    <row r="207" ht="11.25">
      <c r="B207" s="1" t="s">
        <v>34</v>
      </c>
    </row>
    <row r="208" ht="11.25">
      <c r="C208" s="1" t="s">
        <v>454</v>
      </c>
    </row>
    <row r="209" spans="3:8" ht="11.25">
      <c r="C209" s="1" t="s">
        <v>36</v>
      </c>
      <c r="D209" s="95">
        <f>G118</f>
        <v>33600</v>
      </c>
      <c r="E209" s="95"/>
      <c r="F209" s="1" t="s">
        <v>47</v>
      </c>
      <c r="G209" s="95"/>
      <c r="H209" s="95"/>
    </row>
    <row r="210" spans="2:8" ht="11.25">
      <c r="B210" s="1" t="s">
        <v>86</v>
      </c>
      <c r="D210" s="11"/>
      <c r="E210" s="11"/>
      <c r="G210" s="11"/>
      <c r="H210" s="11"/>
    </row>
    <row r="211" spans="3:11" ht="11.25">
      <c r="C211" s="1" t="s">
        <v>87</v>
      </c>
      <c r="D211" s="95">
        <f>D209</f>
        <v>33600</v>
      </c>
      <c r="E211" s="95"/>
      <c r="F211" s="3" t="s">
        <v>30</v>
      </c>
      <c r="G211" s="20">
        <v>0.2</v>
      </c>
      <c r="H211" s="11" t="s">
        <v>33</v>
      </c>
      <c r="I211" s="95">
        <f>ROUND(D211*G211,0)</f>
        <v>6720</v>
      </c>
      <c r="J211" s="95"/>
      <c r="K211" s="1" t="s">
        <v>47</v>
      </c>
    </row>
    <row r="213" ht="11.25">
      <c r="B213" s="1" t="s">
        <v>88</v>
      </c>
    </row>
    <row r="214" ht="11.25">
      <c r="C214" s="1" t="s">
        <v>456</v>
      </c>
    </row>
    <row r="215" ht="11.25">
      <c r="C215" s="1" t="s">
        <v>90</v>
      </c>
    </row>
    <row r="216" ht="11.25"/>
    <row r="217" ht="11.25"/>
    <row r="218" ht="11.25"/>
    <row r="219" ht="11.25"/>
    <row r="220" ht="11.25"/>
    <row r="221" ht="11.25"/>
    <row r="222" ht="11.25"/>
    <row r="223" ht="11.25"/>
    <row r="224" ht="11.25"/>
    <row r="225" ht="11.25"/>
    <row r="226" ht="11.25"/>
    <row r="227" ht="11.25"/>
    <row r="228" ht="11.25"/>
    <row r="229" ht="11.25">
      <c r="I229" s="1" t="s">
        <v>455</v>
      </c>
    </row>
    <row r="230" ht="14.25">
      <c r="C230" s="1" t="s">
        <v>91</v>
      </c>
    </row>
    <row r="231" spans="4:17" ht="13.5">
      <c r="D231" s="1" t="s">
        <v>33</v>
      </c>
      <c r="E231" s="1">
        <f>D206/100</f>
        <v>1.88</v>
      </c>
      <c r="F231" s="3" t="s">
        <v>14</v>
      </c>
      <c r="G231" s="21">
        <f>L93*100</f>
        <v>450</v>
      </c>
      <c r="H231" s="10" t="s">
        <v>44</v>
      </c>
      <c r="I231" s="3">
        <v>8</v>
      </c>
      <c r="J231" s="3" t="s">
        <v>43</v>
      </c>
      <c r="K231" s="95">
        <f>G118</f>
        <v>33600</v>
      </c>
      <c r="L231" s="95"/>
      <c r="M231" s="3" t="s">
        <v>14</v>
      </c>
      <c r="N231" s="21">
        <f>G231</f>
        <v>450</v>
      </c>
      <c r="O231" s="9" t="s">
        <v>42</v>
      </c>
      <c r="P231" s="3">
        <v>4</v>
      </c>
      <c r="Q231" s="1" t="s">
        <v>43</v>
      </c>
    </row>
    <row r="232" spans="5:16" ht="11.25">
      <c r="E232" s="172">
        <f>F204</f>
        <v>2631</v>
      </c>
      <c r="F232" s="172"/>
      <c r="G232" s="9" t="s">
        <v>42</v>
      </c>
      <c r="H232" s="3" t="s">
        <v>92</v>
      </c>
      <c r="I232" s="3" t="s">
        <v>93</v>
      </c>
      <c r="J232" s="21">
        <f>G231</f>
        <v>450</v>
      </c>
      <c r="K232" s="22" t="s">
        <v>94</v>
      </c>
      <c r="L232" s="11">
        <v>200</v>
      </c>
      <c r="M232" s="23" t="s">
        <v>71</v>
      </c>
      <c r="N232" s="21"/>
      <c r="O232" s="9"/>
      <c r="P232" s="3"/>
    </row>
    <row r="233" spans="4:7" ht="11.25">
      <c r="D233" s="1" t="s">
        <v>33</v>
      </c>
      <c r="E233" s="95">
        <f>ROUND((E231*G231^2)/8+(K231*N231/4)+(E232/4*(3*J232-4*L232)),0)</f>
        <v>4189350</v>
      </c>
      <c r="F233" s="95"/>
      <c r="G233" s="1" t="s">
        <v>45</v>
      </c>
    </row>
    <row r="235" spans="3:15" ht="11.25">
      <c r="C235" s="1" t="s">
        <v>46</v>
      </c>
      <c r="F235" s="3" t="s">
        <v>33</v>
      </c>
      <c r="G235" s="95">
        <f>E233</f>
        <v>4189350</v>
      </c>
      <c r="H235" s="95"/>
      <c r="I235" s="9" t="s">
        <v>42</v>
      </c>
      <c r="J235" s="95">
        <f>O193</f>
        <v>2720</v>
      </c>
      <c r="K235" s="95"/>
      <c r="L235" s="3" t="s">
        <v>33</v>
      </c>
      <c r="M235" s="94">
        <f>ROUND(G235/J235,2)</f>
        <v>1540.2</v>
      </c>
      <c r="N235" s="94"/>
      <c r="O235" s="1" t="s">
        <v>29</v>
      </c>
    </row>
    <row r="237" spans="3:15" ht="11.25">
      <c r="C237" s="1" t="s">
        <v>48</v>
      </c>
      <c r="D237" s="1" t="s">
        <v>50</v>
      </c>
      <c r="E237" s="3"/>
      <c r="F237" s="11"/>
      <c r="G237" s="11">
        <f>L93*100</f>
        <v>450</v>
      </c>
      <c r="H237" s="9" t="s">
        <v>42</v>
      </c>
      <c r="I237" s="3">
        <f>H191/10</f>
        <v>30</v>
      </c>
      <c r="J237" s="3" t="s">
        <v>49</v>
      </c>
      <c r="K237" s="1" t="s">
        <v>51</v>
      </c>
      <c r="L237" s="3" t="s">
        <v>33</v>
      </c>
      <c r="M237" s="175">
        <f>ROUND(1.5*(1400-24*(G237/30-4.5)),2)</f>
        <v>1722</v>
      </c>
      <c r="N237" s="175"/>
      <c r="O237" s="1" t="s">
        <v>29</v>
      </c>
    </row>
    <row r="239" spans="3:13" ht="11.25">
      <c r="C239" s="3" t="s">
        <v>52</v>
      </c>
      <c r="D239" s="3" t="s">
        <v>54</v>
      </c>
      <c r="E239" s="3" t="str">
        <f>IF(M237&gt;M235,"&gt;","&lt;")</f>
        <v>&gt;</v>
      </c>
      <c r="F239" s="3" t="s">
        <v>53</v>
      </c>
      <c r="G239" s="8" t="s">
        <v>55</v>
      </c>
      <c r="M239" s="13" t="str">
        <f>IF(M237&gt;M235,"o.k","n.g")</f>
        <v>o.k</v>
      </c>
    </row>
    <row r="240" spans="3:13" ht="11.25">
      <c r="C240" s="3"/>
      <c r="D240" s="3"/>
      <c r="E240" s="3"/>
      <c r="F240" s="3"/>
      <c r="G240" s="8"/>
      <c r="M240" s="13"/>
    </row>
    <row r="241" spans="2:13" ht="11.25">
      <c r="B241" s="1" t="s">
        <v>105</v>
      </c>
      <c r="C241" s="3"/>
      <c r="D241" s="3"/>
      <c r="E241" s="3"/>
      <c r="F241" s="3"/>
      <c r="G241" s="8"/>
      <c r="M241" s="13"/>
    </row>
    <row r="242" spans="3:13" ht="11.25">
      <c r="C242" s="23" t="s">
        <v>95</v>
      </c>
      <c r="D242" s="3"/>
      <c r="E242" s="3"/>
      <c r="F242" s="3"/>
      <c r="G242" s="8"/>
      <c r="M242" s="13"/>
    </row>
    <row r="243" spans="3:13" ht="11.25">
      <c r="C243" s="23" t="s">
        <v>96</v>
      </c>
      <c r="D243" s="95">
        <f>I211</f>
        <v>6720</v>
      </c>
      <c r="E243" s="95"/>
      <c r="F243" s="3" t="s">
        <v>47</v>
      </c>
      <c r="G243" s="8"/>
      <c r="M243" s="13"/>
    </row>
    <row r="244" spans="3:13" ht="11.25">
      <c r="C244" s="1" t="s">
        <v>97</v>
      </c>
      <c r="D244" s="3"/>
      <c r="E244" s="3" t="s">
        <v>33</v>
      </c>
      <c r="F244" s="95">
        <f>D243</f>
        <v>6720</v>
      </c>
      <c r="G244" s="95"/>
      <c r="H244" s="9" t="s">
        <v>42</v>
      </c>
      <c r="I244" s="3">
        <f>B193</f>
        <v>240</v>
      </c>
      <c r="J244" s="3" t="s">
        <v>33</v>
      </c>
      <c r="K244" s="1">
        <f>ROUND(F244/I244,2)</f>
        <v>28</v>
      </c>
      <c r="L244" s="1" t="s">
        <v>29</v>
      </c>
      <c r="M244" s="13"/>
    </row>
    <row r="245" spans="3:13" ht="11.25">
      <c r="C245" s="23" t="s">
        <v>98</v>
      </c>
      <c r="D245" s="23" t="s">
        <v>100</v>
      </c>
      <c r="E245" s="3"/>
      <c r="F245" s="3">
        <f>Q193*100</f>
        <v>450</v>
      </c>
      <c r="G245" s="9" t="s">
        <v>42</v>
      </c>
      <c r="H245" s="5">
        <f>M193</f>
        <v>13</v>
      </c>
      <c r="I245" s="3" t="s">
        <v>33</v>
      </c>
      <c r="J245" s="1">
        <f>ROUND(F245/H245,2)</f>
        <v>34.62</v>
      </c>
      <c r="M245" s="13"/>
    </row>
    <row r="246" spans="3:15" ht="11.25">
      <c r="C246" s="1" t="s">
        <v>131</v>
      </c>
      <c r="D246" s="1" t="s">
        <v>101</v>
      </c>
      <c r="E246" s="3"/>
      <c r="F246" s="11"/>
      <c r="G246" s="11">
        <f>F245</f>
        <v>450</v>
      </c>
      <c r="H246" s="9" t="s">
        <v>42</v>
      </c>
      <c r="I246" s="7">
        <f>H245</f>
        <v>13</v>
      </c>
      <c r="J246" s="3" t="s">
        <v>49</v>
      </c>
      <c r="K246" s="1" t="s">
        <v>102</v>
      </c>
      <c r="L246" s="3" t="s">
        <v>33</v>
      </c>
      <c r="M246" s="173">
        <f>ROUND(1.5*(1400-8.4*(G246/30-20)),2)</f>
        <v>2163</v>
      </c>
      <c r="N246" s="173"/>
      <c r="O246" s="1" t="s">
        <v>29</v>
      </c>
    </row>
    <row r="247" spans="3:13" ht="11.25">
      <c r="C247" s="3" t="s">
        <v>52</v>
      </c>
      <c r="D247" s="3" t="s">
        <v>103</v>
      </c>
      <c r="E247" s="3" t="str">
        <f>IF(M246&gt;K244,"&gt;","&lt;")</f>
        <v>&gt;</v>
      </c>
      <c r="F247" s="3" t="s">
        <v>104</v>
      </c>
      <c r="G247" s="8" t="s">
        <v>55</v>
      </c>
      <c r="M247" s="13" t="str">
        <f>IF(M246&gt;K244,"o.k","n.g")</f>
        <v>o.k</v>
      </c>
    </row>
    <row r="248" spans="3:13" ht="11.25">
      <c r="C248" s="3"/>
      <c r="D248" s="3"/>
      <c r="E248" s="3"/>
      <c r="F248" s="3"/>
      <c r="G248" s="8"/>
      <c r="M248" s="13"/>
    </row>
    <row r="250" ht="11.25">
      <c r="B250" s="1" t="s">
        <v>106</v>
      </c>
    </row>
    <row r="251" ht="11.25">
      <c r="C251" s="1" t="s">
        <v>457</v>
      </c>
    </row>
    <row r="252" ht="11.25"/>
    <row r="253" ht="11.25"/>
    <row r="254" ht="11.25"/>
    <row r="255" ht="11.25"/>
    <row r="256" ht="11.25"/>
    <row r="257" ht="11.25"/>
    <row r="258" ht="11.25"/>
    <row r="259" ht="11.25"/>
    <row r="260" ht="11.25"/>
    <row r="261" ht="11.25"/>
    <row r="262" ht="11.25"/>
    <row r="263" ht="11.25"/>
    <row r="264" ht="11.25">
      <c r="I264" s="1" t="s">
        <v>464</v>
      </c>
    </row>
    <row r="266" spans="3:14" ht="12.75">
      <c r="C266" s="1" t="s">
        <v>107</v>
      </c>
      <c r="H266" s="3"/>
      <c r="I266" s="12"/>
      <c r="J266" s="9"/>
      <c r="K266" s="3"/>
      <c r="L266" s="3"/>
      <c r="M266" s="95"/>
      <c r="N266" s="95"/>
    </row>
    <row r="267" spans="4:18" ht="11.25">
      <c r="D267" s="1" t="s">
        <v>33</v>
      </c>
      <c r="E267" s="3">
        <f>D206/100</f>
        <v>1.88</v>
      </c>
      <c r="F267" s="3" t="s">
        <v>30</v>
      </c>
      <c r="G267" s="21">
        <f>G231</f>
        <v>450</v>
      </c>
      <c r="H267" s="9" t="s">
        <v>42</v>
      </c>
      <c r="I267" s="21">
        <v>2</v>
      </c>
      <c r="J267" s="3" t="s">
        <v>43</v>
      </c>
      <c r="K267" s="95">
        <f>D211</f>
        <v>33600</v>
      </c>
      <c r="L267" s="95"/>
      <c r="M267" s="11" t="s">
        <v>43</v>
      </c>
      <c r="N267" s="11" t="s">
        <v>93</v>
      </c>
      <c r="O267" s="172">
        <f>F204</f>
        <v>2631</v>
      </c>
      <c r="P267" s="172"/>
      <c r="Q267" s="9" t="s">
        <v>42</v>
      </c>
      <c r="R267" s="24">
        <f>G267</f>
        <v>450</v>
      </c>
    </row>
    <row r="268" spans="5:13" ht="11.25">
      <c r="E268" s="3" t="s">
        <v>108</v>
      </c>
      <c r="F268" s="21">
        <f>G267</f>
        <v>450</v>
      </c>
      <c r="G268" s="11" t="s">
        <v>49</v>
      </c>
      <c r="H268" s="11">
        <f>G201*100</f>
        <v>200</v>
      </c>
      <c r="I268" s="23" t="s">
        <v>71</v>
      </c>
      <c r="J268" s="3" t="s">
        <v>33</v>
      </c>
      <c r="K268" s="95">
        <f>ROUND((E267*G267/I267+K267+3*O267/R267*(F268-H268)),0)</f>
        <v>38408</v>
      </c>
      <c r="L268" s="95"/>
      <c r="M268" s="1" t="s">
        <v>47</v>
      </c>
    </row>
    <row r="270" spans="3:15" ht="11.25">
      <c r="C270" s="1" t="s">
        <v>130</v>
      </c>
      <c r="D270" s="1" t="s">
        <v>59</v>
      </c>
      <c r="G270" s="95">
        <f>K268</f>
        <v>38408</v>
      </c>
      <c r="H270" s="94"/>
      <c r="I270" s="9" t="s">
        <v>42</v>
      </c>
      <c r="J270" s="94">
        <f>G193</f>
        <v>60</v>
      </c>
      <c r="K270" s="94"/>
      <c r="L270" s="3" t="s">
        <v>33</v>
      </c>
      <c r="M270" s="94">
        <f>ROUND(G270/J270,2)</f>
        <v>640.13</v>
      </c>
      <c r="N270" s="94"/>
      <c r="O270" s="1" t="s">
        <v>29</v>
      </c>
    </row>
    <row r="272" spans="3:13" ht="11.25">
      <c r="C272" s="1" t="s">
        <v>60</v>
      </c>
      <c r="E272" s="3">
        <v>800</v>
      </c>
      <c r="F272" s="3" t="s">
        <v>30</v>
      </c>
      <c r="G272" s="3">
        <v>1.5</v>
      </c>
      <c r="H272" s="3" t="s">
        <v>30</v>
      </c>
      <c r="I272" s="3">
        <v>0.9</v>
      </c>
      <c r="J272" s="3" t="s">
        <v>33</v>
      </c>
      <c r="K272" s="95">
        <f>ROUND(E272*G272*I272,0)</f>
        <v>1080</v>
      </c>
      <c r="L272" s="95"/>
      <c r="M272" s="1" t="s">
        <v>29</v>
      </c>
    </row>
    <row r="274" spans="3:13" ht="11.25">
      <c r="C274" s="3" t="s">
        <v>52</v>
      </c>
      <c r="D274" s="3" t="s">
        <v>61</v>
      </c>
      <c r="E274" s="3" t="str">
        <f>IF(K272&gt;M270,"&gt;","&lt;")</f>
        <v>&gt;</v>
      </c>
      <c r="F274" s="3" t="s">
        <v>62</v>
      </c>
      <c r="G274" s="8" t="s">
        <v>55</v>
      </c>
      <c r="M274" s="13" t="str">
        <f>IF(K272&gt;M270,"o.k","n.g")</f>
        <v>o.k</v>
      </c>
    </row>
    <row r="276" ht="11.25">
      <c r="B276" s="1" t="s">
        <v>63</v>
      </c>
    </row>
    <row r="277" ht="11.25">
      <c r="C277" s="1" t="s">
        <v>64</v>
      </c>
    </row>
    <row r="279" ht="14.25">
      <c r="C279" s="1" t="s">
        <v>109</v>
      </c>
    </row>
    <row r="280" spans="4:15" ht="13.5">
      <c r="D280" s="8" t="s">
        <v>66</v>
      </c>
      <c r="E280" s="3">
        <f>E267</f>
        <v>1.88</v>
      </c>
      <c r="F280" s="3" t="s">
        <v>30</v>
      </c>
      <c r="G280" s="24">
        <f>G231</f>
        <v>450</v>
      </c>
      <c r="H280" s="15" t="s">
        <v>70</v>
      </c>
      <c r="I280" s="1" t="s">
        <v>67</v>
      </c>
      <c r="J280" s="95">
        <v>2100000</v>
      </c>
      <c r="K280" s="95"/>
      <c r="L280" s="3" t="s">
        <v>30</v>
      </c>
      <c r="M280" s="95">
        <f>J193</f>
        <v>40800</v>
      </c>
      <c r="N280" s="95"/>
      <c r="O280" s="1" t="s">
        <v>71</v>
      </c>
    </row>
    <row r="281" spans="4:15" ht="13.5">
      <c r="D281" s="9" t="s">
        <v>68</v>
      </c>
      <c r="E281" s="95">
        <f>D209</f>
        <v>33600</v>
      </c>
      <c r="F281" s="95"/>
      <c r="G281" s="3" t="s">
        <v>30</v>
      </c>
      <c r="H281" s="24">
        <f>G280</f>
        <v>450</v>
      </c>
      <c r="I281" s="14" t="s">
        <v>69</v>
      </c>
      <c r="J281" s="1" t="s">
        <v>72</v>
      </c>
      <c r="M281" s="95">
        <f>J193</f>
        <v>40800</v>
      </c>
      <c r="N281" s="94"/>
      <c r="O281" s="1" t="s">
        <v>71</v>
      </c>
    </row>
    <row r="282" spans="4:13" ht="11.25">
      <c r="D282" s="1" t="s">
        <v>33</v>
      </c>
      <c r="E282" s="94">
        <f>ROUND((5*E280*G280^4)/(384*J280*M280),3)</f>
        <v>0.012</v>
      </c>
      <c r="F282" s="94"/>
      <c r="G282" s="3" t="s">
        <v>43</v>
      </c>
      <c r="H282" s="94">
        <f>ROUND((E281*H281^3)/(48*2100000*M281),3)</f>
        <v>0.744</v>
      </c>
      <c r="I282" s="94"/>
      <c r="J282" s="3" t="s">
        <v>33</v>
      </c>
      <c r="K282" s="94">
        <f>E282+H282</f>
        <v>0.756</v>
      </c>
      <c r="L282" s="94"/>
      <c r="M282" s="1" t="s">
        <v>73</v>
      </c>
    </row>
    <row r="284" spans="3:16" ht="11.25">
      <c r="C284" s="1" t="s">
        <v>74</v>
      </c>
      <c r="E284" s="1">
        <f>K282</f>
        <v>0.756</v>
      </c>
      <c r="F284" s="9" t="s">
        <v>42</v>
      </c>
      <c r="G284" s="21">
        <f>G280</f>
        <v>450</v>
      </c>
      <c r="H284" s="3" t="s">
        <v>33</v>
      </c>
      <c r="I284" s="3" t="s">
        <v>75</v>
      </c>
      <c r="J284" s="3">
        <f>ROUND(G284/E284,0)</f>
        <v>595</v>
      </c>
      <c r="K284" s="3" t="str">
        <f>IF(J284&gt;M284,"&lt;","&gt;")</f>
        <v>&lt;</v>
      </c>
      <c r="L284" s="3" t="s">
        <v>75</v>
      </c>
      <c r="M284" s="3">
        <v>300</v>
      </c>
      <c r="N284" s="8" t="s">
        <v>76</v>
      </c>
      <c r="P284" s="16" t="str">
        <f>IF(J284&gt;M284,"o.k","n,g")</f>
        <v>o.k</v>
      </c>
    </row>
    <row r="313" ht="11.25">
      <c r="A313" s="1" t="s">
        <v>110</v>
      </c>
    </row>
    <row r="315" spans="2:12" ht="12" thickBot="1">
      <c r="B315" s="1" t="s">
        <v>111</v>
      </c>
      <c r="D315" s="25"/>
      <c r="E315" s="48" t="s">
        <v>428</v>
      </c>
      <c r="F315" s="16">
        <v>100</v>
      </c>
      <c r="G315" s="16" t="s">
        <v>429</v>
      </c>
      <c r="H315" s="16">
        <v>100</v>
      </c>
      <c r="I315" s="16" t="s">
        <v>429</v>
      </c>
      <c r="J315" s="16">
        <v>10</v>
      </c>
      <c r="L315" s="1" t="s">
        <v>112</v>
      </c>
    </row>
    <row r="316" spans="2:18" ht="25.5" customHeight="1" thickBot="1">
      <c r="B316" s="170" t="s">
        <v>20</v>
      </c>
      <c r="C316" s="152"/>
      <c r="D316" s="151" t="s">
        <v>21</v>
      </c>
      <c r="E316" s="171"/>
      <c r="F316" s="152"/>
      <c r="G316" s="151" t="s">
        <v>22</v>
      </c>
      <c r="H316" s="171"/>
      <c r="I316" s="152"/>
      <c r="J316" s="151" t="s">
        <v>23</v>
      </c>
      <c r="K316" s="171"/>
      <c r="L316" s="152"/>
      <c r="M316" s="151" t="s">
        <v>99</v>
      </c>
      <c r="N316" s="152"/>
      <c r="O316" s="151" t="s">
        <v>122</v>
      </c>
      <c r="P316" s="152"/>
      <c r="Q316" s="151" t="s">
        <v>123</v>
      </c>
      <c r="R316" s="153"/>
    </row>
    <row r="317" spans="2:18" ht="12" thickTop="1">
      <c r="B317" s="154">
        <v>19</v>
      </c>
      <c r="C317" s="155"/>
      <c r="D317" s="158">
        <v>14.9</v>
      </c>
      <c r="E317" s="159"/>
      <c r="F317" s="155"/>
      <c r="G317" s="162">
        <f>B317-(F315*J315)/(2*100)</f>
        <v>14</v>
      </c>
      <c r="H317" s="163"/>
      <c r="I317" s="164"/>
      <c r="J317" s="158">
        <v>175</v>
      </c>
      <c r="K317" s="159"/>
      <c r="L317" s="155"/>
      <c r="M317" s="158">
        <v>3.03</v>
      </c>
      <c r="N317" s="155"/>
      <c r="O317" s="158">
        <v>24.4</v>
      </c>
      <c r="P317" s="155"/>
      <c r="Q317" s="162"/>
      <c r="R317" s="168"/>
    </row>
    <row r="318" spans="2:18" ht="12" thickBot="1">
      <c r="B318" s="156"/>
      <c r="C318" s="157"/>
      <c r="D318" s="160"/>
      <c r="E318" s="161"/>
      <c r="F318" s="157"/>
      <c r="G318" s="165"/>
      <c r="H318" s="166"/>
      <c r="I318" s="167"/>
      <c r="J318" s="160"/>
      <c r="K318" s="161"/>
      <c r="L318" s="157"/>
      <c r="M318" s="160"/>
      <c r="N318" s="157"/>
      <c r="O318" s="160"/>
      <c r="P318" s="157"/>
      <c r="Q318" s="165"/>
      <c r="R318" s="169"/>
    </row>
    <row r="320" ht="11.25">
      <c r="B320" s="1" t="s">
        <v>113</v>
      </c>
    </row>
    <row r="322" ht="11.25">
      <c r="B322" s="1" t="s">
        <v>114</v>
      </c>
    </row>
    <row r="323" ht="11.25">
      <c r="B323" s="1" t="s">
        <v>115</v>
      </c>
    </row>
    <row r="324" ht="11.25">
      <c r="C324" s="1" t="s">
        <v>458</v>
      </c>
    </row>
    <row r="325" ht="11.25">
      <c r="C325" s="1" t="s">
        <v>116</v>
      </c>
    </row>
    <row r="327" spans="3:13" ht="11.25">
      <c r="C327" s="1" t="s">
        <v>117</v>
      </c>
      <c r="D327" s="95">
        <f>G118</f>
        <v>33600</v>
      </c>
      <c r="E327" s="94"/>
      <c r="F327" s="3" t="s">
        <v>118</v>
      </c>
      <c r="G327" s="3">
        <v>0.2</v>
      </c>
      <c r="H327" s="3" t="s">
        <v>118</v>
      </c>
      <c r="I327" s="26" t="s">
        <v>119</v>
      </c>
      <c r="J327" s="3" t="s">
        <v>120</v>
      </c>
      <c r="K327" s="94">
        <f>D327*0.2*0.5</f>
        <v>3360</v>
      </c>
      <c r="L327" s="94"/>
      <c r="M327" s="1" t="s">
        <v>47</v>
      </c>
    </row>
    <row r="329" ht="11.25">
      <c r="B329" s="1" t="s">
        <v>121</v>
      </c>
    </row>
    <row r="330" spans="3:6" ht="11.25">
      <c r="C330" s="3"/>
      <c r="D330" s="3"/>
      <c r="E330" s="3"/>
      <c r="F330" s="3"/>
    </row>
    <row r="331" spans="3:19" ht="13.5">
      <c r="C331" s="3" t="s">
        <v>133</v>
      </c>
      <c r="D331" s="3" t="s">
        <v>120</v>
      </c>
      <c r="E331" s="23" t="s">
        <v>143</v>
      </c>
      <c r="F331" s="3"/>
      <c r="G331" s="3" t="s">
        <v>120</v>
      </c>
      <c r="H331" s="27">
        <f>K327</f>
        <v>3360</v>
      </c>
      <c r="I331" s="3" t="s">
        <v>125</v>
      </c>
      <c r="J331" s="3" t="s">
        <v>126</v>
      </c>
      <c r="K331" s="12">
        <f>F93</f>
        <v>5</v>
      </c>
      <c r="L331" s="1" t="s">
        <v>124</v>
      </c>
      <c r="M331" s="12">
        <f>L93</f>
        <v>4.5</v>
      </c>
      <c r="N331" s="1" t="s">
        <v>127</v>
      </c>
      <c r="O331" s="4">
        <f>F93</f>
        <v>5</v>
      </c>
      <c r="P331" s="1" t="s">
        <v>128</v>
      </c>
      <c r="Q331" s="1" t="s">
        <v>129</v>
      </c>
      <c r="R331" s="1">
        <f>H331*(SQRT(K331^2+M331^2)/O331)</f>
        <v>4520.417679816766</v>
      </c>
      <c r="S331" s="1" t="s">
        <v>47</v>
      </c>
    </row>
    <row r="333" spans="3:13" ht="12.75">
      <c r="C333" s="1" t="s">
        <v>153</v>
      </c>
      <c r="F333" s="3" t="s">
        <v>129</v>
      </c>
      <c r="G333" s="3">
        <f>R331</f>
        <v>4520.417679816766</v>
      </c>
      <c r="H333" s="28" t="s">
        <v>134</v>
      </c>
      <c r="I333" s="3">
        <f>G317</f>
        <v>14</v>
      </c>
      <c r="J333" s="3" t="s">
        <v>129</v>
      </c>
      <c r="K333" s="94">
        <f>ROUND(G333/I333,1)</f>
        <v>322.9</v>
      </c>
      <c r="L333" s="94"/>
      <c r="M333" s="1" t="s">
        <v>135</v>
      </c>
    </row>
    <row r="335" spans="3:6" ht="11.25">
      <c r="C335" s="1" t="s">
        <v>137</v>
      </c>
      <c r="D335" s="150">
        <v>2100</v>
      </c>
      <c r="E335" s="150"/>
      <c r="F335" s="1" t="s">
        <v>135</v>
      </c>
    </row>
    <row r="337" spans="3:9" ht="11.25">
      <c r="C337" s="3" t="s">
        <v>52</v>
      </c>
      <c r="D337" s="1" t="s">
        <v>136</v>
      </c>
      <c r="E337" s="3" t="str">
        <f>IF(D335&gt;=K333,"&gt;","&lt;")</f>
        <v>&gt;</v>
      </c>
      <c r="F337" s="1" t="s">
        <v>132</v>
      </c>
      <c r="G337" s="148" t="s">
        <v>138</v>
      </c>
      <c r="H337" s="149"/>
      <c r="I337" s="16" t="str">
        <f>IF(D335&gt;=K333,"o.k","n,g")</f>
        <v>o.k</v>
      </c>
    </row>
    <row r="340" ht="11.25">
      <c r="B340" s="1" t="s">
        <v>139</v>
      </c>
    </row>
    <row r="342" ht="11.25">
      <c r="B342" s="1" t="s">
        <v>140</v>
      </c>
    </row>
    <row r="343" ht="11.25">
      <c r="B343" s="1" t="s">
        <v>141</v>
      </c>
    </row>
    <row r="345" ht="11.25">
      <c r="B345" s="1" t="s">
        <v>142</v>
      </c>
    </row>
    <row r="347" spans="3:5" ht="12.75">
      <c r="C347" s="3" t="s">
        <v>133</v>
      </c>
      <c r="D347" s="3" t="s">
        <v>129</v>
      </c>
      <c r="E347" s="1" t="s">
        <v>144</v>
      </c>
    </row>
    <row r="349" spans="4:19" ht="13.5">
      <c r="D349" s="3" t="s">
        <v>129</v>
      </c>
      <c r="E349" s="3" t="s">
        <v>126</v>
      </c>
      <c r="F349" s="12">
        <f>F93</f>
        <v>5</v>
      </c>
      <c r="G349" s="1" t="s">
        <v>124</v>
      </c>
      <c r="H349" s="12">
        <f>H354</f>
        <v>2.4</v>
      </c>
      <c r="I349" s="1" t="s">
        <v>127</v>
      </c>
      <c r="J349" s="4">
        <f>F349</f>
        <v>5</v>
      </c>
      <c r="K349" s="1" t="s">
        <v>434</v>
      </c>
      <c r="L349" s="1">
        <f>K327</f>
        <v>3360</v>
      </c>
      <c r="M349" s="1" t="s">
        <v>435</v>
      </c>
      <c r="N349" s="1" t="s">
        <v>145</v>
      </c>
      <c r="O349" s="1">
        <f>D354</f>
        <v>5.71</v>
      </c>
      <c r="P349" s="3" t="s">
        <v>150</v>
      </c>
      <c r="Q349" s="1" t="s">
        <v>151</v>
      </c>
      <c r="R349" s="29">
        <f>H354</f>
        <v>2.4</v>
      </c>
      <c r="S349" s="1" t="s">
        <v>152</v>
      </c>
    </row>
    <row r="351" spans="4:6" ht="11.25">
      <c r="D351" s="3" t="s">
        <v>129</v>
      </c>
      <c r="E351" s="1">
        <f>(SQRT(F349^2+H349^2)/J349)*L349*(1+(O349/(2*R349)))</f>
        <v>8160.634316620246</v>
      </c>
      <c r="F351" s="3" t="s">
        <v>47</v>
      </c>
    </row>
    <row r="353" ht="11.25">
      <c r="C353" s="1" t="s">
        <v>146</v>
      </c>
    </row>
    <row r="354" spans="3:9" ht="11.25">
      <c r="C354" s="1" t="s">
        <v>147</v>
      </c>
      <c r="D354" s="48">
        <v>5.71</v>
      </c>
      <c r="E354" s="3" t="s">
        <v>148</v>
      </c>
      <c r="G354" s="1" t="s">
        <v>149</v>
      </c>
      <c r="H354" s="49">
        <v>2.4</v>
      </c>
      <c r="I354" s="3" t="s">
        <v>148</v>
      </c>
    </row>
    <row r="355" ht="11.25"/>
    <row r="356" ht="11.25"/>
    <row r="357" ht="12.75">
      <c r="C357" s="1" t="s">
        <v>153</v>
      </c>
    </row>
    <row r="358" ht="11.25"/>
    <row r="359" spans="3:6" ht="11.25">
      <c r="C359" s="1" t="s">
        <v>154</v>
      </c>
      <c r="D359" s="3">
        <f>E351</f>
        <v>8160.634316620246</v>
      </c>
      <c r="E359" s="3" t="s">
        <v>134</v>
      </c>
      <c r="F359" s="3">
        <f>G317</f>
        <v>14</v>
      </c>
    </row>
    <row r="360" ht="11.25"/>
    <row r="361" spans="3:6" ht="11.25">
      <c r="C361" s="1" t="s">
        <v>154</v>
      </c>
      <c r="D361" s="94">
        <f>ROUND(D359/F359,2)</f>
        <v>582.9</v>
      </c>
      <c r="E361" s="94"/>
      <c r="F361" s="1" t="s">
        <v>135</v>
      </c>
    </row>
    <row r="362" ht="11.25"/>
    <row r="363" ht="11.25"/>
    <row r="364" spans="3:6" ht="11.25">
      <c r="C364" s="1" t="s">
        <v>364</v>
      </c>
      <c r="D364" s="150">
        <v>2100</v>
      </c>
      <c r="E364" s="150"/>
      <c r="F364" s="1" t="s">
        <v>135</v>
      </c>
    </row>
    <row r="365" ht="11.25"/>
    <row r="366" spans="3:9" ht="11.25">
      <c r="C366" s="3" t="s">
        <v>52</v>
      </c>
      <c r="D366" s="3" t="s">
        <v>136</v>
      </c>
      <c r="E366" s="3" t="str">
        <f>IF(D364&gt;=D361,"&gt;","&lt;")</f>
        <v>&gt;</v>
      </c>
      <c r="F366" s="3" t="s">
        <v>132</v>
      </c>
      <c r="G366" s="148" t="s">
        <v>138</v>
      </c>
      <c r="H366" s="149"/>
      <c r="I366" s="16" t="str">
        <f>IF(D364&gt;=K362,"o.k","n,g")</f>
        <v>o.k</v>
      </c>
    </row>
    <row r="367" ht="11.25"/>
    <row r="374" ht="11.25">
      <c r="A374" s="1" t="s">
        <v>155</v>
      </c>
    </row>
    <row r="376" spans="2:14" ht="12" thickBot="1">
      <c r="B376" s="1" t="s">
        <v>156</v>
      </c>
      <c r="D376" s="25"/>
      <c r="E376" s="1" t="s">
        <v>157</v>
      </c>
      <c r="F376" s="16">
        <v>300</v>
      </c>
      <c r="G376" s="16" t="s">
        <v>158</v>
      </c>
      <c r="H376" s="16">
        <v>300</v>
      </c>
      <c r="I376" s="16" t="s">
        <v>158</v>
      </c>
      <c r="J376" s="16">
        <v>10</v>
      </c>
      <c r="K376" s="16" t="s">
        <v>158</v>
      </c>
      <c r="L376" s="16">
        <v>15</v>
      </c>
      <c r="N376" s="1" t="s">
        <v>112</v>
      </c>
    </row>
    <row r="377" spans="2:18" ht="25.5" customHeight="1">
      <c r="B377" s="217" t="s">
        <v>482</v>
      </c>
      <c r="C377" s="218"/>
      <c r="D377" s="141" t="s">
        <v>484</v>
      </c>
      <c r="E377" s="142"/>
      <c r="F377" s="221" t="s">
        <v>481</v>
      </c>
      <c r="G377" s="222"/>
      <c r="H377" s="222"/>
      <c r="I377" s="218"/>
      <c r="J377" s="141" t="s">
        <v>495</v>
      </c>
      <c r="K377" s="223"/>
      <c r="L377" s="223"/>
      <c r="M377" s="142"/>
      <c r="N377" s="246" t="s">
        <v>488</v>
      </c>
      <c r="O377" s="246"/>
      <c r="P377" s="246"/>
      <c r="Q377" s="246"/>
      <c r="R377" s="61" t="s">
        <v>489</v>
      </c>
    </row>
    <row r="378" spans="2:18" ht="25.5" customHeight="1" thickBot="1">
      <c r="B378" s="143" t="s">
        <v>483</v>
      </c>
      <c r="C378" s="144"/>
      <c r="D378" s="244" t="s">
        <v>485</v>
      </c>
      <c r="E378" s="144"/>
      <c r="F378" s="244" t="s">
        <v>486</v>
      </c>
      <c r="G378" s="144"/>
      <c r="H378" s="244" t="s">
        <v>487</v>
      </c>
      <c r="I378" s="144"/>
      <c r="J378" s="244" t="s">
        <v>491</v>
      </c>
      <c r="K378" s="144"/>
      <c r="L378" s="244" t="s">
        <v>492</v>
      </c>
      <c r="M378" s="144"/>
      <c r="N378" s="244" t="s">
        <v>493</v>
      </c>
      <c r="O378" s="144"/>
      <c r="P378" s="244" t="s">
        <v>494</v>
      </c>
      <c r="Q378" s="144"/>
      <c r="R378" s="62" t="s">
        <v>490</v>
      </c>
    </row>
    <row r="379" spans="2:18" ht="14.25" customHeight="1" thickTop="1">
      <c r="B379" s="224">
        <f>강제제원표!F31</f>
        <v>119.8</v>
      </c>
      <c r="C379" s="225"/>
      <c r="D379" s="245">
        <f>강제제원표!G31</f>
        <v>94</v>
      </c>
      <c r="E379" s="225"/>
      <c r="F379" s="231">
        <f>강제제원표!H31</f>
        <v>20400</v>
      </c>
      <c r="G379" s="232"/>
      <c r="H379" s="231">
        <f>강제제원표!I31</f>
        <v>6750</v>
      </c>
      <c r="I379" s="232"/>
      <c r="J379" s="227">
        <f>강제제원표!J31</f>
        <v>13.1</v>
      </c>
      <c r="K379" s="227"/>
      <c r="L379" s="227">
        <f>강제제원표!K31</f>
        <v>7.51</v>
      </c>
      <c r="M379" s="227"/>
      <c r="N379" s="226">
        <f>강제제원표!L31</f>
        <v>1360</v>
      </c>
      <c r="O379" s="227"/>
      <c r="P379" s="227">
        <f>강제제원표!M31</f>
        <v>450</v>
      </c>
      <c r="Q379" s="227"/>
      <c r="R379" s="229">
        <f>D354*100</f>
        <v>571</v>
      </c>
    </row>
    <row r="380" spans="2:18" ht="14.25" customHeight="1" thickBot="1">
      <c r="B380" s="156"/>
      <c r="C380" s="157"/>
      <c r="D380" s="160"/>
      <c r="E380" s="157"/>
      <c r="F380" s="165"/>
      <c r="G380" s="167"/>
      <c r="H380" s="165"/>
      <c r="I380" s="167"/>
      <c r="J380" s="228"/>
      <c r="K380" s="228"/>
      <c r="L380" s="228"/>
      <c r="M380" s="228"/>
      <c r="N380" s="228"/>
      <c r="O380" s="228"/>
      <c r="P380" s="228"/>
      <c r="Q380" s="228"/>
      <c r="R380" s="230"/>
    </row>
    <row r="382" ht="11.25">
      <c r="B382" s="1" t="s">
        <v>159</v>
      </c>
    </row>
    <row r="383" ht="11.25">
      <c r="B383" s="1" t="s">
        <v>160</v>
      </c>
    </row>
    <row r="384" ht="11.25">
      <c r="B384" s="1" t="s">
        <v>328</v>
      </c>
    </row>
    <row r="386" ht="12" thickBot="1">
      <c r="B386" s="1" t="s">
        <v>161</v>
      </c>
    </row>
    <row r="387" spans="2:18" ht="11.25">
      <c r="B387" s="123" t="s">
        <v>162</v>
      </c>
      <c r="C387" s="114"/>
      <c r="D387" s="125" t="s">
        <v>442</v>
      </c>
      <c r="E387" s="145"/>
      <c r="F387" s="113" t="s">
        <v>164</v>
      </c>
      <c r="G387" s="114"/>
      <c r="H387" s="126" t="s">
        <v>307</v>
      </c>
      <c r="I387" s="127"/>
      <c r="J387" s="127"/>
      <c r="K387" s="128"/>
      <c r="L387" s="113" t="s">
        <v>443</v>
      </c>
      <c r="M387" s="114"/>
      <c r="N387" s="113" t="s">
        <v>297</v>
      </c>
      <c r="O387" s="117"/>
      <c r="P387" s="117"/>
      <c r="Q387" s="117"/>
      <c r="R387" s="118"/>
    </row>
    <row r="388" spans="2:18" ht="13.5" customHeight="1" thickBot="1">
      <c r="B388" s="124"/>
      <c r="C388" s="116"/>
      <c r="D388" s="146"/>
      <c r="E388" s="147"/>
      <c r="F388" s="115"/>
      <c r="G388" s="116"/>
      <c r="H388" s="121" t="s">
        <v>305</v>
      </c>
      <c r="I388" s="122"/>
      <c r="J388" s="121" t="s">
        <v>306</v>
      </c>
      <c r="K388" s="122"/>
      <c r="L388" s="115"/>
      <c r="M388" s="116"/>
      <c r="N388" s="115"/>
      <c r="O388" s="119"/>
      <c r="P388" s="119"/>
      <c r="Q388" s="119"/>
      <c r="R388" s="120"/>
    </row>
    <row r="389" spans="2:18" ht="12" thickTop="1">
      <c r="B389" s="110" t="s">
        <v>298</v>
      </c>
      <c r="C389" s="88"/>
      <c r="D389" s="90">
        <f>D114</f>
        <v>187.6</v>
      </c>
      <c r="E389" s="88"/>
      <c r="F389" s="111">
        <f>F93</f>
        <v>5</v>
      </c>
      <c r="G389" s="112"/>
      <c r="H389" s="111">
        <f>L93</f>
        <v>4.5</v>
      </c>
      <c r="I389" s="112"/>
      <c r="J389" s="90"/>
      <c r="K389" s="88"/>
      <c r="L389" s="90">
        <f>ROUND(D389*F389*H389,1)</f>
        <v>4221</v>
      </c>
      <c r="M389" s="88"/>
      <c r="N389" s="85" t="s">
        <v>436</v>
      </c>
      <c r="O389" s="86"/>
      <c r="P389" s="86"/>
      <c r="Q389" s="86"/>
      <c r="R389" s="87"/>
    </row>
    <row r="390" spans="2:18" ht="11.25">
      <c r="B390" s="108" t="s">
        <v>299</v>
      </c>
      <c r="C390" s="104"/>
      <c r="D390" s="103">
        <f>D109</f>
        <v>151</v>
      </c>
      <c r="E390" s="104"/>
      <c r="F390" s="109">
        <f>F93</f>
        <v>5</v>
      </c>
      <c r="G390" s="91"/>
      <c r="H390" s="103">
        <v>2</v>
      </c>
      <c r="I390" s="104"/>
      <c r="J390" s="103"/>
      <c r="K390" s="104"/>
      <c r="L390" s="103">
        <f>ROUND(D390*F390*H390,1)</f>
        <v>1510</v>
      </c>
      <c r="M390" s="104"/>
      <c r="N390" s="105" t="s">
        <v>437</v>
      </c>
      <c r="O390" s="106"/>
      <c r="P390" s="106"/>
      <c r="Q390" s="106"/>
      <c r="R390" s="107"/>
    </row>
    <row r="391" spans="2:18" ht="11.25">
      <c r="B391" s="108" t="s">
        <v>300</v>
      </c>
      <c r="C391" s="104"/>
      <c r="D391" s="103">
        <f>D193</f>
        <v>188</v>
      </c>
      <c r="E391" s="104"/>
      <c r="F391" s="109">
        <f>L93</f>
        <v>4.5</v>
      </c>
      <c r="G391" s="91"/>
      <c r="H391" s="103"/>
      <c r="I391" s="104"/>
      <c r="J391" s="103"/>
      <c r="K391" s="104"/>
      <c r="L391" s="103">
        <f>ROUND(D391*F391,1)</f>
        <v>846</v>
      </c>
      <c r="M391" s="104"/>
      <c r="N391" s="105" t="s">
        <v>438</v>
      </c>
      <c r="O391" s="106"/>
      <c r="P391" s="106"/>
      <c r="Q391" s="106"/>
      <c r="R391" s="107"/>
    </row>
    <row r="392" spans="2:18" ht="11.25">
      <c r="B392" s="108" t="s">
        <v>301</v>
      </c>
      <c r="C392" s="104"/>
      <c r="D392" s="105">
        <v>65.4</v>
      </c>
      <c r="E392" s="89"/>
      <c r="F392" s="109">
        <f>F391</f>
        <v>4.5</v>
      </c>
      <c r="G392" s="91"/>
      <c r="H392" s="103"/>
      <c r="I392" s="104"/>
      <c r="J392" s="105">
        <v>6</v>
      </c>
      <c r="K392" s="89"/>
      <c r="L392" s="103">
        <f>D392*F392*J392</f>
        <v>1765.8000000000002</v>
      </c>
      <c r="M392" s="104"/>
      <c r="N392" s="105" t="s">
        <v>439</v>
      </c>
      <c r="O392" s="106"/>
      <c r="P392" s="106"/>
      <c r="Q392" s="106"/>
      <c r="R392" s="107"/>
    </row>
    <row r="393" spans="2:18" ht="11.25">
      <c r="B393" s="108" t="s">
        <v>302</v>
      </c>
      <c r="C393" s="104"/>
      <c r="D393" s="105">
        <v>65.4</v>
      </c>
      <c r="E393" s="89"/>
      <c r="F393" s="109">
        <f>L93</f>
        <v>4.5</v>
      </c>
      <c r="G393" s="91"/>
      <c r="H393" s="103"/>
      <c r="I393" s="104"/>
      <c r="J393" s="105">
        <v>6</v>
      </c>
      <c r="K393" s="89"/>
      <c r="L393" s="103">
        <f>ROUND(D393*F393*J393,1)</f>
        <v>1765.8</v>
      </c>
      <c r="M393" s="104"/>
      <c r="N393" s="105" t="s">
        <v>439</v>
      </c>
      <c r="O393" s="106"/>
      <c r="P393" s="106"/>
      <c r="Q393" s="106"/>
      <c r="R393" s="107"/>
    </row>
    <row r="394" spans="2:18" ht="11.25">
      <c r="B394" s="108" t="s">
        <v>163</v>
      </c>
      <c r="C394" s="104"/>
      <c r="D394" s="105">
        <v>94</v>
      </c>
      <c r="E394" s="89"/>
      <c r="F394" s="109">
        <f>F93</f>
        <v>5</v>
      </c>
      <c r="G394" s="91"/>
      <c r="H394" s="105">
        <v>2</v>
      </c>
      <c r="I394" s="89"/>
      <c r="J394" s="105">
        <v>6</v>
      </c>
      <c r="K394" s="89"/>
      <c r="L394" s="103">
        <f>ROUND(D394*F394*H394*J394,1)</f>
        <v>5640</v>
      </c>
      <c r="M394" s="104"/>
      <c r="N394" s="105" t="s">
        <v>440</v>
      </c>
      <c r="O394" s="106"/>
      <c r="P394" s="106"/>
      <c r="Q394" s="106"/>
      <c r="R394" s="107"/>
    </row>
    <row r="395" spans="2:18" ht="11.25">
      <c r="B395" s="108" t="s">
        <v>303</v>
      </c>
      <c r="C395" s="104"/>
      <c r="D395" s="103">
        <f>D317</f>
        <v>14.9</v>
      </c>
      <c r="E395" s="104"/>
      <c r="F395" s="103">
        <f>L400</f>
        <v>6.73</v>
      </c>
      <c r="G395" s="104"/>
      <c r="H395" s="105">
        <v>2</v>
      </c>
      <c r="I395" s="89"/>
      <c r="J395" s="105">
        <v>6</v>
      </c>
      <c r="K395" s="89"/>
      <c r="L395" s="103">
        <f>ROUND(D395*F395*H395*J395,1)</f>
        <v>1203.3</v>
      </c>
      <c r="M395" s="104"/>
      <c r="N395" s="105" t="s">
        <v>441</v>
      </c>
      <c r="O395" s="106"/>
      <c r="P395" s="106"/>
      <c r="Q395" s="106"/>
      <c r="R395" s="107"/>
    </row>
    <row r="396" spans="2:18" ht="11.25">
      <c r="B396" s="108" t="s">
        <v>304</v>
      </c>
      <c r="C396" s="104"/>
      <c r="D396" s="103">
        <f>D317</f>
        <v>14.9</v>
      </c>
      <c r="E396" s="104"/>
      <c r="F396" s="103">
        <f>L401</f>
        <v>5.55</v>
      </c>
      <c r="G396" s="104"/>
      <c r="H396" s="105">
        <v>2</v>
      </c>
      <c r="I396" s="89"/>
      <c r="J396" s="105">
        <v>5</v>
      </c>
      <c r="K396" s="89"/>
      <c r="L396" s="103">
        <f>ROUND(D396*F396*H396*J396,1)</f>
        <v>827</v>
      </c>
      <c r="M396" s="104"/>
      <c r="N396" s="105" t="s">
        <v>441</v>
      </c>
      <c r="O396" s="106"/>
      <c r="P396" s="106"/>
      <c r="Q396" s="106"/>
      <c r="R396" s="107"/>
    </row>
    <row r="397" spans="2:18" ht="11.25">
      <c r="B397" s="108" t="s">
        <v>314</v>
      </c>
      <c r="C397" s="104"/>
      <c r="D397" s="103">
        <f>D379</f>
        <v>94</v>
      </c>
      <c r="E397" s="104"/>
      <c r="F397" s="105">
        <v>23.51</v>
      </c>
      <c r="G397" s="89"/>
      <c r="H397" s="103"/>
      <c r="I397" s="104"/>
      <c r="J397" s="103"/>
      <c r="K397" s="104"/>
      <c r="L397" s="103">
        <f>ROUND(D397*F397,1)</f>
        <v>2209.9</v>
      </c>
      <c r="M397" s="104"/>
      <c r="N397" s="105" t="s">
        <v>440</v>
      </c>
      <c r="O397" s="106"/>
      <c r="P397" s="106"/>
      <c r="Q397" s="106"/>
      <c r="R397" s="107"/>
    </row>
    <row r="398" spans="2:18" ht="12" thickBot="1">
      <c r="B398" s="100" t="s">
        <v>315</v>
      </c>
      <c r="C398" s="97"/>
      <c r="D398" s="96"/>
      <c r="E398" s="97"/>
      <c r="F398" s="96"/>
      <c r="G398" s="97"/>
      <c r="H398" s="96"/>
      <c r="I398" s="97"/>
      <c r="J398" s="96"/>
      <c r="K398" s="97"/>
      <c r="L398" s="96">
        <f>SUM(L389:M397)</f>
        <v>19988.8</v>
      </c>
      <c r="M398" s="97"/>
      <c r="N398" s="96"/>
      <c r="O398" s="98"/>
      <c r="P398" s="98"/>
      <c r="Q398" s="98"/>
      <c r="R398" s="99"/>
    </row>
    <row r="399" spans="2:18" ht="11.25"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</row>
    <row r="400" spans="2:13" ht="13.5">
      <c r="B400" s="1" t="s">
        <v>308</v>
      </c>
      <c r="F400" s="3" t="s">
        <v>310</v>
      </c>
      <c r="G400" s="12">
        <f>F93</f>
        <v>5</v>
      </c>
      <c r="H400" s="1" t="s">
        <v>124</v>
      </c>
      <c r="I400" s="12">
        <f>L93</f>
        <v>4.5</v>
      </c>
      <c r="J400" s="1" t="s">
        <v>309</v>
      </c>
      <c r="K400" s="1" t="s">
        <v>311</v>
      </c>
      <c r="L400" s="1">
        <f>ROUND(SQRT(G400^2+I400^2),2)</f>
        <v>6.73</v>
      </c>
      <c r="M400" s="1" t="s">
        <v>312</v>
      </c>
    </row>
    <row r="401" spans="2:13" ht="13.5">
      <c r="B401" s="1" t="s">
        <v>313</v>
      </c>
      <c r="F401" s="3" t="s">
        <v>310</v>
      </c>
      <c r="G401" s="12">
        <f>G400</f>
        <v>5</v>
      </c>
      <c r="H401" s="1" t="s">
        <v>124</v>
      </c>
      <c r="I401" s="12">
        <f>H354</f>
        <v>2.4</v>
      </c>
      <c r="J401" s="1" t="s">
        <v>309</v>
      </c>
      <c r="K401" s="1" t="s">
        <v>311</v>
      </c>
      <c r="L401" s="1">
        <f>ROUND(SQRT(G401^2+I401^2),2)</f>
        <v>5.55</v>
      </c>
      <c r="M401" s="1" t="s">
        <v>312</v>
      </c>
    </row>
    <row r="403" ht="11.25">
      <c r="B403" s="1" t="s">
        <v>316</v>
      </c>
    </row>
    <row r="404" ht="11.25">
      <c r="C404" s="1" t="s">
        <v>317</v>
      </c>
    </row>
    <row r="406" spans="3:6" ht="11.25">
      <c r="C406" s="1" t="s">
        <v>320</v>
      </c>
      <c r="D406" s="95">
        <f>G118</f>
        <v>33600</v>
      </c>
      <c r="E406" s="94"/>
      <c r="F406" s="3" t="s">
        <v>47</v>
      </c>
    </row>
    <row r="408" ht="11.25">
      <c r="B408" s="1" t="s">
        <v>318</v>
      </c>
    </row>
    <row r="409" ht="11.25">
      <c r="C409" s="1" t="s">
        <v>319</v>
      </c>
    </row>
    <row r="411" spans="3:6" ht="12.75">
      <c r="C411" s="1" t="s">
        <v>430</v>
      </c>
      <c r="D411" s="95">
        <f>K327</f>
        <v>3360</v>
      </c>
      <c r="E411" s="95"/>
      <c r="F411" s="3" t="s">
        <v>47</v>
      </c>
    </row>
    <row r="412" spans="4:6" ht="11.25">
      <c r="D412" s="3"/>
      <c r="E412" s="3"/>
      <c r="F412" s="3"/>
    </row>
    <row r="413" spans="2:6" ht="11.25">
      <c r="B413" s="1" t="s">
        <v>321</v>
      </c>
      <c r="D413" s="3"/>
      <c r="E413" s="3"/>
      <c r="F413" s="3"/>
    </row>
    <row r="414" ht="11.25">
      <c r="C414" s="1" t="s">
        <v>322</v>
      </c>
    </row>
    <row r="416" ht="12.75">
      <c r="C416" s="1" t="s">
        <v>431</v>
      </c>
    </row>
    <row r="418" spans="2:16" ht="13.5" customHeight="1">
      <c r="B418" s="1" t="s">
        <v>323</v>
      </c>
      <c r="C418" s="95">
        <f>D411</f>
        <v>3360</v>
      </c>
      <c r="D418" s="95"/>
      <c r="E418" s="3" t="s">
        <v>158</v>
      </c>
      <c r="F418" s="27" t="s">
        <v>324</v>
      </c>
      <c r="G418" s="48">
        <v>14.3</v>
      </c>
      <c r="H418" s="3" t="s">
        <v>325</v>
      </c>
      <c r="I418" s="1" t="s">
        <v>326</v>
      </c>
      <c r="J418" s="1">
        <f>D354</f>
        <v>5.71</v>
      </c>
      <c r="K418" s="1" t="s">
        <v>327</v>
      </c>
      <c r="L418" s="4">
        <f>F93</f>
        <v>5</v>
      </c>
      <c r="M418" s="3" t="s">
        <v>329</v>
      </c>
      <c r="N418" s="94">
        <f>ROUND(C418*(G418-0.5*J418)/L418,1)</f>
        <v>7691</v>
      </c>
      <c r="O418" s="94"/>
      <c r="P418" s="3" t="s">
        <v>47</v>
      </c>
    </row>
    <row r="419" spans="3:16" ht="13.5" customHeight="1">
      <c r="C419" s="11"/>
      <c r="D419" s="11"/>
      <c r="E419" s="3"/>
      <c r="F419" s="27"/>
      <c r="G419" s="48"/>
      <c r="H419" s="3"/>
      <c r="L419" s="4"/>
      <c r="M419" s="3"/>
      <c r="N419" s="3"/>
      <c r="O419" s="3"/>
      <c r="P419" s="3"/>
    </row>
    <row r="420" ht="13.5" customHeight="1">
      <c r="B420" s="1" t="s">
        <v>469</v>
      </c>
    </row>
    <row r="421" ht="13.5" customHeight="1"/>
    <row r="422" spans="3:16" ht="13.5" customHeight="1">
      <c r="C422" s="1" t="s">
        <v>470</v>
      </c>
      <c r="G422" s="1">
        <v>0.5</v>
      </c>
      <c r="H422" s="3" t="s">
        <v>471</v>
      </c>
      <c r="I422" s="95">
        <f>D411</f>
        <v>3360</v>
      </c>
      <c r="J422" s="95"/>
      <c r="K422" s="1" t="s">
        <v>471</v>
      </c>
      <c r="L422" s="1">
        <f>R379</f>
        <v>571</v>
      </c>
      <c r="M422" s="3" t="s">
        <v>329</v>
      </c>
      <c r="N422" s="95">
        <f>ROUND(G422*I422*L422,0)</f>
        <v>959280</v>
      </c>
      <c r="O422" s="95"/>
      <c r="P422" s="1" t="s">
        <v>501</v>
      </c>
    </row>
    <row r="423" ht="13.5" customHeight="1"/>
    <row r="424" ht="13.5" customHeight="1">
      <c r="B424" s="1" t="s">
        <v>496</v>
      </c>
    </row>
    <row r="425" ht="13.5" customHeight="1"/>
    <row r="426" ht="13.5" customHeight="1">
      <c r="C426" s="1" t="s">
        <v>449</v>
      </c>
    </row>
    <row r="427" ht="13.5" customHeight="1"/>
    <row r="428" spans="4:12" ht="13.5" customHeight="1">
      <c r="D428" s="3" t="s">
        <v>329</v>
      </c>
      <c r="E428" s="3">
        <f>L398</f>
        <v>19988.8</v>
      </c>
      <c r="F428" s="3"/>
      <c r="G428" s="1" t="s">
        <v>330</v>
      </c>
      <c r="H428" s="95">
        <f>D406</f>
        <v>33600</v>
      </c>
      <c r="I428" s="95"/>
      <c r="J428" s="1" t="s">
        <v>330</v>
      </c>
      <c r="K428" s="3">
        <f>N418</f>
        <v>7691</v>
      </c>
      <c r="L428" s="3"/>
    </row>
    <row r="429" ht="13.5" customHeight="1"/>
    <row r="430" spans="4:7" ht="13.5" customHeight="1">
      <c r="D430" s="3" t="s">
        <v>329</v>
      </c>
      <c r="E430" s="95">
        <f>E428+H428+K428</f>
        <v>61279.8</v>
      </c>
      <c r="F430" s="94"/>
      <c r="G430" s="53" t="s">
        <v>472</v>
      </c>
    </row>
    <row r="431" spans="4:7" ht="13.5" customHeight="1">
      <c r="D431" s="3"/>
      <c r="E431" s="11"/>
      <c r="F431" s="3"/>
      <c r="G431" s="53"/>
    </row>
    <row r="432" spans="2:12" ht="13.5" customHeight="1">
      <c r="B432" s="1" t="s">
        <v>497</v>
      </c>
      <c r="D432" s="3" t="s">
        <v>498</v>
      </c>
      <c r="E432" s="11"/>
      <c r="F432" s="3" t="s">
        <v>500</v>
      </c>
      <c r="G432" s="53">
        <f>R379</f>
        <v>571</v>
      </c>
      <c r="H432" s="8" t="s">
        <v>502</v>
      </c>
      <c r="J432" s="1" t="s">
        <v>503</v>
      </c>
      <c r="K432" s="1" t="s">
        <v>329</v>
      </c>
      <c r="L432" s="1">
        <f>ROUND(G432/J379,2)</f>
        <v>43.59</v>
      </c>
    </row>
    <row r="433" spans="4:7" ht="13.5" customHeight="1">
      <c r="D433" s="3"/>
      <c r="E433" s="11"/>
      <c r="F433" s="3"/>
      <c r="G433" s="53"/>
    </row>
    <row r="434" spans="4:12" ht="13.5" customHeight="1">
      <c r="D434" s="3" t="s">
        <v>499</v>
      </c>
      <c r="E434" s="11"/>
      <c r="F434" s="3" t="s">
        <v>500</v>
      </c>
      <c r="G434" s="53">
        <f>R379</f>
        <v>571</v>
      </c>
      <c r="H434" s="8" t="s">
        <v>502</v>
      </c>
      <c r="J434" s="1" t="s">
        <v>504</v>
      </c>
      <c r="K434" s="1" t="s">
        <v>329</v>
      </c>
      <c r="L434" s="1">
        <f>ROUND(G434/L379,2)</f>
        <v>76.03</v>
      </c>
    </row>
    <row r="435" spans="4:8" ht="13.5" customHeight="1">
      <c r="D435" s="3"/>
      <c r="E435" s="11"/>
      <c r="F435" s="3"/>
      <c r="G435" s="53"/>
      <c r="H435" s="8"/>
    </row>
    <row r="436" spans="4:12" ht="13.5" customHeight="1">
      <c r="D436" s="3" t="s">
        <v>507</v>
      </c>
      <c r="E436" s="11"/>
      <c r="F436" s="3" t="s">
        <v>500</v>
      </c>
      <c r="G436" s="53">
        <f>G432</f>
        <v>571</v>
      </c>
      <c r="H436" s="8" t="s">
        <v>502</v>
      </c>
      <c r="J436" s="1" t="s">
        <v>508</v>
      </c>
      <c r="K436" s="1" t="s">
        <v>329</v>
      </c>
      <c r="L436" s="1">
        <f>ROUND(G436/H376*10,2)</f>
        <v>19.03</v>
      </c>
    </row>
    <row r="437" spans="4:7" ht="13.5" customHeight="1">
      <c r="D437" s="3"/>
      <c r="E437" s="11"/>
      <c r="F437" s="3"/>
      <c r="G437" s="53"/>
    </row>
    <row r="438" spans="2:7" ht="13.5" customHeight="1">
      <c r="B438" s="1" t="s">
        <v>505</v>
      </c>
      <c r="D438" s="3"/>
      <c r="E438" s="11"/>
      <c r="F438" s="3"/>
      <c r="G438" s="53"/>
    </row>
    <row r="439" ht="13.5" customHeight="1"/>
    <row r="440" spans="2:16" ht="13.5" customHeight="1">
      <c r="B440" s="54" t="s">
        <v>506</v>
      </c>
      <c r="C440" s="11"/>
      <c r="D440" s="3"/>
      <c r="E440" s="27"/>
      <c r="F440" s="48"/>
      <c r="H440" s="55" t="s">
        <v>473</v>
      </c>
      <c r="I440" s="54" t="s">
        <v>475</v>
      </c>
      <c r="K440" s="4"/>
      <c r="M440" s="3"/>
      <c r="N440" s="3"/>
      <c r="O440" s="3"/>
      <c r="P440" s="3"/>
    </row>
    <row r="441" spans="3:16" ht="13.5" customHeight="1">
      <c r="C441" s="11"/>
      <c r="D441" s="11"/>
      <c r="E441" s="3"/>
      <c r="F441" s="27"/>
      <c r="G441" s="48"/>
      <c r="H441" s="3"/>
      <c r="L441" s="4"/>
      <c r="M441" s="3"/>
      <c r="N441" s="3"/>
      <c r="O441" s="3"/>
      <c r="P441" s="3"/>
    </row>
    <row r="442" spans="3:18" ht="13.5" customHeight="1">
      <c r="C442" s="11"/>
      <c r="D442" s="56" t="s">
        <v>474</v>
      </c>
      <c r="E442" s="55" t="s">
        <v>329</v>
      </c>
      <c r="F442" s="54" t="str">
        <f>" {1400 - 24 x ("&amp;L436&amp;" - 4.5)} x 1.5 x 0.9"</f>
        <v> {1400 - 24 x (19.03 - 4.5)} x 1.5 x 0.9</v>
      </c>
      <c r="G442" s="48"/>
      <c r="H442" s="3"/>
      <c r="L442" s="4"/>
      <c r="M442" s="55" t="s">
        <v>476</v>
      </c>
      <c r="N442" s="140">
        <f>ROUND((1400-24*(L436-4.5))*1.5*0.9,0)</f>
        <v>1419</v>
      </c>
      <c r="O442" s="140"/>
      <c r="P442" s="54" t="s">
        <v>477</v>
      </c>
      <c r="R442" s="54"/>
    </row>
    <row r="443" spans="3:18" ht="13.5" customHeight="1">
      <c r="C443" s="11"/>
      <c r="D443" s="56"/>
      <c r="E443" s="55"/>
      <c r="F443" s="54"/>
      <c r="G443" s="48"/>
      <c r="H443" s="3"/>
      <c r="L443" s="4"/>
      <c r="M443" s="55"/>
      <c r="N443" s="57"/>
      <c r="O443" s="57"/>
      <c r="P443" s="54"/>
      <c r="R443" s="54"/>
    </row>
    <row r="444" spans="2:21" ht="13.5" customHeight="1">
      <c r="B444" s="63" t="s">
        <v>509</v>
      </c>
      <c r="C444" s="54"/>
      <c r="D444" s="54"/>
      <c r="F444" s="54"/>
      <c r="G444" s="54"/>
      <c r="H444" s="54"/>
      <c r="I444" s="54" t="s">
        <v>478</v>
      </c>
      <c r="J444" s="54"/>
      <c r="K444" s="54"/>
      <c r="L444" s="54"/>
      <c r="M444" s="54"/>
      <c r="P444" s="132"/>
      <c r="Q444" s="132"/>
      <c r="R444" s="54"/>
      <c r="S444" s="54"/>
      <c r="T444" s="54"/>
      <c r="U444" s="54"/>
    </row>
    <row r="445" spans="3:18" ht="13.5" customHeight="1">
      <c r="C445" s="11"/>
      <c r="D445" s="56"/>
      <c r="E445" s="55"/>
      <c r="F445" s="54"/>
      <c r="G445" s="48"/>
      <c r="H445" s="3"/>
      <c r="L445" s="4"/>
      <c r="M445" s="55"/>
      <c r="N445" s="57"/>
      <c r="O445" s="57"/>
      <c r="P445" s="54"/>
      <c r="R445" s="54"/>
    </row>
    <row r="446" spans="3:29" ht="13.5" customHeight="1">
      <c r="C446" s="56" t="s">
        <v>510</v>
      </c>
      <c r="E446" s="56" t="s">
        <v>511</v>
      </c>
      <c r="F446" s="67" t="str">
        <f>"{1400 - 8.4 x ( "&amp;L432&amp;" - 20 )} x 1.5 x 0.9"</f>
        <v>{1400 - 8.4 x ( 43.59 - 20 )} x 1.5 x 0.9</v>
      </c>
      <c r="H446" s="54"/>
      <c r="I446" s="56"/>
      <c r="J446" s="56"/>
      <c r="K446" s="54"/>
      <c r="L446"/>
      <c r="N446" s="54" t="s">
        <v>511</v>
      </c>
      <c r="O446" s="140">
        <f>ROUND((1400-8.4*(L432-20))*1.5*0.9,3)</f>
        <v>1622.489</v>
      </c>
      <c r="P446" s="140"/>
      <c r="Q446" s="56" t="s">
        <v>512</v>
      </c>
      <c r="R446" s="54"/>
      <c r="S446" s="54"/>
      <c r="T446" s="54"/>
      <c r="U446" s="54"/>
      <c r="X446" s="58"/>
      <c r="Y446" s="58"/>
      <c r="AA446" s="54"/>
      <c r="AB446" s="54"/>
      <c r="AC446" s="54"/>
    </row>
    <row r="447" spans="3:18" ht="13.5" customHeight="1">
      <c r="C447" s="11"/>
      <c r="D447" s="60"/>
      <c r="E447" s="60"/>
      <c r="F447" s="66"/>
      <c r="G447" s="66"/>
      <c r="H447" s="65"/>
      <c r="I447" s="66"/>
      <c r="J447" s="66"/>
      <c r="K447" s="60"/>
      <c r="L447" s="4"/>
      <c r="M447" s="55"/>
      <c r="N447" s="57"/>
      <c r="O447" s="57"/>
      <c r="P447" s="54"/>
      <c r="R447" s="54"/>
    </row>
    <row r="448" spans="2:18" ht="13.5" customHeight="1">
      <c r="B448" s="54" t="s">
        <v>513</v>
      </c>
      <c r="C448" s="11"/>
      <c r="D448" s="56"/>
      <c r="E448" s="55"/>
      <c r="F448" s="54"/>
      <c r="G448" s="48"/>
      <c r="H448" s="3"/>
      <c r="I448" s="55" t="s">
        <v>514</v>
      </c>
      <c r="J448" s="54" t="s">
        <v>515</v>
      </c>
      <c r="K448" s="54"/>
      <c r="L448" s="54"/>
      <c r="M448" s="54"/>
      <c r="N448" s="54"/>
      <c r="O448" s="57"/>
      <c r="P448" s="54"/>
      <c r="R448" s="54"/>
    </row>
    <row r="449" spans="3:18" ht="13.5" customHeight="1">
      <c r="C449" s="11"/>
      <c r="D449" s="56"/>
      <c r="E449" s="60"/>
      <c r="F449" s="68"/>
      <c r="G449" s="64"/>
      <c r="H449" s="65"/>
      <c r="I449" s="68"/>
      <c r="J449" s="64"/>
      <c r="K449" s="60"/>
      <c r="L449" s="69"/>
      <c r="M449" s="69"/>
      <c r="N449" s="60"/>
      <c r="O449" s="60"/>
      <c r="P449" s="56"/>
      <c r="Q449" s="56"/>
      <c r="R449" s="54"/>
    </row>
    <row r="450" spans="3:19" ht="13.5" customHeight="1">
      <c r="C450" s="54"/>
      <c r="D450" s="54"/>
      <c r="E450" s="54"/>
      <c r="F450" s="56"/>
      <c r="G450" s="247">
        <v>12000000</v>
      </c>
      <c r="H450" s="247"/>
      <c r="I450" s="56"/>
      <c r="J450" s="56"/>
      <c r="K450" s="56"/>
      <c r="L450" s="56"/>
      <c r="M450" s="54"/>
      <c r="N450" s="54"/>
      <c r="O450" s="54"/>
      <c r="P450" s="54"/>
      <c r="Q450" s="54"/>
      <c r="R450" s="54"/>
      <c r="S450" s="54"/>
    </row>
    <row r="451" spans="3:19" ht="13.5" customHeight="1">
      <c r="C451" s="56" t="s">
        <v>516</v>
      </c>
      <c r="D451" s="56"/>
      <c r="E451" s="55" t="s">
        <v>517</v>
      </c>
      <c r="F451" s="59" t="s">
        <v>518</v>
      </c>
      <c r="H451" s="54"/>
      <c r="I451" s="54"/>
      <c r="J451" s="54"/>
      <c r="K451" s="70" t="s">
        <v>519</v>
      </c>
      <c r="L451" s="54" t="s">
        <v>520</v>
      </c>
      <c r="M451" s="54"/>
      <c r="N451" s="54"/>
      <c r="R451" s="54"/>
      <c r="S451" s="54"/>
    </row>
    <row r="452" spans="3:19" ht="13.5" customHeight="1">
      <c r="C452" s="54"/>
      <c r="D452" s="54"/>
      <c r="E452" s="54"/>
      <c r="F452" s="56">
        <v>6700</v>
      </c>
      <c r="H452" s="54" t="s">
        <v>521</v>
      </c>
      <c r="I452" s="54" t="s">
        <v>522</v>
      </c>
      <c r="K452" s="54"/>
      <c r="M452" s="54"/>
      <c r="N452" s="54"/>
      <c r="O452" s="54"/>
      <c r="P452" s="54"/>
      <c r="Q452" s="54"/>
      <c r="R452" s="54"/>
      <c r="S452" s="55"/>
    </row>
    <row r="453" spans="3:19" ht="13.5" customHeight="1">
      <c r="C453" s="54"/>
      <c r="D453" s="54"/>
      <c r="E453" s="54"/>
      <c r="F453" s="55"/>
      <c r="G453" s="55"/>
      <c r="H453" s="55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5"/>
    </row>
    <row r="454" spans="3:18" ht="13.5" customHeight="1">
      <c r="C454" s="11"/>
      <c r="D454" s="56"/>
      <c r="E454" s="55"/>
      <c r="F454" s="54"/>
      <c r="G454" s="48"/>
      <c r="H454" s="3"/>
      <c r="L454" s="4"/>
      <c r="M454" s="55"/>
      <c r="N454" s="57"/>
      <c r="O454" s="57"/>
      <c r="P454" s="54"/>
      <c r="R454" s="54"/>
    </row>
    <row r="455" spans="3:24" ht="13.5" customHeight="1">
      <c r="C455" s="11"/>
      <c r="D455" s="55"/>
      <c r="E455" s="54"/>
      <c r="F455" s="247">
        <v>12000000</v>
      </c>
      <c r="G455" s="247"/>
      <c r="H455" s="56"/>
      <c r="I455" s="56"/>
      <c r="J455" s="56"/>
      <c r="K455" s="54"/>
      <c r="L455" s="54"/>
      <c r="M455" s="54"/>
      <c r="N455" s="54"/>
      <c r="O455" s="54"/>
      <c r="P455" s="54"/>
      <c r="R455" s="55"/>
      <c r="S455" s="55"/>
      <c r="T455" s="55"/>
      <c r="U455" s="54"/>
      <c r="V455" s="54"/>
      <c r="W455" s="54"/>
      <c r="X455" s="54"/>
    </row>
    <row r="456" spans="3:21" ht="13.5" customHeight="1">
      <c r="C456" s="11"/>
      <c r="D456" s="55" t="s">
        <v>517</v>
      </c>
      <c r="E456" s="59" t="s">
        <v>523</v>
      </c>
      <c r="F456" s="54"/>
      <c r="G456" s="54"/>
      <c r="H456" s="54"/>
      <c r="I456" s="54"/>
      <c r="J456" t="s">
        <v>519</v>
      </c>
      <c r="K456" s="54" t="s">
        <v>524</v>
      </c>
      <c r="L456" s="54"/>
      <c r="M456" s="54"/>
      <c r="N456" s="54" t="s">
        <v>517</v>
      </c>
      <c r="O456" s="140">
        <f>ROUND((12000000/(6700+H457^2))*1.5*0.9,3)</f>
        <v>1298.019</v>
      </c>
      <c r="P456" s="140"/>
      <c r="Q456" s="54" t="s">
        <v>525</v>
      </c>
      <c r="R456" s="58"/>
      <c r="S456" s="58"/>
      <c r="U456" s="54"/>
    </row>
    <row r="457" spans="3:24" ht="13.5" customHeight="1">
      <c r="C457" s="11"/>
      <c r="D457" s="55"/>
      <c r="E457" s="56">
        <v>6700</v>
      </c>
      <c r="G457" s="54" t="s">
        <v>526</v>
      </c>
      <c r="H457" s="56">
        <f>L434</f>
        <v>76.03</v>
      </c>
      <c r="I457" s="72">
        <v>2</v>
      </c>
      <c r="J457" s="56"/>
      <c r="K457" s="56"/>
      <c r="M457" s="54"/>
      <c r="N457" s="54"/>
      <c r="O457" s="54"/>
      <c r="P457" s="54"/>
      <c r="Q457" s="55"/>
      <c r="R457" s="55"/>
      <c r="S457" s="55"/>
      <c r="T457" s="55"/>
      <c r="U457" s="54"/>
      <c r="V457" s="54"/>
      <c r="W457" s="54"/>
      <c r="X457" s="54"/>
    </row>
    <row r="459" spans="1:28" ht="11.25">
      <c r="A459" s="73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  <c r="AA459" s="73"/>
      <c r="AB459" s="73"/>
    </row>
    <row r="460" spans="1:29" ht="11.25">
      <c r="A460" s="73"/>
      <c r="B460" s="54" t="s">
        <v>535</v>
      </c>
      <c r="E460" s="54"/>
      <c r="F460" s="54"/>
      <c r="G460" s="54"/>
      <c r="H460" s="55"/>
      <c r="I460" s="55"/>
      <c r="J460" s="55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5"/>
      <c r="V460" s="55"/>
      <c r="W460" s="55"/>
      <c r="X460" s="55"/>
      <c r="Y460" s="54"/>
      <c r="Z460" s="54"/>
      <c r="AA460" s="54"/>
      <c r="AB460" s="54"/>
      <c r="AC460" s="54"/>
    </row>
    <row r="461" spans="1:29" ht="11.25">
      <c r="A461" s="73"/>
      <c r="B461" s="73"/>
      <c r="C461" s="54"/>
      <c r="D461" s="54"/>
      <c r="E461" s="54"/>
      <c r="F461" s="54"/>
      <c r="G461" s="54"/>
      <c r="H461" s="55"/>
      <c r="I461" s="55"/>
      <c r="J461" s="55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5"/>
      <c r="V461" s="55"/>
      <c r="W461" s="55"/>
      <c r="X461" s="55"/>
      <c r="Y461" s="54"/>
      <c r="Z461" s="54"/>
      <c r="AA461" s="54"/>
      <c r="AB461" s="54"/>
      <c r="AC461" s="54"/>
    </row>
    <row r="462" spans="1:29" ht="11.25">
      <c r="A462" s="73"/>
      <c r="B462" s="73"/>
      <c r="C462" s="54"/>
      <c r="D462" s="54"/>
      <c r="E462" s="54"/>
      <c r="F462" s="54"/>
      <c r="G462" s="247">
        <v>12000000</v>
      </c>
      <c r="H462" s="247"/>
      <c r="J462" s="71"/>
      <c r="K462" s="71"/>
      <c r="L462" s="71"/>
      <c r="M462" s="71"/>
      <c r="N462" s="71"/>
      <c r="O462" s="54"/>
      <c r="P462" s="54"/>
      <c r="Q462" s="54"/>
      <c r="R462" s="54"/>
      <c r="S462" s="54"/>
      <c r="T462" s="54"/>
      <c r="U462" s="55"/>
      <c r="V462" s="55"/>
      <c r="W462" s="55"/>
      <c r="X462" s="55"/>
      <c r="Y462" s="54"/>
      <c r="Z462" s="54"/>
      <c r="AA462" s="54"/>
      <c r="AB462" s="54"/>
      <c r="AC462" s="54"/>
    </row>
    <row r="463" spans="1:29" ht="11.25">
      <c r="A463" s="73"/>
      <c r="B463" s="73"/>
      <c r="C463" s="56" t="s">
        <v>527</v>
      </c>
      <c r="D463" s="54"/>
      <c r="E463" s="55" t="s">
        <v>528</v>
      </c>
      <c r="F463" s="59" t="s">
        <v>536</v>
      </c>
      <c r="G463" s="56"/>
      <c r="J463" s="63" t="s">
        <v>530</v>
      </c>
      <c r="K463" s="54" t="s">
        <v>531</v>
      </c>
      <c r="L463" s="54"/>
      <c r="M463" s="54"/>
      <c r="N463" s="54"/>
      <c r="R463" s="54"/>
      <c r="S463" s="54"/>
      <c r="T463" s="54"/>
      <c r="U463" s="55"/>
      <c r="V463" s="55"/>
      <c r="W463" s="55"/>
      <c r="X463" s="55"/>
      <c r="Y463" s="54"/>
      <c r="Z463" s="54"/>
      <c r="AA463" s="54"/>
      <c r="AB463" s="54"/>
      <c r="AC463" s="54"/>
    </row>
    <row r="464" spans="1:29" ht="11.25">
      <c r="A464" s="73"/>
      <c r="B464" s="73"/>
      <c r="C464" s="54"/>
      <c r="D464" s="54"/>
      <c r="E464" s="54"/>
      <c r="F464" s="54"/>
      <c r="G464" s="54" t="s">
        <v>532</v>
      </c>
      <c r="H464" s="55"/>
      <c r="I464" s="54" t="s">
        <v>533</v>
      </c>
      <c r="K464" s="54"/>
      <c r="L464" s="54"/>
      <c r="N464" s="54"/>
      <c r="O464" s="54"/>
      <c r="P464" s="54"/>
      <c r="Q464" s="54"/>
      <c r="R464" s="54"/>
      <c r="S464" s="54"/>
      <c r="T464" s="54"/>
      <c r="U464" s="55"/>
      <c r="V464" s="55"/>
      <c r="W464" s="55"/>
      <c r="X464" s="55"/>
      <c r="Y464" s="54"/>
      <c r="Z464" s="54"/>
      <c r="AA464" s="54"/>
      <c r="AB464" s="54"/>
      <c r="AC464" s="54"/>
    </row>
    <row r="465" spans="1:29" ht="11.25">
      <c r="A465" s="73"/>
      <c r="B465" s="73"/>
      <c r="C465" s="54"/>
      <c r="D465" s="54"/>
      <c r="E465" s="54"/>
      <c r="F465" s="54"/>
      <c r="G465" s="54"/>
      <c r="H465" s="55"/>
      <c r="I465" s="55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5"/>
      <c r="V465" s="55"/>
      <c r="W465" s="55"/>
      <c r="X465" s="55"/>
      <c r="Y465" s="54"/>
      <c r="Z465" s="54"/>
      <c r="AA465" s="54"/>
      <c r="AB465" s="54"/>
      <c r="AC465" s="54"/>
    </row>
    <row r="466" spans="1:29" ht="11.25">
      <c r="A466" s="73"/>
      <c r="B466" s="73"/>
      <c r="C466" s="54"/>
      <c r="D466" s="54"/>
      <c r="E466" s="55"/>
      <c r="F466" s="247">
        <v>12000000</v>
      </c>
      <c r="G466" s="247"/>
      <c r="H466" s="247"/>
      <c r="I466" s="71"/>
      <c r="J466" s="71"/>
      <c r="K466" s="71"/>
      <c r="L466" s="54"/>
      <c r="M466" s="54"/>
      <c r="N466" s="54"/>
      <c r="R466" s="54"/>
      <c r="S466" s="54"/>
      <c r="T466" s="54"/>
      <c r="U466" s="55"/>
      <c r="V466" s="55"/>
      <c r="W466" s="55"/>
      <c r="X466" s="55"/>
      <c r="Y466" s="54"/>
      <c r="Z466" s="54"/>
      <c r="AA466" s="54"/>
      <c r="AB466" s="54"/>
      <c r="AC466" s="54"/>
    </row>
    <row r="467" spans="1:29" ht="11.25">
      <c r="A467" s="73"/>
      <c r="B467" s="73"/>
      <c r="C467" s="54"/>
      <c r="D467" s="54"/>
      <c r="E467" s="55" t="s">
        <v>528</v>
      </c>
      <c r="F467" s="59" t="s">
        <v>529</v>
      </c>
      <c r="G467" s="55"/>
      <c r="H467" s="54"/>
      <c r="I467" s="54"/>
      <c r="J467" s="63" t="s">
        <v>530</v>
      </c>
      <c r="K467" s="54" t="s">
        <v>531</v>
      </c>
      <c r="L467" s="54"/>
      <c r="N467" s="54" t="s">
        <v>528</v>
      </c>
      <c r="O467" s="140">
        <f>ROUND((12000000/G468^2)*1.5*0.9,3)</f>
        <v>8525.92</v>
      </c>
      <c r="P467" s="140"/>
      <c r="Q467" s="54" t="s">
        <v>534</v>
      </c>
      <c r="S467" s="54"/>
      <c r="T467" s="54"/>
      <c r="U467" s="55"/>
      <c r="V467" s="55"/>
      <c r="AC467" s="54" t="s">
        <v>533</v>
      </c>
    </row>
    <row r="468" spans="1:29" ht="11.25">
      <c r="A468" s="73"/>
      <c r="B468" s="73"/>
      <c r="C468" s="54"/>
      <c r="D468" s="54"/>
      <c r="E468" s="55"/>
      <c r="F468" s="55"/>
      <c r="G468" s="56">
        <f>L432</f>
        <v>43.59</v>
      </c>
      <c r="H468" s="54" t="s">
        <v>533</v>
      </c>
      <c r="I468" s="56"/>
      <c r="K468" s="54"/>
      <c r="L468" s="54"/>
      <c r="M468" s="54"/>
      <c r="N468" s="54"/>
      <c r="R468" s="54"/>
      <c r="S468" s="54"/>
      <c r="T468" s="54"/>
      <c r="U468" s="55"/>
      <c r="V468" s="55"/>
      <c r="W468" s="55"/>
      <c r="X468" s="55"/>
      <c r="Y468" s="54"/>
      <c r="Z468" s="54"/>
      <c r="AA468" s="54"/>
      <c r="AB468" s="54"/>
      <c r="AC468" s="54"/>
    </row>
    <row r="469" spans="1:28" ht="11.25">
      <c r="A469" s="73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  <c r="AA469" s="73"/>
      <c r="AB469" s="73"/>
    </row>
    <row r="470" spans="1:28" ht="11.25">
      <c r="A470" s="73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  <c r="AA470" s="73"/>
      <c r="AB470" s="73"/>
    </row>
    <row r="471" spans="1:28" ht="11.25">
      <c r="A471" s="73"/>
      <c r="B471" s="1" t="s">
        <v>537</v>
      </c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  <c r="AA471" s="73"/>
      <c r="AB471" s="73"/>
    </row>
    <row r="472" spans="1:28" ht="11.25">
      <c r="A472" s="73"/>
      <c r="C472" s="73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  <c r="AA472" s="73"/>
      <c r="AB472" s="73"/>
    </row>
    <row r="473" spans="1:28" ht="11.25">
      <c r="A473" s="73"/>
      <c r="B473" s="54" t="s">
        <v>538</v>
      </c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  <c r="AA473" s="73"/>
      <c r="AB473" s="73"/>
    </row>
    <row r="474" spans="1:28" ht="11.25">
      <c r="A474" s="73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  <c r="AA474" s="73"/>
      <c r="AB474" s="73"/>
    </row>
    <row r="475" spans="1:28" ht="13.5">
      <c r="A475" s="73"/>
      <c r="C475" s="54"/>
      <c r="D475" s="54"/>
      <c r="E475" s="55" t="s">
        <v>539</v>
      </c>
      <c r="F475" s="54"/>
      <c r="H475" s="248">
        <f>N422</f>
        <v>959280</v>
      </c>
      <c r="I475" s="248"/>
      <c r="J475" s="248"/>
      <c r="K475" s="54"/>
      <c r="L475" s="56"/>
      <c r="M475" s="56"/>
      <c r="N475" s="56"/>
      <c r="O475" s="55"/>
      <c r="P475" s="55"/>
      <c r="Q475" s="72"/>
      <c r="R475" s="54"/>
      <c r="S475" s="54"/>
      <c r="T475" s="54"/>
      <c r="U475" s="54"/>
      <c r="V475" s="54"/>
      <c r="W475" s="54"/>
      <c r="X475" s="54"/>
      <c r="Y475" s="54"/>
      <c r="Z475" s="73"/>
      <c r="AA475" s="73"/>
      <c r="AB475" s="73"/>
    </row>
    <row r="476" spans="1:28" ht="12">
      <c r="A476" s="73"/>
      <c r="C476" s="54" t="s">
        <v>540</v>
      </c>
      <c r="D476" s="55" t="s">
        <v>541</v>
      </c>
      <c r="E476" s="59" t="s">
        <v>547</v>
      </c>
      <c r="G476" s="55" t="s">
        <v>541</v>
      </c>
      <c r="H476" s="59" t="s">
        <v>548</v>
      </c>
      <c r="I476" s="54"/>
      <c r="K476" s="54"/>
      <c r="L476" s="55" t="s">
        <v>541</v>
      </c>
      <c r="N476" s="79">
        <f>ROUND(H475/I477,2)</f>
        <v>705.35</v>
      </c>
      <c r="O476" s="54" t="s">
        <v>542</v>
      </c>
      <c r="P476" s="54"/>
      <c r="Q476" s="74"/>
      <c r="T476" s="79"/>
      <c r="U476" s="79"/>
      <c r="W476" s="54"/>
      <c r="X476" s="54"/>
      <c r="Y476" s="54"/>
      <c r="Z476" s="73"/>
      <c r="AA476" s="73"/>
      <c r="AB476" s="73"/>
    </row>
    <row r="477" spans="1:28" ht="11.25">
      <c r="A477" s="73"/>
      <c r="C477" s="54"/>
      <c r="D477" s="54"/>
      <c r="E477" s="55" t="s">
        <v>543</v>
      </c>
      <c r="F477" s="54"/>
      <c r="H477" s="54"/>
      <c r="I477" s="81">
        <f>N379</f>
        <v>1360</v>
      </c>
      <c r="J477" s="54"/>
      <c r="K477" s="54"/>
      <c r="L477" s="54"/>
      <c r="M477" s="80"/>
      <c r="N477" s="56"/>
      <c r="O477" s="56"/>
      <c r="P477" s="56"/>
      <c r="Q477" s="54"/>
      <c r="R477" s="54"/>
      <c r="S477" s="54"/>
      <c r="T477" s="54"/>
      <c r="U477" s="54"/>
      <c r="V477" s="54"/>
      <c r="W477" s="54"/>
      <c r="X477" s="54"/>
      <c r="Y477" s="54"/>
      <c r="Z477" s="73"/>
      <c r="AA477" s="73"/>
      <c r="AB477" s="73"/>
    </row>
    <row r="478" spans="1:28" ht="11.25">
      <c r="A478" s="73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73"/>
      <c r="AA478" s="73"/>
      <c r="AB478" s="73"/>
    </row>
    <row r="479" spans="1:28" ht="11.25">
      <c r="A479" s="73"/>
      <c r="C479" s="75" t="s">
        <v>544</v>
      </c>
      <c r="D479" s="76" t="s">
        <v>545</v>
      </c>
      <c r="F479" s="75" t="str">
        <f>IF(N442&gt;N476,"&gt;","&lt;")</f>
        <v>&gt;</v>
      </c>
      <c r="G479" s="75" t="s">
        <v>540</v>
      </c>
      <c r="H479" s="78" t="s">
        <v>546</v>
      </c>
      <c r="J479" s="77"/>
      <c r="L479" s="77"/>
      <c r="M479" s="77"/>
      <c r="N479" s="77"/>
      <c r="O479" s="75" t="str">
        <f>IF(N442&gt;N476,"O.K","RETRY")</f>
        <v>O.K</v>
      </c>
      <c r="P479" s="77"/>
      <c r="Q479" s="77"/>
      <c r="R479" s="77"/>
      <c r="S479" s="77"/>
      <c r="T479" s="77"/>
      <c r="U479" s="77"/>
      <c r="V479" s="77"/>
      <c r="X479" s="54"/>
      <c r="Y479" s="54"/>
      <c r="Z479" s="73"/>
      <c r="AA479" s="73"/>
      <c r="AB479" s="73"/>
    </row>
    <row r="480" spans="1:28" ht="11.25">
      <c r="A480" s="73"/>
      <c r="C480" s="73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  <c r="AA480" s="73"/>
      <c r="AB480" s="73"/>
    </row>
    <row r="481" spans="1:28" ht="11.25">
      <c r="A481" s="73"/>
      <c r="C481" s="73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  <c r="AA481" s="73"/>
      <c r="AB481" s="73"/>
    </row>
    <row r="482" spans="1:28" ht="11.25">
      <c r="A482" s="73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  <c r="AA482" s="73"/>
      <c r="AB482" s="73"/>
    </row>
    <row r="483" spans="1:28" ht="11.25">
      <c r="A483" s="73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  <c r="AA483" s="73"/>
      <c r="AB483" s="73"/>
    </row>
    <row r="484" spans="1:28" ht="11.25">
      <c r="A484" s="73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  <c r="AA484" s="73"/>
      <c r="AB484" s="73"/>
    </row>
    <row r="485" spans="1:28" ht="11.25">
      <c r="A485" s="73"/>
      <c r="C485" s="73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  <c r="AA485" s="73"/>
      <c r="AB485" s="73"/>
    </row>
    <row r="486" spans="1:28" ht="11.25">
      <c r="A486" s="73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  <c r="AA486" s="73"/>
      <c r="AB486" s="73"/>
    </row>
    <row r="487" spans="1:28" ht="11.25">
      <c r="A487" s="73"/>
      <c r="C487" s="73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  <c r="AA487" s="73"/>
      <c r="AB487" s="73"/>
    </row>
    <row r="488" spans="1:28" ht="11.25">
      <c r="A488" s="73"/>
      <c r="C488" s="73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  <c r="AA488" s="73"/>
      <c r="AB488" s="73"/>
    </row>
    <row r="489" spans="1:28" ht="11.25">
      <c r="A489" s="73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  <c r="AA489" s="73"/>
      <c r="AB489" s="73"/>
    </row>
    <row r="490" spans="1:28" ht="11.25">
      <c r="A490" s="73"/>
      <c r="B490" s="54" t="s">
        <v>549</v>
      </c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  <c r="AA490" s="73"/>
      <c r="AB490" s="73"/>
    </row>
    <row r="491" spans="1:28" ht="11.25">
      <c r="A491" s="73"/>
      <c r="C491" s="73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  <c r="AA491" s="73"/>
      <c r="AB491" s="73"/>
    </row>
    <row r="492" spans="1:28" ht="13.5">
      <c r="A492" s="73"/>
      <c r="C492" s="54"/>
      <c r="D492" s="54"/>
      <c r="E492" s="132" t="s">
        <v>550</v>
      </c>
      <c r="F492" s="132"/>
      <c r="H492" s="54"/>
      <c r="I492" s="248">
        <f>E430</f>
        <v>61279.8</v>
      </c>
      <c r="J492" s="132"/>
      <c r="K492" s="132"/>
      <c r="L492" s="56"/>
      <c r="M492" s="56"/>
      <c r="N492" s="56"/>
      <c r="O492" s="55"/>
      <c r="P492" s="55"/>
      <c r="Q492" s="72"/>
      <c r="R492" s="54"/>
      <c r="S492" s="54"/>
      <c r="T492" s="54"/>
      <c r="U492" s="54"/>
      <c r="V492" s="54"/>
      <c r="W492" s="54"/>
      <c r="X492" s="54"/>
      <c r="Y492" s="73"/>
      <c r="Z492" s="73"/>
      <c r="AA492" s="73"/>
      <c r="AB492" s="73"/>
    </row>
    <row r="493" spans="1:28" ht="12">
      <c r="A493" s="73"/>
      <c r="C493" s="54" t="s">
        <v>331</v>
      </c>
      <c r="D493" s="55" t="s">
        <v>329</v>
      </c>
      <c r="E493" s="59" t="s">
        <v>558</v>
      </c>
      <c r="G493" s="54"/>
      <c r="H493" s="55" t="s">
        <v>329</v>
      </c>
      <c r="I493" s="59" t="s">
        <v>552</v>
      </c>
      <c r="K493" s="54"/>
      <c r="M493" s="55" t="s">
        <v>329</v>
      </c>
      <c r="N493" s="79">
        <f>ROUND(I492/J494,2)</f>
        <v>511.52</v>
      </c>
      <c r="O493" s="54"/>
      <c r="P493" s="54" t="s">
        <v>553</v>
      </c>
      <c r="Q493" s="74"/>
      <c r="T493" s="79"/>
      <c r="U493" s="79"/>
      <c r="W493" s="54"/>
      <c r="X493" s="54"/>
      <c r="Y493" s="73"/>
      <c r="Z493" s="73"/>
      <c r="AA493" s="73"/>
      <c r="AB493" s="73"/>
    </row>
    <row r="494" spans="1:28" ht="11.25">
      <c r="A494" s="73"/>
      <c r="C494" s="54"/>
      <c r="D494" s="54"/>
      <c r="E494" s="132" t="s">
        <v>480</v>
      </c>
      <c r="F494" s="132"/>
      <c r="H494" s="54"/>
      <c r="I494" s="54"/>
      <c r="J494" s="54">
        <f>B379</f>
        <v>119.8</v>
      </c>
      <c r="K494" s="54"/>
      <c r="L494" s="54"/>
      <c r="M494" s="80"/>
      <c r="N494" s="56"/>
      <c r="O494" s="56"/>
      <c r="P494" s="56"/>
      <c r="Q494" s="54"/>
      <c r="R494" s="54"/>
      <c r="S494" s="54"/>
      <c r="T494" s="54"/>
      <c r="U494" s="54"/>
      <c r="V494" s="54"/>
      <c r="W494" s="54"/>
      <c r="X494" s="54"/>
      <c r="Y494" s="73"/>
      <c r="Z494" s="73"/>
      <c r="AA494" s="73"/>
      <c r="AB494" s="73"/>
    </row>
    <row r="495" spans="1:28" ht="11.25">
      <c r="A495" s="73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73"/>
      <c r="Z495" s="73"/>
      <c r="AA495" s="73"/>
      <c r="AB495" s="73"/>
    </row>
    <row r="496" spans="1:28" ht="11.25">
      <c r="A496" s="73"/>
      <c r="C496" s="75" t="s">
        <v>554</v>
      </c>
      <c r="D496" s="76" t="s">
        <v>555</v>
      </c>
      <c r="F496" s="75" t="str">
        <f>IF(O446&gt;N493,"&gt;","&lt;")</f>
        <v>&gt;</v>
      </c>
      <c r="G496" s="75" t="s">
        <v>331</v>
      </c>
      <c r="H496" s="78" t="s">
        <v>556</v>
      </c>
      <c r="J496" s="77"/>
      <c r="L496" s="77"/>
      <c r="M496" s="77"/>
      <c r="N496" s="77"/>
      <c r="O496" s="75" t="str">
        <f>IF(O446&gt;N493,"O.K","RETRY")</f>
        <v>O.K</v>
      </c>
      <c r="P496" s="77"/>
      <c r="Q496" s="77"/>
      <c r="R496" s="77"/>
      <c r="S496" s="77"/>
      <c r="T496" s="77"/>
      <c r="U496" s="77"/>
      <c r="V496" s="77"/>
      <c r="X496" s="54"/>
      <c r="Y496" s="73"/>
      <c r="Z496" s="73"/>
      <c r="AA496" s="73"/>
      <c r="AB496" s="73"/>
    </row>
    <row r="497" spans="1:28" ht="11.25">
      <c r="A497" s="73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73"/>
      <c r="Z497" s="73"/>
      <c r="AA497" s="73"/>
      <c r="AB497" s="73"/>
    </row>
    <row r="498" spans="1:28" ht="11.25">
      <c r="A498" s="73"/>
      <c r="C498" s="54"/>
      <c r="D498" s="76" t="s">
        <v>557</v>
      </c>
      <c r="F498" s="75" t="str">
        <f>IF(O456&gt;N493,"&gt;","&lt;")</f>
        <v>&gt;</v>
      </c>
      <c r="G498" s="75" t="s">
        <v>331</v>
      </c>
      <c r="H498" s="78" t="s">
        <v>556</v>
      </c>
      <c r="J498" s="77"/>
      <c r="L498" s="77"/>
      <c r="M498" s="77"/>
      <c r="N498" s="77"/>
      <c r="O498" s="75" t="str">
        <f>IF(O456&gt;N493,"O.K","RETRY")</f>
        <v>O.K</v>
      </c>
      <c r="P498" s="77"/>
      <c r="Q498" s="77"/>
      <c r="R498" s="77"/>
      <c r="S498" s="77"/>
      <c r="T498" s="77"/>
      <c r="U498" s="77"/>
      <c r="V498" s="77"/>
      <c r="X498" s="54"/>
      <c r="Y498" s="73"/>
      <c r="Z498" s="73"/>
      <c r="AA498" s="73"/>
      <c r="AB498" s="73"/>
    </row>
    <row r="499" spans="1:28" ht="11.25">
      <c r="A499" s="73"/>
      <c r="C499" s="73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  <c r="AA499" s="73"/>
      <c r="AB499" s="73"/>
    </row>
    <row r="500" spans="1:28" ht="11.25">
      <c r="A500" s="73"/>
      <c r="C500" s="73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  <c r="AA500" s="73"/>
      <c r="AB500" s="73"/>
    </row>
    <row r="501" spans="1:28" ht="11.25">
      <c r="A501" s="73"/>
      <c r="B501" s="54" t="s">
        <v>559</v>
      </c>
      <c r="C501" s="73"/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  <c r="AA501" s="73"/>
      <c r="AB501" s="73"/>
    </row>
    <row r="502" spans="1:28" ht="11.25">
      <c r="A502" s="73"/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  <c r="AA502" s="73"/>
      <c r="AB502" s="73"/>
    </row>
    <row r="503" spans="1:28" ht="11.25">
      <c r="A503" s="73"/>
      <c r="B503" s="54"/>
      <c r="C503" s="54"/>
      <c r="D503" s="132" t="s">
        <v>560</v>
      </c>
      <c r="E503" s="132"/>
      <c r="F503" s="56"/>
      <c r="G503" s="54"/>
      <c r="H503" s="54"/>
      <c r="I503" s="54"/>
      <c r="J503" s="54" t="s">
        <v>561</v>
      </c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73"/>
      <c r="AB503" s="73"/>
    </row>
    <row r="504" spans="1:28" ht="11.25">
      <c r="A504" s="73"/>
      <c r="B504" s="54"/>
      <c r="C504" s="54"/>
      <c r="D504" s="59" t="s">
        <v>558</v>
      </c>
      <c r="E504" s="54"/>
      <c r="F504" s="55" t="s">
        <v>562</v>
      </c>
      <c r="H504" s="59" t="s">
        <v>563</v>
      </c>
      <c r="I504" s="54"/>
      <c r="J504" s="54"/>
      <c r="K504" s="54"/>
      <c r="L504" s="54"/>
      <c r="M504" s="54" t="s">
        <v>564</v>
      </c>
      <c r="N504" s="54">
        <v>1</v>
      </c>
      <c r="O504" s="54"/>
      <c r="P504" s="54"/>
      <c r="S504" s="54"/>
      <c r="T504" s="54"/>
      <c r="U504" s="54"/>
      <c r="V504" s="54"/>
      <c r="W504" s="54"/>
      <c r="X504" s="54"/>
      <c r="Y504" s="54"/>
      <c r="Z504" s="54"/>
      <c r="AA504" s="73"/>
      <c r="AB504" s="73"/>
    </row>
    <row r="505" spans="1:28" ht="11.25">
      <c r="A505" s="73"/>
      <c r="B505" s="54"/>
      <c r="C505" s="54"/>
      <c r="D505" s="132" t="s">
        <v>565</v>
      </c>
      <c r="E505" s="132"/>
      <c r="F505" s="56"/>
      <c r="G505" s="54"/>
      <c r="H505" s="54"/>
      <c r="I505" s="54"/>
      <c r="J505" s="132" t="s">
        <v>560</v>
      </c>
      <c r="K505" s="132"/>
      <c r="M505" s="56"/>
      <c r="N505" s="55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73"/>
      <c r="AB505" s="73"/>
    </row>
    <row r="506" spans="1:28" ht="11.25">
      <c r="A506" s="73"/>
      <c r="B506" s="54"/>
      <c r="C506" s="54"/>
      <c r="D506" s="54"/>
      <c r="E506" s="54"/>
      <c r="F506" s="54"/>
      <c r="G506" s="54"/>
      <c r="H506" s="54" t="s">
        <v>566</v>
      </c>
      <c r="I506" s="54" t="s">
        <v>567</v>
      </c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73"/>
      <c r="AB506" s="73"/>
    </row>
    <row r="507" spans="1:28" ht="11.25">
      <c r="A507" s="73"/>
      <c r="B507" s="54"/>
      <c r="C507" s="54"/>
      <c r="D507" s="54"/>
      <c r="E507" s="54"/>
      <c r="F507" s="54"/>
      <c r="G507" s="54"/>
      <c r="H507" s="54"/>
      <c r="I507" s="54"/>
      <c r="J507" s="132" t="s">
        <v>568</v>
      </c>
      <c r="K507" s="132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73"/>
      <c r="AB507" s="73"/>
    </row>
    <row r="508" spans="1:28" ht="11.25">
      <c r="A508" s="73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73"/>
      <c r="AB508" s="73"/>
    </row>
    <row r="509" spans="1:28" ht="11.25">
      <c r="A509" s="73"/>
      <c r="B509" s="54"/>
      <c r="C509" s="54"/>
      <c r="D509" s="131">
        <f>N493</f>
        <v>511.52</v>
      </c>
      <c r="E509" s="132"/>
      <c r="F509" s="56"/>
      <c r="G509" s="54"/>
      <c r="H509" s="54"/>
      <c r="I509" s="54"/>
      <c r="J509" s="79">
        <f>N476</f>
        <v>705.35</v>
      </c>
      <c r="K509" s="56"/>
      <c r="L509" s="56"/>
      <c r="M509" s="56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73"/>
      <c r="AB509" s="73"/>
    </row>
    <row r="510" spans="1:28" ht="13.5">
      <c r="A510" s="73"/>
      <c r="B510" s="54"/>
      <c r="C510" s="54" t="s">
        <v>569</v>
      </c>
      <c r="D510" s="59" t="s">
        <v>572</v>
      </c>
      <c r="E510" s="54"/>
      <c r="F510" s="55" t="s">
        <v>562</v>
      </c>
      <c r="H510" s="59" t="s">
        <v>570</v>
      </c>
      <c r="I510" s="54"/>
      <c r="J510" s="54"/>
      <c r="K510" s="54"/>
      <c r="L510" s="54"/>
      <c r="M510" s="54"/>
      <c r="N510" s="54"/>
      <c r="O510" s="54"/>
      <c r="P510" s="54"/>
      <c r="Q510" s="54"/>
      <c r="R510" s="55"/>
      <c r="S510" s="56"/>
      <c r="T510" s="56"/>
      <c r="U510" s="55"/>
      <c r="V510" s="56"/>
      <c r="W510" s="56"/>
      <c r="X510" s="70"/>
      <c r="Y510" s="132"/>
      <c r="Z510" s="132"/>
      <c r="AA510" s="73"/>
      <c r="AB510" s="73"/>
    </row>
    <row r="511" spans="1:28" ht="13.5">
      <c r="A511" s="73"/>
      <c r="B511" s="54"/>
      <c r="C511" s="54"/>
      <c r="D511" s="137">
        <f>O446</f>
        <v>1622.489</v>
      </c>
      <c r="E511" s="137"/>
      <c r="F511" s="56"/>
      <c r="G511" s="54"/>
      <c r="J511" s="54"/>
      <c r="K511" s="79">
        <f>N493</f>
        <v>511.52</v>
      </c>
      <c r="L511" s="56"/>
      <c r="N511" s="56"/>
      <c r="O511" s="56"/>
      <c r="P511" s="54"/>
      <c r="Q511" s="54"/>
      <c r="R511" s="54"/>
      <c r="S511" s="54"/>
      <c r="T511" s="54"/>
      <c r="U511" s="54"/>
      <c r="V511"/>
      <c r="W511"/>
      <c r="X511"/>
      <c r="Y511"/>
      <c r="Z511"/>
      <c r="AA511" s="73"/>
      <c r="AB511" s="73"/>
    </row>
    <row r="512" spans="1:28" ht="13.5">
      <c r="A512" s="73"/>
      <c r="B512" s="54"/>
      <c r="C512" s="54"/>
      <c r="D512" s="54"/>
      <c r="E512" s="54"/>
      <c r="F512" s="54"/>
      <c r="G512" s="54"/>
      <c r="H512" s="138">
        <f>N442</f>
        <v>1419</v>
      </c>
      <c r="I512" s="138"/>
      <c r="J512" s="54" t="s">
        <v>571</v>
      </c>
      <c r="K512" s="54"/>
      <c r="L512" s="54"/>
      <c r="N512" s="54"/>
      <c r="O512" s="54"/>
      <c r="P512" s="54"/>
      <c r="Q512" s="54"/>
      <c r="R512" s="54"/>
      <c r="S512" s="54"/>
      <c r="T512" s="54"/>
      <c r="U512" s="54"/>
      <c r="V512"/>
      <c r="W512"/>
      <c r="X512"/>
      <c r="Y512"/>
      <c r="Z512"/>
      <c r="AA512" s="73"/>
      <c r="AB512" s="73"/>
    </row>
    <row r="513" spans="1:28" ht="13.5">
      <c r="A513" s="73"/>
      <c r="B513" s="54"/>
      <c r="C513" s="54"/>
      <c r="D513" s="54"/>
      <c r="E513" s="54"/>
      <c r="F513" s="54"/>
      <c r="G513" s="54"/>
      <c r="H513" s="54"/>
      <c r="I513" s="54"/>
      <c r="J513" s="54"/>
      <c r="K513" s="139">
        <f>O467</f>
        <v>8525.92</v>
      </c>
      <c r="L513" s="139"/>
      <c r="N513" s="56"/>
      <c r="O513" s="56"/>
      <c r="P513" s="54"/>
      <c r="Q513" s="54"/>
      <c r="R513" s="54"/>
      <c r="S513" s="54"/>
      <c r="T513" s="54"/>
      <c r="U513" s="54"/>
      <c r="V513"/>
      <c r="W513"/>
      <c r="X513"/>
      <c r="Y513"/>
      <c r="Z513"/>
      <c r="AA513" s="73"/>
      <c r="AB513" s="73"/>
    </row>
    <row r="514" spans="1:28" ht="11.25">
      <c r="A514" s="73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73"/>
      <c r="AB514" s="73"/>
    </row>
    <row r="515" spans="1:28" ht="13.5">
      <c r="A515" s="73"/>
      <c r="B515" s="54"/>
      <c r="C515" s="55" t="s">
        <v>311</v>
      </c>
      <c r="D515" s="56">
        <f>ROUND(D509/D511,3)</f>
        <v>0.315</v>
      </c>
      <c r="E515" s="56"/>
      <c r="F515" s="55" t="s">
        <v>479</v>
      </c>
      <c r="G515" s="56">
        <f>ROUND(J509/(H512*(1-(K511/K513))),3)</f>
        <v>0.529</v>
      </c>
      <c r="H515" s="56"/>
      <c r="I515" s="70" t="s">
        <v>311</v>
      </c>
      <c r="J515" s="249">
        <f>D515+G515</f>
        <v>0.8440000000000001</v>
      </c>
      <c r="K515" s="249"/>
      <c r="L515" s="82" t="str">
        <f>IF(M515&lt;J515,"&gt;","&lt;")</f>
        <v>&lt;</v>
      </c>
      <c r="M515" s="55">
        <v>1</v>
      </c>
      <c r="N515" s="78" t="s">
        <v>551</v>
      </c>
      <c r="O515" s="77"/>
      <c r="P515" s="75" t="str">
        <f>IF(M515&gt;J515,"O.K","RETRY")</f>
        <v>O.K</v>
      </c>
      <c r="Q515" s="77"/>
      <c r="R515" s="77"/>
      <c r="S515" s="77"/>
      <c r="T515" s="77"/>
      <c r="U515" s="77"/>
      <c r="V515" s="77"/>
      <c r="X515" s="54"/>
      <c r="Y515" s="54"/>
      <c r="Z515" s="54"/>
      <c r="AA515" s="73"/>
      <c r="AB515" s="73"/>
    </row>
    <row r="516" spans="1:28" ht="11.25">
      <c r="A516" s="73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  <c r="AA516" s="73"/>
      <c r="AB516" s="73"/>
    </row>
    <row r="517" spans="1:28" ht="11.25">
      <c r="A517" s="73"/>
      <c r="C517" s="73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  <c r="AA517" s="73"/>
      <c r="AB517" s="73"/>
    </row>
    <row r="518" spans="1:28" ht="11.25">
      <c r="A518" s="73"/>
      <c r="B518" s="54" t="s">
        <v>573</v>
      </c>
      <c r="C518" s="73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  <c r="AA518" s="73"/>
      <c r="AB518" s="73"/>
    </row>
    <row r="519" spans="1:28" ht="11.25">
      <c r="A519" s="73"/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  <c r="AA519" s="73"/>
      <c r="AB519" s="73"/>
    </row>
    <row r="520" spans="1:28" ht="11.25">
      <c r="A520" s="73"/>
      <c r="B520" s="54"/>
      <c r="C520" s="54"/>
      <c r="D520" s="132" t="s">
        <v>574</v>
      </c>
      <c r="E520" s="132"/>
      <c r="F520" s="56"/>
      <c r="G520" s="54"/>
      <c r="H520" s="54"/>
      <c r="I520" s="54"/>
      <c r="J520" s="54" t="s">
        <v>575</v>
      </c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73"/>
      <c r="Z520" s="73"/>
      <c r="AA520" s="73"/>
      <c r="AB520" s="73"/>
    </row>
    <row r="521" spans="1:28" ht="11.25">
      <c r="A521" s="73"/>
      <c r="B521" s="54"/>
      <c r="C521" s="54"/>
      <c r="D521" s="59" t="s">
        <v>572</v>
      </c>
      <c r="E521" s="54"/>
      <c r="F521" s="54"/>
      <c r="G521" s="55" t="s">
        <v>521</v>
      </c>
      <c r="H521" s="59" t="s">
        <v>576</v>
      </c>
      <c r="I521" s="54"/>
      <c r="J521" s="54"/>
      <c r="K521" s="54"/>
      <c r="L521" s="54"/>
      <c r="M521" s="54" t="s">
        <v>577</v>
      </c>
      <c r="N521" s="55">
        <v>1</v>
      </c>
      <c r="O521" s="54"/>
      <c r="P521" s="54"/>
      <c r="S521" s="54"/>
      <c r="T521" s="54"/>
      <c r="U521" s="54"/>
      <c r="V521" s="54"/>
      <c r="W521" s="54"/>
      <c r="X521" s="54"/>
      <c r="Y521" s="73"/>
      <c r="Z521" s="73"/>
      <c r="AA521" s="73"/>
      <c r="AB521" s="73"/>
    </row>
    <row r="522" spans="1:28" ht="11.25">
      <c r="A522" s="73"/>
      <c r="B522" s="54"/>
      <c r="C522" s="54"/>
      <c r="D522" s="132" t="s">
        <v>578</v>
      </c>
      <c r="E522" s="132"/>
      <c r="F522" s="56"/>
      <c r="G522" s="54"/>
      <c r="H522" s="54"/>
      <c r="I522" s="54"/>
      <c r="J522" s="54"/>
      <c r="K522" s="56" t="s">
        <v>579</v>
      </c>
      <c r="L522" s="56"/>
      <c r="N522" s="55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73"/>
      <c r="Z522" s="73"/>
      <c r="AA522" s="73"/>
      <c r="AB522" s="73"/>
    </row>
    <row r="523" spans="1:28" ht="11.25">
      <c r="A523" s="73"/>
      <c r="B523" s="54"/>
      <c r="C523" s="54"/>
      <c r="D523" s="54"/>
      <c r="E523" s="54"/>
      <c r="F523" s="54"/>
      <c r="G523" s="54"/>
      <c r="H523" s="54" t="s">
        <v>580</v>
      </c>
      <c r="I523" s="54" t="s">
        <v>581</v>
      </c>
      <c r="J523" s="54"/>
      <c r="K523" s="54"/>
      <c r="L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73"/>
      <c r="Z523" s="73"/>
      <c r="AA523" s="73"/>
      <c r="AB523" s="73"/>
    </row>
    <row r="524" spans="1:28" ht="11.25">
      <c r="A524" s="73"/>
      <c r="B524" s="54"/>
      <c r="C524" s="54"/>
      <c r="D524" s="54"/>
      <c r="E524" s="54"/>
      <c r="F524" s="54"/>
      <c r="G524" s="54"/>
      <c r="H524" s="54"/>
      <c r="I524" s="54"/>
      <c r="J524" s="54"/>
      <c r="K524" s="54" t="s">
        <v>582</v>
      </c>
      <c r="L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73"/>
      <c r="Z524" s="73"/>
      <c r="AA524" s="73"/>
      <c r="AB524" s="73"/>
    </row>
    <row r="525" spans="1:28" ht="11.25">
      <c r="A525" s="73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73"/>
      <c r="Z525" s="73"/>
      <c r="AA525" s="73"/>
      <c r="AB525" s="73"/>
    </row>
    <row r="526" spans="1:28" ht="11.25">
      <c r="A526" s="73"/>
      <c r="B526" s="54"/>
      <c r="C526" s="54"/>
      <c r="D526" s="131">
        <f>N493</f>
        <v>511.52</v>
      </c>
      <c r="E526" s="132"/>
      <c r="F526" s="56"/>
      <c r="G526" s="54"/>
      <c r="H526" s="54"/>
      <c r="I526" s="54"/>
      <c r="J526" s="79">
        <f>N476</f>
        <v>705.35</v>
      </c>
      <c r="K526" s="56"/>
      <c r="L526" s="56"/>
      <c r="M526" s="56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73"/>
      <c r="Z526" s="73"/>
      <c r="AA526" s="73"/>
      <c r="AB526" s="73"/>
    </row>
    <row r="527" spans="1:28" ht="13.5">
      <c r="A527" s="73"/>
      <c r="B527" s="54"/>
      <c r="C527" s="54" t="s">
        <v>583</v>
      </c>
      <c r="D527" s="59" t="s">
        <v>586</v>
      </c>
      <c r="E527" s="54"/>
      <c r="F527" s="54"/>
      <c r="G527" s="55" t="s">
        <v>584</v>
      </c>
      <c r="H527" s="59" t="s">
        <v>585</v>
      </c>
      <c r="I527" s="54"/>
      <c r="J527" s="54"/>
      <c r="K527" s="54"/>
      <c r="L527" s="54"/>
      <c r="M527" s="54"/>
      <c r="N527" s="54"/>
      <c r="O527" s="54"/>
      <c r="P527" s="54"/>
      <c r="Q527" s="54"/>
      <c r="R527" s="55"/>
      <c r="S527" s="56"/>
      <c r="T527" s="56"/>
      <c r="U527" s="55"/>
      <c r="V527" s="56"/>
      <c r="W527" s="56"/>
      <c r="X527" s="70"/>
      <c r="Y527" s="73"/>
      <c r="Z527" s="73"/>
      <c r="AA527" s="73"/>
      <c r="AB527" s="73"/>
    </row>
    <row r="528" spans="1:28" ht="13.5">
      <c r="A528" s="73"/>
      <c r="B528" s="54"/>
      <c r="C528" s="54"/>
      <c r="D528" s="137">
        <f>O456</f>
        <v>1298.019</v>
      </c>
      <c r="E528" s="137"/>
      <c r="F528" s="56"/>
      <c r="G528" s="54"/>
      <c r="H528" s="54"/>
      <c r="I528" s="54"/>
      <c r="J528" s="54"/>
      <c r="K528" s="131">
        <f>N493</f>
        <v>511.52</v>
      </c>
      <c r="L528" s="132"/>
      <c r="N528" s="56"/>
      <c r="O528" s="56"/>
      <c r="P528" s="54"/>
      <c r="Q528" s="54"/>
      <c r="R528" s="54"/>
      <c r="S528" s="54"/>
      <c r="T528" s="54"/>
      <c r="U528" s="54"/>
      <c r="V528"/>
      <c r="W528"/>
      <c r="X528"/>
      <c r="Y528" s="73"/>
      <c r="Z528" s="73"/>
      <c r="AA528" s="73"/>
      <c r="AB528" s="73"/>
    </row>
    <row r="529" spans="1:28" ht="13.5">
      <c r="A529" s="73"/>
      <c r="B529" s="54"/>
      <c r="C529" s="54"/>
      <c r="D529" s="54"/>
      <c r="E529" s="54"/>
      <c r="F529" s="54"/>
      <c r="G529" s="54"/>
      <c r="H529" s="138">
        <f>N442</f>
        <v>1419</v>
      </c>
      <c r="I529" s="138"/>
      <c r="J529" s="54" t="s">
        <v>571</v>
      </c>
      <c r="K529" s="54"/>
      <c r="L529" s="54"/>
      <c r="N529" s="54"/>
      <c r="O529" s="54"/>
      <c r="P529" s="54"/>
      <c r="Q529" s="54"/>
      <c r="R529" s="54"/>
      <c r="S529" s="54"/>
      <c r="T529" s="54"/>
      <c r="U529" s="54"/>
      <c r="V529"/>
      <c r="W529"/>
      <c r="X529"/>
      <c r="Y529" s="73"/>
      <c r="Z529" s="73"/>
      <c r="AA529" s="73"/>
      <c r="AB529" s="73"/>
    </row>
    <row r="530" spans="1:28" ht="13.5">
      <c r="A530" s="73"/>
      <c r="B530" s="54"/>
      <c r="C530" s="54"/>
      <c r="D530" s="54"/>
      <c r="E530" s="54"/>
      <c r="F530" s="54"/>
      <c r="G530" s="54"/>
      <c r="H530" s="54"/>
      <c r="I530" s="54"/>
      <c r="J530" s="54"/>
      <c r="K530" s="138">
        <f>O467</f>
        <v>8525.92</v>
      </c>
      <c r="L530" s="132"/>
      <c r="N530" s="56"/>
      <c r="O530" s="56"/>
      <c r="P530" s="54"/>
      <c r="Q530" s="54"/>
      <c r="R530" s="54"/>
      <c r="S530" s="54"/>
      <c r="T530" s="54"/>
      <c r="U530" s="54"/>
      <c r="V530"/>
      <c r="W530"/>
      <c r="X530"/>
      <c r="Y530" s="73"/>
      <c r="Z530" s="73"/>
      <c r="AA530" s="73"/>
      <c r="AB530" s="73"/>
    </row>
    <row r="531" spans="1:28" ht="11.25">
      <c r="A531" s="73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73"/>
      <c r="Z531" s="73"/>
      <c r="AA531" s="73"/>
      <c r="AB531" s="73"/>
    </row>
    <row r="532" spans="1:28" ht="13.5">
      <c r="A532" s="73"/>
      <c r="B532" s="54"/>
      <c r="C532" s="55" t="s">
        <v>311</v>
      </c>
      <c r="D532" s="56">
        <f>D526/D528</f>
        <v>0.3940774364627944</v>
      </c>
      <c r="E532" s="56"/>
      <c r="F532" s="55" t="s">
        <v>479</v>
      </c>
      <c r="G532" s="56">
        <f>J526/(H529*(1-(K528/K530)))</f>
        <v>0.5288013000137455</v>
      </c>
      <c r="H532" s="56"/>
      <c r="I532" s="70" t="s">
        <v>311</v>
      </c>
      <c r="J532" s="249">
        <f>D532+G532</f>
        <v>0.9228787364765398</v>
      </c>
      <c r="K532" s="249"/>
      <c r="L532" s="82" t="str">
        <f>IF(M532&lt;J532,"&gt;","&lt;")</f>
        <v>&lt;</v>
      </c>
      <c r="M532" s="55">
        <v>1</v>
      </c>
      <c r="N532" s="78" t="s">
        <v>551</v>
      </c>
      <c r="O532" s="77"/>
      <c r="P532" s="75" t="str">
        <f>IF(M532&gt;J532,"O.K","RETRY")</f>
        <v>O.K</v>
      </c>
      <c r="Q532" s="77"/>
      <c r="R532" s="77"/>
      <c r="S532" s="77"/>
      <c r="T532" s="77"/>
      <c r="U532" s="77"/>
      <c r="V532" s="77"/>
      <c r="X532" s="54"/>
      <c r="Y532" s="73"/>
      <c r="Z532" s="73"/>
      <c r="AA532" s="73"/>
      <c r="AB532" s="73"/>
    </row>
    <row r="533" spans="1:28" ht="13.5">
      <c r="A533" s="73"/>
      <c r="B533" s="54"/>
      <c r="C533" s="55"/>
      <c r="D533" s="56"/>
      <c r="E533" s="56"/>
      <c r="F533" s="55"/>
      <c r="G533" s="56"/>
      <c r="H533" s="56"/>
      <c r="I533" s="70"/>
      <c r="J533" s="83"/>
      <c r="K533" s="83"/>
      <c r="L533" s="82"/>
      <c r="M533" s="55"/>
      <c r="N533" s="78"/>
      <c r="O533" s="77"/>
      <c r="P533" s="75"/>
      <c r="Q533" s="77"/>
      <c r="R533" s="77"/>
      <c r="S533" s="77"/>
      <c r="T533" s="77"/>
      <c r="U533" s="77"/>
      <c r="V533" s="77"/>
      <c r="X533" s="54"/>
      <c r="Y533" s="73"/>
      <c r="Z533" s="73"/>
      <c r="AA533" s="73"/>
      <c r="AB533" s="73"/>
    </row>
    <row r="534" spans="1:28" ht="13.5">
      <c r="A534" s="73"/>
      <c r="B534" s="54"/>
      <c r="C534" s="55"/>
      <c r="D534" s="56"/>
      <c r="E534" s="56"/>
      <c r="F534" s="55"/>
      <c r="G534" s="56"/>
      <c r="H534" s="56"/>
      <c r="I534" s="70"/>
      <c r="J534" s="83"/>
      <c r="K534" s="83"/>
      <c r="L534" s="82"/>
      <c r="M534" s="55"/>
      <c r="N534" s="78"/>
      <c r="O534" s="77"/>
      <c r="P534" s="75"/>
      <c r="Q534" s="77"/>
      <c r="R534" s="77"/>
      <c r="S534" s="77"/>
      <c r="T534" s="77"/>
      <c r="U534" s="77"/>
      <c r="V534" s="77"/>
      <c r="X534" s="54"/>
      <c r="Y534" s="73"/>
      <c r="Z534" s="73"/>
      <c r="AA534" s="73"/>
      <c r="AB534" s="73"/>
    </row>
    <row r="535" spans="1:28" ht="13.5">
      <c r="A535" s="73"/>
      <c r="B535" s="54"/>
      <c r="C535" s="55"/>
      <c r="D535" s="56"/>
      <c r="E535" s="56"/>
      <c r="F535" s="55"/>
      <c r="G535" s="56"/>
      <c r="H535" s="56"/>
      <c r="I535" s="70"/>
      <c r="J535" s="83"/>
      <c r="K535" s="83"/>
      <c r="L535" s="82"/>
      <c r="M535" s="55"/>
      <c r="N535" s="78"/>
      <c r="O535" s="77"/>
      <c r="P535" s="75"/>
      <c r="Q535" s="77"/>
      <c r="R535" s="77"/>
      <c r="S535" s="77"/>
      <c r="T535" s="77"/>
      <c r="U535" s="77"/>
      <c r="V535" s="77"/>
      <c r="X535" s="54"/>
      <c r="Y535" s="73"/>
      <c r="Z535" s="73"/>
      <c r="AA535" s="73"/>
      <c r="AB535" s="73"/>
    </row>
    <row r="536" spans="1:28" ht="13.5">
      <c r="A536" s="73"/>
      <c r="B536" s="54"/>
      <c r="C536" s="55"/>
      <c r="D536" s="56"/>
      <c r="E536" s="56"/>
      <c r="F536" s="55"/>
      <c r="G536" s="56"/>
      <c r="H536" s="56"/>
      <c r="I536" s="70"/>
      <c r="J536" s="83"/>
      <c r="K536" s="83"/>
      <c r="L536" s="82"/>
      <c r="M536" s="55"/>
      <c r="N536" s="78"/>
      <c r="O536" s="77"/>
      <c r="P536" s="75"/>
      <c r="Q536" s="77"/>
      <c r="R536" s="77"/>
      <c r="S536" s="77"/>
      <c r="T536" s="77"/>
      <c r="U536" s="77"/>
      <c r="V536" s="77"/>
      <c r="X536" s="54"/>
      <c r="Y536" s="73"/>
      <c r="Z536" s="73"/>
      <c r="AA536" s="73"/>
      <c r="AB536" s="73"/>
    </row>
    <row r="537" spans="1:28" ht="13.5">
      <c r="A537" s="73"/>
      <c r="B537" s="54"/>
      <c r="C537" s="55"/>
      <c r="D537" s="56"/>
      <c r="E537" s="56"/>
      <c r="F537" s="55"/>
      <c r="G537" s="56"/>
      <c r="H537" s="56"/>
      <c r="I537" s="70"/>
      <c r="J537" s="83"/>
      <c r="K537" s="83"/>
      <c r="L537" s="82"/>
      <c r="M537" s="55"/>
      <c r="N537" s="78"/>
      <c r="O537" s="77"/>
      <c r="P537" s="75"/>
      <c r="Q537" s="77"/>
      <c r="R537" s="77"/>
      <c r="S537" s="77"/>
      <c r="T537" s="77"/>
      <c r="U537" s="77"/>
      <c r="V537" s="77"/>
      <c r="X537" s="54"/>
      <c r="Y537" s="73"/>
      <c r="Z537" s="73"/>
      <c r="AA537" s="73"/>
      <c r="AB537" s="73"/>
    </row>
    <row r="538" spans="1:28" ht="13.5">
      <c r="A538" s="73"/>
      <c r="B538" s="54"/>
      <c r="C538" s="55"/>
      <c r="D538" s="56"/>
      <c r="E538" s="56"/>
      <c r="F538" s="55"/>
      <c r="G538" s="56"/>
      <c r="H538" s="56"/>
      <c r="I538" s="70"/>
      <c r="J538" s="83"/>
      <c r="K538" s="83"/>
      <c r="L538" s="82"/>
      <c r="M538" s="55"/>
      <c r="N538" s="78"/>
      <c r="O538" s="77"/>
      <c r="P538" s="75"/>
      <c r="Q538" s="77"/>
      <c r="R538" s="77"/>
      <c r="S538" s="77"/>
      <c r="T538" s="77"/>
      <c r="U538" s="77"/>
      <c r="V538" s="77"/>
      <c r="X538" s="54"/>
      <c r="Y538" s="73"/>
      <c r="Z538" s="73"/>
      <c r="AA538" s="73"/>
      <c r="AB538" s="73"/>
    </row>
    <row r="539" spans="1:28" ht="13.5">
      <c r="A539" s="73"/>
      <c r="B539" s="54"/>
      <c r="C539" s="55"/>
      <c r="D539" s="56"/>
      <c r="E539" s="56"/>
      <c r="F539" s="55"/>
      <c r="G539" s="56"/>
      <c r="H539" s="56"/>
      <c r="I539" s="70"/>
      <c r="J539" s="83"/>
      <c r="K539" s="83"/>
      <c r="L539" s="82"/>
      <c r="M539" s="55"/>
      <c r="N539" s="78"/>
      <c r="O539" s="77"/>
      <c r="P539" s="75"/>
      <c r="Q539" s="77"/>
      <c r="R539" s="77"/>
      <c r="S539" s="77"/>
      <c r="T539" s="77"/>
      <c r="U539" s="77"/>
      <c r="V539" s="77"/>
      <c r="X539" s="54"/>
      <c r="Y539" s="73"/>
      <c r="Z539" s="73"/>
      <c r="AA539" s="73"/>
      <c r="AB539" s="73"/>
    </row>
    <row r="540" spans="1:28" ht="11.25">
      <c r="A540" s="73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  <c r="AA540" s="73"/>
      <c r="AB540" s="73"/>
    </row>
    <row r="541" spans="1:28" ht="11.25">
      <c r="A541" s="73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  <c r="AA541" s="73"/>
      <c r="AB541" s="73"/>
    </row>
    <row r="542" spans="1:28" ht="11.25">
      <c r="A542" s="73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  <c r="AA542" s="73"/>
      <c r="AB542" s="73"/>
    </row>
    <row r="543" spans="1:28" ht="11.25">
      <c r="A543" s="73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  <c r="AA543" s="73"/>
      <c r="AB543" s="73"/>
    </row>
    <row r="544" spans="1:28" ht="11.25">
      <c r="A544" s="73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  <c r="AA544" s="73"/>
      <c r="AB544" s="73"/>
    </row>
    <row r="545" spans="1:28" ht="11.25">
      <c r="A545" s="73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  <c r="AA545" s="73"/>
      <c r="AB545" s="73"/>
    </row>
    <row r="546" spans="1:28" ht="11.25">
      <c r="A546" s="73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  <c r="AA546" s="73"/>
      <c r="AB546" s="73"/>
    </row>
    <row r="547" spans="1:28" ht="11.25">
      <c r="A547" s="73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  <c r="AA547" s="73"/>
      <c r="AB547" s="73"/>
    </row>
    <row r="549" ht="11.25">
      <c r="B549" s="1" t="s">
        <v>587</v>
      </c>
    </row>
    <row r="550" ht="12" thickBot="1"/>
    <row r="551" spans="2:17" ht="25.5" customHeight="1">
      <c r="B551" s="134" t="s">
        <v>332</v>
      </c>
      <c r="C551" s="135"/>
      <c r="D551" s="135"/>
      <c r="E551" s="135"/>
      <c r="F551" s="135" t="s">
        <v>333</v>
      </c>
      <c r="G551" s="135"/>
      <c r="H551" s="135"/>
      <c r="I551" s="135"/>
      <c r="J551" s="135" t="s">
        <v>334</v>
      </c>
      <c r="K551" s="135"/>
      <c r="L551" s="135"/>
      <c r="M551" s="135"/>
      <c r="N551" s="135" t="s">
        <v>335</v>
      </c>
      <c r="O551" s="135"/>
      <c r="P551" s="135"/>
      <c r="Q551" s="136"/>
    </row>
    <row r="552" spans="2:17" ht="19.5" customHeight="1" thickBot="1">
      <c r="B552" s="129" t="s">
        <v>432</v>
      </c>
      <c r="C552" s="130"/>
      <c r="D552" s="130"/>
      <c r="E552" s="130"/>
      <c r="F552" s="130" t="s">
        <v>433</v>
      </c>
      <c r="G552" s="130"/>
      <c r="H552" s="130"/>
      <c r="I552" s="130"/>
      <c r="J552" s="130" t="s">
        <v>588</v>
      </c>
      <c r="K552" s="130"/>
      <c r="L552" s="130"/>
      <c r="M552" s="130"/>
      <c r="N552" s="130">
        <v>40</v>
      </c>
      <c r="O552" s="130"/>
      <c r="P552" s="130"/>
      <c r="Q552" s="133"/>
    </row>
    <row r="554" spans="3:12" ht="11.25">
      <c r="C554" s="1" t="s">
        <v>336</v>
      </c>
      <c r="I554" s="94" t="str">
        <f>J552</f>
        <v>모래자갈층</v>
      </c>
      <c r="J554" s="94"/>
      <c r="K554" s="94"/>
      <c r="L554" s="1" t="s">
        <v>339</v>
      </c>
    </row>
    <row r="555" spans="3:7" ht="11.25">
      <c r="C555" s="1" t="s">
        <v>337</v>
      </c>
      <c r="F555" s="3">
        <f>N552</f>
        <v>40</v>
      </c>
      <c r="G555" s="1" t="s">
        <v>338</v>
      </c>
    </row>
    <row r="557" spans="2:17" ht="11.25"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</row>
    <row r="558" spans="2:17" ht="11.25"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</row>
    <row r="559" ht="11.25"/>
    <row r="560" spans="3:7" ht="11.25">
      <c r="C560" s="1" t="s">
        <v>340</v>
      </c>
      <c r="E560" s="1" t="s">
        <v>341</v>
      </c>
      <c r="G560" s="3">
        <f>N552</f>
        <v>40</v>
      </c>
    </row>
    <row r="561" spans="5:13" ht="13.5">
      <c r="E561" s="1" t="s">
        <v>342</v>
      </c>
      <c r="H561" s="3">
        <f>F376/1000</f>
        <v>0.3</v>
      </c>
      <c r="I561" s="3" t="s">
        <v>343</v>
      </c>
      <c r="J561" s="3">
        <f>H376/1000</f>
        <v>0.3</v>
      </c>
      <c r="K561" s="3" t="s">
        <v>311</v>
      </c>
      <c r="L561" s="3">
        <f>H561*J561</f>
        <v>0.09</v>
      </c>
      <c r="M561" s="1" t="s">
        <v>344</v>
      </c>
    </row>
    <row r="562" spans="5:15" ht="11.25">
      <c r="E562" s="1" t="s">
        <v>345</v>
      </c>
      <c r="M562" s="3" t="s">
        <v>329</v>
      </c>
      <c r="N562" s="84">
        <v>4</v>
      </c>
      <c r="O562" s="1" t="s">
        <v>312</v>
      </c>
    </row>
    <row r="563" spans="5:15" ht="11.25">
      <c r="E563" s="1" t="s">
        <v>346</v>
      </c>
      <c r="M563" s="3" t="s">
        <v>311</v>
      </c>
      <c r="N563" s="84">
        <v>1</v>
      </c>
      <c r="O563" s="1" t="s">
        <v>312</v>
      </c>
    </row>
    <row r="564" spans="5:12" ht="13.5">
      <c r="E564" s="1" t="s">
        <v>347</v>
      </c>
      <c r="J564" s="1" t="s">
        <v>329</v>
      </c>
      <c r="K564" s="3">
        <v>0</v>
      </c>
      <c r="L564" s="1" t="s">
        <v>348</v>
      </c>
    </row>
    <row r="565" spans="5:14" ht="11.25">
      <c r="E565" s="1" t="s">
        <v>349</v>
      </c>
      <c r="H565" s="3" t="s">
        <v>329</v>
      </c>
      <c r="I565" s="3">
        <f>F376/1000</f>
        <v>0.3</v>
      </c>
      <c r="J565" s="3" t="s">
        <v>351</v>
      </c>
      <c r="K565" s="3">
        <v>4</v>
      </c>
      <c r="L565" s="3" t="s">
        <v>311</v>
      </c>
      <c r="M565" s="1">
        <f>I565*K565</f>
        <v>1.2</v>
      </c>
      <c r="N565" s="1" t="s">
        <v>312</v>
      </c>
    </row>
    <row r="567" spans="3:18" ht="11.25">
      <c r="C567" s="1" t="s">
        <v>350</v>
      </c>
      <c r="D567" s="1" t="s">
        <v>352</v>
      </c>
      <c r="G567" s="3">
        <f>G560</f>
        <v>40</v>
      </c>
      <c r="H567" s="3" t="s">
        <v>343</v>
      </c>
      <c r="I567" s="3">
        <f>L561</f>
        <v>0.09</v>
      </c>
      <c r="J567" s="1" t="s">
        <v>353</v>
      </c>
      <c r="K567" s="1" t="s">
        <v>354</v>
      </c>
      <c r="M567" s="3">
        <f>G560</f>
        <v>40</v>
      </c>
      <c r="N567" s="3" t="s">
        <v>343</v>
      </c>
      <c r="O567" s="7">
        <f>N562</f>
        <v>4</v>
      </c>
      <c r="P567" s="23" t="s">
        <v>357</v>
      </c>
      <c r="Q567" s="3">
        <f>M565</f>
        <v>1.2</v>
      </c>
      <c r="R567" s="1" t="s">
        <v>355</v>
      </c>
    </row>
    <row r="569" spans="3:6" ht="11.25">
      <c r="C569" s="1" t="s">
        <v>356</v>
      </c>
      <c r="D569" s="94">
        <f>(2/3)*((30*G567*I567)+((1/5)*M567*O567)*Q567)</f>
        <v>97.6</v>
      </c>
      <c r="E569" s="94"/>
      <c r="F569" s="1" t="s">
        <v>358</v>
      </c>
    </row>
    <row r="571" spans="3:12" ht="12.75">
      <c r="C571" s="1" t="s">
        <v>359</v>
      </c>
      <c r="D571" s="3" t="s">
        <v>447</v>
      </c>
      <c r="E571" s="3" t="s">
        <v>329</v>
      </c>
      <c r="F571" s="94">
        <f>ROUND(E430/1000,1)</f>
        <v>61.3</v>
      </c>
      <c r="G571" s="94"/>
      <c r="H571" s="1" t="s">
        <v>358</v>
      </c>
      <c r="L571" s="3"/>
    </row>
    <row r="574" spans="3:9" ht="11.25">
      <c r="C574" s="3" t="s">
        <v>52</v>
      </c>
      <c r="D574" s="3" t="s">
        <v>360</v>
      </c>
      <c r="E574" s="3" t="str">
        <f>IF(D569&gt;=F571,"&gt;","&lt;")</f>
        <v>&gt;</v>
      </c>
      <c r="F574" s="3" t="s">
        <v>361</v>
      </c>
      <c r="G574" s="148" t="s">
        <v>138</v>
      </c>
      <c r="H574" s="149"/>
      <c r="I574" s="16" t="str">
        <f>IF(D569&gt;=F571,"o.k","n,g")</f>
        <v>o.k</v>
      </c>
    </row>
    <row r="598" ht="11.25">
      <c r="A598" s="1" t="s">
        <v>362</v>
      </c>
    </row>
    <row r="600" spans="2:8" ht="12" thickBot="1">
      <c r="B600" s="1" t="s">
        <v>363</v>
      </c>
      <c r="D600" s="1" t="s">
        <v>417</v>
      </c>
      <c r="F600" s="3" t="s">
        <v>120</v>
      </c>
      <c r="G600" s="16">
        <v>22</v>
      </c>
      <c r="H600" s="1" t="s">
        <v>386</v>
      </c>
    </row>
    <row r="601" spans="2:17" ht="13.5" customHeight="1">
      <c r="B601" s="233" t="s">
        <v>444</v>
      </c>
      <c r="C601" s="234"/>
      <c r="D601" s="234"/>
      <c r="E601" s="145"/>
      <c r="F601" s="235" t="s">
        <v>411</v>
      </c>
      <c r="G601" s="235"/>
      <c r="H601" s="235"/>
      <c r="I601" s="235"/>
      <c r="J601" s="235" t="s">
        <v>409</v>
      </c>
      <c r="K601" s="235"/>
      <c r="L601" s="235"/>
      <c r="M601" s="235"/>
      <c r="N601" s="235" t="s">
        <v>365</v>
      </c>
      <c r="O601" s="235"/>
      <c r="P601" s="235"/>
      <c r="Q601" s="243"/>
    </row>
    <row r="602" spans="2:17" ht="13.5" customHeight="1">
      <c r="B602" s="236" t="s">
        <v>445</v>
      </c>
      <c r="C602" s="237"/>
      <c r="D602" s="237"/>
      <c r="E602" s="238"/>
      <c r="F602" s="236" t="s">
        <v>445</v>
      </c>
      <c r="G602" s="237"/>
      <c r="H602" s="237"/>
      <c r="I602" s="238"/>
      <c r="J602" s="239" t="s">
        <v>446</v>
      </c>
      <c r="K602" s="240"/>
      <c r="L602" s="240"/>
      <c r="M602" s="241"/>
      <c r="N602" s="239" t="s">
        <v>446</v>
      </c>
      <c r="O602" s="240"/>
      <c r="P602" s="240"/>
      <c r="Q602" s="242"/>
    </row>
    <row r="603" spans="2:17" ht="18.75" customHeight="1" thickBot="1">
      <c r="B603" s="129">
        <v>3.8</v>
      </c>
      <c r="C603" s="130"/>
      <c r="D603" s="130"/>
      <c r="E603" s="130"/>
      <c r="F603" s="130">
        <v>3.034</v>
      </c>
      <c r="G603" s="130"/>
      <c r="H603" s="130"/>
      <c r="I603" s="130"/>
      <c r="J603" s="130">
        <v>1250</v>
      </c>
      <c r="K603" s="130"/>
      <c r="L603" s="130"/>
      <c r="M603" s="130"/>
      <c r="N603" s="130">
        <v>11880</v>
      </c>
      <c r="O603" s="130"/>
      <c r="P603" s="130"/>
      <c r="Q603" s="133"/>
    </row>
    <row r="605" ht="11.25">
      <c r="B605" s="1" t="s">
        <v>366</v>
      </c>
    </row>
    <row r="606" ht="12" thickBot="1">
      <c r="B606" s="1" t="s">
        <v>379</v>
      </c>
    </row>
    <row r="607" spans="2:18" ht="11.25">
      <c r="B607" s="123" t="s">
        <v>367</v>
      </c>
      <c r="C607" s="114"/>
      <c r="D607" s="125" t="s">
        <v>442</v>
      </c>
      <c r="E607" s="114"/>
      <c r="F607" s="113" t="s">
        <v>368</v>
      </c>
      <c r="G607" s="114"/>
      <c r="H607" s="126" t="s">
        <v>369</v>
      </c>
      <c r="I607" s="127"/>
      <c r="J607" s="127"/>
      <c r="K607" s="128"/>
      <c r="L607" s="113" t="s">
        <v>372</v>
      </c>
      <c r="M607" s="114"/>
      <c r="N607" s="113" t="s">
        <v>373</v>
      </c>
      <c r="O607" s="117"/>
      <c r="P607" s="117"/>
      <c r="Q607" s="117"/>
      <c r="R607" s="118"/>
    </row>
    <row r="608" spans="2:18" ht="12" thickBot="1">
      <c r="B608" s="124"/>
      <c r="C608" s="116"/>
      <c r="D608" s="115"/>
      <c r="E608" s="116"/>
      <c r="F608" s="115"/>
      <c r="G608" s="116"/>
      <c r="H608" s="121" t="s">
        <v>370</v>
      </c>
      <c r="I608" s="122"/>
      <c r="J608" s="121" t="s">
        <v>371</v>
      </c>
      <c r="K608" s="122"/>
      <c r="L608" s="115"/>
      <c r="M608" s="116"/>
      <c r="N608" s="115"/>
      <c r="O608" s="119"/>
      <c r="P608" s="119"/>
      <c r="Q608" s="119"/>
      <c r="R608" s="120"/>
    </row>
    <row r="609" spans="2:18" ht="12" thickTop="1">
      <c r="B609" s="110" t="s">
        <v>374</v>
      </c>
      <c r="C609" s="88"/>
      <c r="D609" s="90">
        <f>D114</f>
        <v>187.6</v>
      </c>
      <c r="E609" s="88"/>
      <c r="F609" s="111">
        <f>F93</f>
        <v>5</v>
      </c>
      <c r="G609" s="112"/>
      <c r="H609" s="111">
        <f>L93</f>
        <v>4.5</v>
      </c>
      <c r="I609" s="112"/>
      <c r="J609" s="90"/>
      <c r="K609" s="88"/>
      <c r="L609" s="90">
        <f>D609*F609*H609</f>
        <v>4221</v>
      </c>
      <c r="M609" s="88"/>
      <c r="N609" s="85" t="s">
        <v>436</v>
      </c>
      <c r="O609" s="86"/>
      <c r="P609" s="86"/>
      <c r="Q609" s="86"/>
      <c r="R609" s="87"/>
    </row>
    <row r="610" spans="2:18" ht="11.25">
      <c r="B610" s="108" t="s">
        <v>375</v>
      </c>
      <c r="C610" s="104"/>
      <c r="D610" s="103">
        <f>D109</f>
        <v>151</v>
      </c>
      <c r="E610" s="104"/>
      <c r="F610" s="109">
        <f>F93</f>
        <v>5</v>
      </c>
      <c r="G610" s="91"/>
      <c r="H610" s="105">
        <v>2</v>
      </c>
      <c r="I610" s="89"/>
      <c r="J610" s="103"/>
      <c r="K610" s="104"/>
      <c r="L610" s="103">
        <f>D610*F610*H610</f>
        <v>1510</v>
      </c>
      <c r="M610" s="104"/>
      <c r="N610" s="105" t="s">
        <v>459</v>
      </c>
      <c r="O610" s="106"/>
      <c r="P610" s="106"/>
      <c r="Q610" s="106"/>
      <c r="R610" s="107"/>
    </row>
    <row r="611" spans="2:18" ht="11.25">
      <c r="B611" s="108" t="s">
        <v>376</v>
      </c>
      <c r="C611" s="104"/>
      <c r="D611" s="103">
        <f>D193</f>
        <v>188</v>
      </c>
      <c r="E611" s="104"/>
      <c r="F611" s="109">
        <f>L93</f>
        <v>4.5</v>
      </c>
      <c r="G611" s="91"/>
      <c r="H611" s="103"/>
      <c r="I611" s="104"/>
      <c r="J611" s="103"/>
      <c r="K611" s="104"/>
      <c r="L611" s="103">
        <f>D611*F611</f>
        <v>846</v>
      </c>
      <c r="M611" s="104"/>
      <c r="N611" s="105" t="s">
        <v>438</v>
      </c>
      <c r="O611" s="106"/>
      <c r="P611" s="106"/>
      <c r="Q611" s="106"/>
      <c r="R611" s="107"/>
    </row>
    <row r="612" spans="2:18" ht="11.25">
      <c r="B612" s="108" t="s">
        <v>377</v>
      </c>
      <c r="C612" s="104"/>
      <c r="D612" s="103">
        <f>D317</f>
        <v>14.9</v>
      </c>
      <c r="E612" s="104"/>
      <c r="F612" s="109">
        <f>L400</f>
        <v>6.73</v>
      </c>
      <c r="G612" s="91"/>
      <c r="H612" s="105">
        <v>2</v>
      </c>
      <c r="I612" s="89"/>
      <c r="J612" s="103"/>
      <c r="K612" s="104"/>
      <c r="L612" s="103">
        <f>ROUND(D612*F612*H612,1)</f>
        <v>200.6</v>
      </c>
      <c r="M612" s="104"/>
      <c r="N612" s="105" t="s">
        <v>441</v>
      </c>
      <c r="O612" s="106"/>
      <c r="P612" s="106"/>
      <c r="Q612" s="106"/>
      <c r="R612" s="107"/>
    </row>
    <row r="613" spans="2:18" ht="12" thickBot="1">
      <c r="B613" s="100" t="s">
        <v>378</v>
      </c>
      <c r="C613" s="97"/>
      <c r="D613" s="96"/>
      <c r="E613" s="97"/>
      <c r="F613" s="101"/>
      <c r="G613" s="102"/>
      <c r="H613" s="96"/>
      <c r="I613" s="97"/>
      <c r="J613" s="96"/>
      <c r="K613" s="97"/>
      <c r="L613" s="96">
        <f>SUM(L609:M612)</f>
        <v>6777.6</v>
      </c>
      <c r="M613" s="97"/>
      <c r="N613" s="96"/>
      <c r="O613" s="98"/>
      <c r="P613" s="98"/>
      <c r="Q613" s="98"/>
      <c r="R613" s="99"/>
    </row>
    <row r="614" spans="2:18" ht="11.25">
      <c r="B614" s="42"/>
      <c r="C614" s="42"/>
      <c r="D614" s="42"/>
      <c r="E614" s="42"/>
      <c r="F614" s="44"/>
      <c r="G614" s="44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</row>
    <row r="615" spans="2:18" ht="11.25">
      <c r="B615" s="45" t="s">
        <v>316</v>
      </c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</row>
    <row r="616" spans="2:18" ht="11.25">
      <c r="B616" s="42"/>
      <c r="C616" s="45" t="s">
        <v>380</v>
      </c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</row>
    <row r="617" spans="2:18" ht="11.25"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</row>
    <row r="618" spans="2:18" ht="11.25">
      <c r="B618" s="42"/>
      <c r="C618" s="42" t="s">
        <v>381</v>
      </c>
      <c r="D618" s="92">
        <f>G118</f>
        <v>33600</v>
      </c>
      <c r="E618" s="93"/>
      <c r="F618" s="3" t="s">
        <v>47</v>
      </c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</row>
    <row r="619" spans="2:18" ht="11.25"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</row>
    <row r="620" spans="3:13" ht="12.75">
      <c r="C620" s="3" t="s">
        <v>52</v>
      </c>
      <c r="D620" s="1" t="s">
        <v>448</v>
      </c>
      <c r="F620" s="1" t="s">
        <v>382</v>
      </c>
      <c r="H620" s="3" t="s">
        <v>120</v>
      </c>
      <c r="I620" s="94">
        <f>L613</f>
        <v>6777.6</v>
      </c>
      <c r="J620" s="94"/>
      <c r="K620" s="3" t="s">
        <v>330</v>
      </c>
      <c r="L620" s="95">
        <f>D618</f>
        <v>33600</v>
      </c>
      <c r="M620" s="94"/>
    </row>
    <row r="622" spans="5:8" ht="11.25">
      <c r="E622" s="1" t="s">
        <v>383</v>
      </c>
      <c r="F622" s="95">
        <f>I620+L620</f>
        <v>40377.6</v>
      </c>
      <c r="G622" s="94"/>
      <c r="H622" s="3" t="s">
        <v>47</v>
      </c>
    </row>
    <row r="624" spans="2:6" ht="11.25">
      <c r="B624" s="1" t="s">
        <v>384</v>
      </c>
      <c r="F624" s="1" t="s">
        <v>388</v>
      </c>
    </row>
    <row r="626" spans="2:7" ht="11.25">
      <c r="B626" s="1" t="s">
        <v>385</v>
      </c>
      <c r="F626" s="1">
        <v>75</v>
      </c>
      <c r="G626" s="1" t="s">
        <v>386</v>
      </c>
    </row>
    <row r="628" ht="11.25">
      <c r="B628" s="1" t="s">
        <v>387</v>
      </c>
    </row>
    <row r="630" spans="3:8" ht="11.25">
      <c r="C630" s="3" t="s">
        <v>392</v>
      </c>
      <c r="D630" s="3">
        <v>150</v>
      </c>
      <c r="E630" s="1" t="s">
        <v>389</v>
      </c>
      <c r="F630" s="3"/>
      <c r="G630" s="3"/>
      <c r="H630" s="3"/>
    </row>
    <row r="631" spans="3:11" ht="11.25">
      <c r="C631" s="3" t="s">
        <v>390</v>
      </c>
      <c r="D631" s="3" t="s">
        <v>391</v>
      </c>
      <c r="E631" s="3" t="s">
        <v>120</v>
      </c>
      <c r="F631" s="3">
        <v>12</v>
      </c>
      <c r="G631" s="3" t="s">
        <v>343</v>
      </c>
      <c r="H631" s="3">
        <f>L376</f>
        <v>15</v>
      </c>
      <c r="I631" s="1" t="s">
        <v>329</v>
      </c>
      <c r="J631" s="3">
        <f>F631*H631</f>
        <v>180</v>
      </c>
      <c r="K631" s="1" t="s">
        <v>386</v>
      </c>
    </row>
    <row r="633" spans="3:8" ht="11.25">
      <c r="C633" s="1" t="s">
        <v>399</v>
      </c>
      <c r="F633" s="1">
        <f>MIN(D630,J631)</f>
        <v>150</v>
      </c>
      <c r="G633" s="1" t="s">
        <v>393</v>
      </c>
      <c r="H633" s="1" t="s">
        <v>394</v>
      </c>
    </row>
    <row r="635" ht="11.25">
      <c r="B635" s="1" t="s">
        <v>395</v>
      </c>
    </row>
    <row r="637" spans="3:5" ht="11.25">
      <c r="C637" s="3" t="s">
        <v>392</v>
      </c>
      <c r="D637" s="3">
        <v>300</v>
      </c>
      <c r="E637" s="1" t="s">
        <v>396</v>
      </c>
    </row>
    <row r="638" spans="3:11" ht="11.25">
      <c r="C638" s="3" t="s">
        <v>390</v>
      </c>
      <c r="D638" s="3" t="s">
        <v>397</v>
      </c>
      <c r="E638" s="3" t="s">
        <v>329</v>
      </c>
      <c r="F638" s="3">
        <v>24</v>
      </c>
      <c r="G638" s="3" t="s">
        <v>343</v>
      </c>
      <c r="H638" s="3">
        <f>L376</f>
        <v>15</v>
      </c>
      <c r="I638" s="1" t="s">
        <v>398</v>
      </c>
      <c r="J638" s="3">
        <f>F638*H638</f>
        <v>360</v>
      </c>
      <c r="K638" s="1" t="s">
        <v>393</v>
      </c>
    </row>
    <row r="640" spans="3:8" ht="11.25">
      <c r="C640" s="1" t="s">
        <v>400</v>
      </c>
      <c r="F640" s="1">
        <f>MIN(D637,J638)</f>
        <v>300</v>
      </c>
      <c r="G640" s="1" t="s">
        <v>386</v>
      </c>
      <c r="H640" s="1" t="s">
        <v>401</v>
      </c>
    </row>
    <row r="642" ht="11.25">
      <c r="B642" s="1" t="s">
        <v>402</v>
      </c>
    </row>
    <row r="644" spans="3:11" ht="11.25">
      <c r="C644" s="1" t="s">
        <v>403</v>
      </c>
      <c r="D644" s="3" t="s">
        <v>404</v>
      </c>
      <c r="E644" s="3" t="s">
        <v>398</v>
      </c>
      <c r="F644" s="3">
        <v>8</v>
      </c>
      <c r="G644" s="3" t="s">
        <v>343</v>
      </c>
      <c r="H644" s="3">
        <f>L376</f>
        <v>15</v>
      </c>
      <c r="I644" s="3" t="s">
        <v>120</v>
      </c>
      <c r="J644" s="3">
        <f>F644*H644</f>
        <v>120</v>
      </c>
      <c r="K644" s="1" t="s">
        <v>386</v>
      </c>
    </row>
    <row r="645" spans="3:5" ht="11.25">
      <c r="C645" s="1" t="s">
        <v>405</v>
      </c>
      <c r="D645" s="3">
        <v>37</v>
      </c>
      <c r="E645" s="1" t="s">
        <v>393</v>
      </c>
    </row>
    <row r="647" ht="11.25">
      <c r="B647" s="1" t="s">
        <v>406</v>
      </c>
    </row>
    <row r="649" spans="3:8" ht="12.75">
      <c r="C649" s="1" t="s">
        <v>407</v>
      </c>
      <c r="D649" s="1" t="s">
        <v>447</v>
      </c>
      <c r="E649" s="3" t="s">
        <v>120</v>
      </c>
      <c r="F649" s="95">
        <f>F622</f>
        <v>40377.6</v>
      </c>
      <c r="G649" s="94"/>
      <c r="H649" s="3" t="s">
        <v>47</v>
      </c>
    </row>
    <row r="651" spans="3:17" ht="11.25">
      <c r="C651" s="1" t="s">
        <v>408</v>
      </c>
      <c r="H651" s="3">
        <v>1.5</v>
      </c>
      <c r="I651" s="3" t="s">
        <v>343</v>
      </c>
      <c r="J651" s="3" t="s">
        <v>410</v>
      </c>
      <c r="K651" s="3" t="s">
        <v>343</v>
      </c>
      <c r="L651" s="3" t="s">
        <v>412</v>
      </c>
      <c r="M651" s="3"/>
      <c r="O651" s="3"/>
      <c r="Q651" s="3"/>
    </row>
    <row r="652" spans="7:16" ht="11.25">
      <c r="G652" s="1" t="s">
        <v>413</v>
      </c>
      <c r="H652" s="1">
        <v>1.5</v>
      </c>
      <c r="I652" s="3" t="s">
        <v>343</v>
      </c>
      <c r="J652" s="1">
        <f>J603</f>
        <v>1250</v>
      </c>
      <c r="K652" s="3" t="s">
        <v>343</v>
      </c>
      <c r="L652" s="1">
        <f>F603</f>
        <v>3.034</v>
      </c>
      <c r="M652" s="3" t="s">
        <v>329</v>
      </c>
      <c r="N652" s="94">
        <f>H652*J652*L652</f>
        <v>5688.75</v>
      </c>
      <c r="O652" s="94"/>
      <c r="P652" s="3" t="s">
        <v>47</v>
      </c>
    </row>
    <row r="654" spans="3:11" ht="11.25">
      <c r="C654" s="1" t="s">
        <v>414</v>
      </c>
      <c r="D654" s="1" t="s">
        <v>415</v>
      </c>
      <c r="F654" s="95">
        <f>F649</f>
        <v>40377.6</v>
      </c>
      <c r="G654" s="94"/>
      <c r="H654" s="3" t="s">
        <v>416</v>
      </c>
      <c r="I654" s="1">
        <f>N652</f>
        <v>5688.75</v>
      </c>
      <c r="J654" s="3" t="s">
        <v>120</v>
      </c>
      <c r="K654" s="1">
        <f>F654/I654</f>
        <v>7.097798286090969</v>
      </c>
    </row>
    <row r="656" spans="3:8" ht="11.25">
      <c r="C656" s="3" t="s">
        <v>52</v>
      </c>
      <c r="D656" s="1" t="s">
        <v>418</v>
      </c>
      <c r="F656" s="1" t="s">
        <v>419</v>
      </c>
      <c r="G656" s="16">
        <v>8</v>
      </c>
      <c r="H656" s="1" t="s">
        <v>420</v>
      </c>
    </row>
    <row r="658" spans="3:11" ht="11.25">
      <c r="C658" s="1" t="s">
        <v>421</v>
      </c>
      <c r="J658" s="3">
        <f>G656</f>
        <v>8</v>
      </c>
      <c r="K658" s="1" t="s">
        <v>422</v>
      </c>
    </row>
  </sheetData>
  <mergeCells count="320">
    <mergeCell ref="J532:K532"/>
    <mergeCell ref="H529:I529"/>
    <mergeCell ref="K530:L530"/>
    <mergeCell ref="F466:H466"/>
    <mergeCell ref="J515:K515"/>
    <mergeCell ref="D528:E528"/>
    <mergeCell ref="K528:L528"/>
    <mergeCell ref="D522:E522"/>
    <mergeCell ref="D526:E526"/>
    <mergeCell ref="Y510:Z510"/>
    <mergeCell ref="G462:H462"/>
    <mergeCell ref="O467:P467"/>
    <mergeCell ref="H475:J475"/>
    <mergeCell ref="J507:K507"/>
    <mergeCell ref="O456:P456"/>
    <mergeCell ref="D503:E503"/>
    <mergeCell ref="D505:E505"/>
    <mergeCell ref="J505:K505"/>
    <mergeCell ref="I492:K492"/>
    <mergeCell ref="E492:F492"/>
    <mergeCell ref="E494:F494"/>
    <mergeCell ref="N377:Q377"/>
    <mergeCell ref="N378:O378"/>
    <mergeCell ref="P378:Q378"/>
    <mergeCell ref="F455:G455"/>
    <mergeCell ref="J378:K378"/>
    <mergeCell ref="J379:K380"/>
    <mergeCell ref="L379:M380"/>
    <mergeCell ref="L378:M378"/>
    <mergeCell ref="G450:H450"/>
    <mergeCell ref="N396:R396"/>
    <mergeCell ref="D378:E378"/>
    <mergeCell ref="D379:E380"/>
    <mergeCell ref="F378:G378"/>
    <mergeCell ref="H378:I378"/>
    <mergeCell ref="A32:T32"/>
    <mergeCell ref="A33:T33"/>
    <mergeCell ref="B602:E602"/>
    <mergeCell ref="F602:I602"/>
    <mergeCell ref="J602:M602"/>
    <mergeCell ref="N602:Q602"/>
    <mergeCell ref="J601:M601"/>
    <mergeCell ref="N601:Q601"/>
    <mergeCell ref="D569:E569"/>
    <mergeCell ref="F571:G571"/>
    <mergeCell ref="B603:E603"/>
    <mergeCell ref="F603:I603"/>
    <mergeCell ref="J603:M603"/>
    <mergeCell ref="N603:Q603"/>
    <mergeCell ref="G574:H574"/>
    <mergeCell ref="B601:E601"/>
    <mergeCell ref="F601:I601"/>
    <mergeCell ref="B387:C388"/>
    <mergeCell ref="B398:C398"/>
    <mergeCell ref="D398:E398"/>
    <mergeCell ref="F398:G398"/>
    <mergeCell ref="D394:E394"/>
    <mergeCell ref="D395:E395"/>
    <mergeCell ref="B391:C391"/>
    <mergeCell ref="B379:C380"/>
    <mergeCell ref="N379:O380"/>
    <mergeCell ref="P379:Q380"/>
    <mergeCell ref="R379:R380"/>
    <mergeCell ref="F379:G380"/>
    <mergeCell ref="H379:I380"/>
    <mergeCell ref="B377:C377"/>
    <mergeCell ref="J109:L110"/>
    <mergeCell ref="G118:H118"/>
    <mergeCell ref="K143:L143"/>
    <mergeCell ref="E144:F144"/>
    <mergeCell ref="B109:C110"/>
    <mergeCell ref="D109:F110"/>
    <mergeCell ref="F377:I377"/>
    <mergeCell ref="J377:M377"/>
    <mergeCell ref="G171:H171"/>
    <mergeCell ref="A3:T3"/>
    <mergeCell ref="A30:T30"/>
    <mergeCell ref="B66:C66"/>
    <mergeCell ref="B108:C108"/>
    <mergeCell ref="D108:F108"/>
    <mergeCell ref="G108:I108"/>
    <mergeCell ref="J108:L108"/>
    <mergeCell ref="M108:N108"/>
    <mergeCell ref="O108:P108"/>
    <mergeCell ref="Q108:R108"/>
    <mergeCell ref="Q109:R110"/>
    <mergeCell ref="M168:N168"/>
    <mergeCell ref="G169:H169"/>
    <mergeCell ref="G146:H146"/>
    <mergeCell ref="J146:K146"/>
    <mergeCell ref="M146:N146"/>
    <mergeCell ref="G109:I110"/>
    <mergeCell ref="M109:N110"/>
    <mergeCell ref="O109:P110"/>
    <mergeCell ref="M148:N148"/>
    <mergeCell ref="J171:K171"/>
    <mergeCell ref="M171:N171"/>
    <mergeCell ref="K173:L173"/>
    <mergeCell ref="J181:K181"/>
    <mergeCell ref="M181:N181"/>
    <mergeCell ref="E182:F182"/>
    <mergeCell ref="M182:N182"/>
    <mergeCell ref="E183:F183"/>
    <mergeCell ref="H183:I183"/>
    <mergeCell ref="K183:L183"/>
    <mergeCell ref="O192:P192"/>
    <mergeCell ref="Q192:R192"/>
    <mergeCell ref="B193:C194"/>
    <mergeCell ref="D193:F194"/>
    <mergeCell ref="G193:I194"/>
    <mergeCell ref="J193:L194"/>
    <mergeCell ref="M193:N194"/>
    <mergeCell ref="O193:P194"/>
    <mergeCell ref="Q193:R194"/>
    <mergeCell ref="B192:C192"/>
    <mergeCell ref="E233:F233"/>
    <mergeCell ref="G235:H235"/>
    <mergeCell ref="J235:K235"/>
    <mergeCell ref="M192:N192"/>
    <mergeCell ref="M235:N235"/>
    <mergeCell ref="D192:F192"/>
    <mergeCell ref="G192:I192"/>
    <mergeCell ref="J192:L192"/>
    <mergeCell ref="M237:N237"/>
    <mergeCell ref="M266:N266"/>
    <mergeCell ref="G209:H209"/>
    <mergeCell ref="K231:L231"/>
    <mergeCell ref="G270:H270"/>
    <mergeCell ref="J270:K270"/>
    <mergeCell ref="M270:N270"/>
    <mergeCell ref="K272:L272"/>
    <mergeCell ref="J280:K280"/>
    <mergeCell ref="M280:N280"/>
    <mergeCell ref="E281:F281"/>
    <mergeCell ref="M281:N281"/>
    <mergeCell ref="E282:F282"/>
    <mergeCell ref="H282:I282"/>
    <mergeCell ref="K282:L282"/>
    <mergeCell ref="K201:L201"/>
    <mergeCell ref="I203:J203"/>
    <mergeCell ref="F204:G204"/>
    <mergeCell ref="D209:E209"/>
    <mergeCell ref="D211:E211"/>
    <mergeCell ref="I211:J211"/>
    <mergeCell ref="E232:F232"/>
    <mergeCell ref="O267:P267"/>
    <mergeCell ref="K268:L268"/>
    <mergeCell ref="D243:E243"/>
    <mergeCell ref="F244:G244"/>
    <mergeCell ref="M246:N246"/>
    <mergeCell ref="K267:L267"/>
    <mergeCell ref="B316:C316"/>
    <mergeCell ref="D316:F316"/>
    <mergeCell ref="G316:I316"/>
    <mergeCell ref="J316:L316"/>
    <mergeCell ref="M316:N316"/>
    <mergeCell ref="O316:P316"/>
    <mergeCell ref="Q316:R316"/>
    <mergeCell ref="B317:C318"/>
    <mergeCell ref="D317:F318"/>
    <mergeCell ref="G317:I318"/>
    <mergeCell ref="J317:L318"/>
    <mergeCell ref="M317:N318"/>
    <mergeCell ref="O317:P318"/>
    <mergeCell ref="Q317:R318"/>
    <mergeCell ref="D327:E327"/>
    <mergeCell ref="K327:L327"/>
    <mergeCell ref="K333:L333"/>
    <mergeCell ref="G366:H366"/>
    <mergeCell ref="D335:E335"/>
    <mergeCell ref="G337:H337"/>
    <mergeCell ref="D361:E361"/>
    <mergeCell ref="D364:E364"/>
    <mergeCell ref="F394:G394"/>
    <mergeCell ref="H394:I394"/>
    <mergeCell ref="H395:I395"/>
    <mergeCell ref="H396:I396"/>
    <mergeCell ref="F395:G395"/>
    <mergeCell ref="J394:K394"/>
    <mergeCell ref="B397:C397"/>
    <mergeCell ref="L397:M397"/>
    <mergeCell ref="J397:K397"/>
    <mergeCell ref="H397:I397"/>
    <mergeCell ref="F397:G397"/>
    <mergeCell ref="D397:E397"/>
    <mergeCell ref="B395:C395"/>
    <mergeCell ref="J395:K395"/>
    <mergeCell ref="J396:K396"/>
    <mergeCell ref="N397:R397"/>
    <mergeCell ref="F396:G396"/>
    <mergeCell ref="F389:G389"/>
    <mergeCell ref="F390:G390"/>
    <mergeCell ref="N393:R393"/>
    <mergeCell ref="N394:R394"/>
    <mergeCell ref="N395:R395"/>
    <mergeCell ref="F391:G391"/>
    <mergeCell ref="F392:G392"/>
    <mergeCell ref="F393:G393"/>
    <mergeCell ref="J389:K389"/>
    <mergeCell ref="J390:K390"/>
    <mergeCell ref="H389:I389"/>
    <mergeCell ref="H390:I390"/>
    <mergeCell ref="H391:I391"/>
    <mergeCell ref="H392:I392"/>
    <mergeCell ref="H393:I393"/>
    <mergeCell ref="N389:R389"/>
    <mergeCell ref="N390:R390"/>
    <mergeCell ref="N391:R391"/>
    <mergeCell ref="N392:R392"/>
    <mergeCell ref="J391:K391"/>
    <mergeCell ref="J392:K392"/>
    <mergeCell ref="J393:K393"/>
    <mergeCell ref="D389:E389"/>
    <mergeCell ref="D390:E390"/>
    <mergeCell ref="D391:E391"/>
    <mergeCell ref="D392:E392"/>
    <mergeCell ref="D393:E393"/>
    <mergeCell ref="B392:C392"/>
    <mergeCell ref="B393:C393"/>
    <mergeCell ref="B394:C394"/>
    <mergeCell ref="L389:M389"/>
    <mergeCell ref="L390:M390"/>
    <mergeCell ref="L391:M391"/>
    <mergeCell ref="L392:M392"/>
    <mergeCell ref="L393:M393"/>
    <mergeCell ref="L394:M394"/>
    <mergeCell ref="L395:M395"/>
    <mergeCell ref="L396:M396"/>
    <mergeCell ref="F387:G388"/>
    <mergeCell ref="L387:M388"/>
    <mergeCell ref="N387:R388"/>
    <mergeCell ref="H387:K387"/>
    <mergeCell ref="H388:I388"/>
    <mergeCell ref="J388:K388"/>
    <mergeCell ref="H398:I398"/>
    <mergeCell ref="J398:K398"/>
    <mergeCell ref="L398:M398"/>
    <mergeCell ref="N398:R398"/>
    <mergeCell ref="D406:E406"/>
    <mergeCell ref="D411:E411"/>
    <mergeCell ref="C418:D418"/>
    <mergeCell ref="D377:E377"/>
    <mergeCell ref="B378:C378"/>
    <mergeCell ref="D387:E388"/>
    <mergeCell ref="B389:C389"/>
    <mergeCell ref="D396:E396"/>
    <mergeCell ref="B396:C396"/>
    <mergeCell ref="B390:C390"/>
    <mergeCell ref="N418:O418"/>
    <mergeCell ref="E430:F430"/>
    <mergeCell ref="N442:O442"/>
    <mergeCell ref="O446:P446"/>
    <mergeCell ref="P444:Q444"/>
    <mergeCell ref="I422:J422"/>
    <mergeCell ref="N422:O422"/>
    <mergeCell ref="H428:I428"/>
    <mergeCell ref="D509:E509"/>
    <mergeCell ref="N552:Q552"/>
    <mergeCell ref="B551:E551"/>
    <mergeCell ref="F551:I551"/>
    <mergeCell ref="J551:M551"/>
    <mergeCell ref="N551:Q551"/>
    <mergeCell ref="D511:E511"/>
    <mergeCell ref="H512:I512"/>
    <mergeCell ref="K513:L513"/>
    <mergeCell ref="D520:E520"/>
    <mergeCell ref="I554:K554"/>
    <mergeCell ref="B552:E552"/>
    <mergeCell ref="F552:I552"/>
    <mergeCell ref="J552:M552"/>
    <mergeCell ref="B607:C608"/>
    <mergeCell ref="D607:E608"/>
    <mergeCell ref="F607:G608"/>
    <mergeCell ref="H607:K607"/>
    <mergeCell ref="L607:M608"/>
    <mergeCell ref="N607:R608"/>
    <mergeCell ref="H608:I608"/>
    <mergeCell ref="J608:K608"/>
    <mergeCell ref="B609:C609"/>
    <mergeCell ref="D609:E609"/>
    <mergeCell ref="F609:G609"/>
    <mergeCell ref="H609:I609"/>
    <mergeCell ref="J609:K609"/>
    <mergeCell ref="L609:M609"/>
    <mergeCell ref="N609:R609"/>
    <mergeCell ref="B610:C610"/>
    <mergeCell ref="D610:E610"/>
    <mergeCell ref="F610:G610"/>
    <mergeCell ref="H610:I610"/>
    <mergeCell ref="J610:K610"/>
    <mergeCell ref="L610:M610"/>
    <mergeCell ref="N610:R610"/>
    <mergeCell ref="B611:C611"/>
    <mergeCell ref="D611:E611"/>
    <mergeCell ref="F611:G611"/>
    <mergeCell ref="H611:I611"/>
    <mergeCell ref="J611:K611"/>
    <mergeCell ref="L611:M611"/>
    <mergeCell ref="N611:R611"/>
    <mergeCell ref="B612:C612"/>
    <mergeCell ref="D612:E612"/>
    <mergeCell ref="F612:G612"/>
    <mergeCell ref="H612:I612"/>
    <mergeCell ref="J612:K612"/>
    <mergeCell ref="L612:M612"/>
    <mergeCell ref="N612:R612"/>
    <mergeCell ref="B613:C613"/>
    <mergeCell ref="D613:E613"/>
    <mergeCell ref="F613:G613"/>
    <mergeCell ref="H613:I613"/>
    <mergeCell ref="D618:E618"/>
    <mergeCell ref="N652:O652"/>
    <mergeCell ref="F654:G654"/>
    <mergeCell ref="J613:K613"/>
    <mergeCell ref="L613:M613"/>
    <mergeCell ref="N613:R613"/>
    <mergeCell ref="I620:J620"/>
    <mergeCell ref="L620:M620"/>
    <mergeCell ref="F622:G622"/>
    <mergeCell ref="F649:G649"/>
  </mergeCells>
  <printOptions/>
  <pageMargins left="0.51" right="0.42" top="0.87" bottom="0.81" header="0.5" footer="0.5"/>
  <pageSetup horizontalDpi="600" verticalDpi="600" orientation="portrait" paperSize="9" scale="99" r:id="rId10"/>
  <rowBreaks count="7" manualBreakCount="7">
    <brk id="62" max="255" man="1"/>
    <brk id="124" max="19" man="1"/>
    <brk id="187" max="19" man="1"/>
    <brk id="249" max="255" man="1"/>
    <brk id="311" max="19" man="1"/>
    <brk id="373" max="19" man="1"/>
    <brk id="597" max="19" man="1"/>
  </rowBreaks>
  <drawing r:id="rId9"/>
  <legacyDrawing r:id="rId8"/>
  <oleObjects>
    <oleObject progId="AutoCAD.Drawing.14" shapeId="200217" r:id="rId1"/>
    <oleObject progId="AutoCAD.Drawing.14" shapeId="430046" r:id="rId2"/>
    <oleObject progId="AutoCAD.Drawing.14" shapeId="590394" r:id="rId3"/>
    <oleObject progId="AutoCAD.Drawing.14" shapeId="913602" r:id="rId4"/>
    <oleObject progId="AutoCAD.Drawing.14" shapeId="1083591" r:id="rId5"/>
    <oleObject progId="Drawing" shapeId="932697" r:id="rId6"/>
    <oleObject progId="AutoCAD.Drawing.17" shapeId="1852336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view="pageBreakPreview" zoomScaleSheetLayoutView="100" workbookViewId="0" topLeftCell="B1">
      <pane xSplit="11" ySplit="6" topLeftCell="M7" activePane="bottomRight" state="frozen"/>
      <selection pane="topLeft" activeCell="B1" sqref="B1"/>
      <selection pane="topRight" activeCell="M1" sqref="M1"/>
      <selection pane="bottomLeft" activeCell="B7" sqref="B7"/>
      <selection pane="bottomRight" activeCell="J27" sqref="J27"/>
    </sheetView>
  </sheetViews>
  <sheetFormatPr defaultColWidth="8.88671875" defaultRowHeight="13.5"/>
  <sheetData>
    <row r="1" spans="1:13" ht="13.5" customHeight="1">
      <c r="A1" s="30" t="s">
        <v>165</v>
      </c>
      <c r="B1" s="252" t="s">
        <v>169</v>
      </c>
      <c r="C1" s="252"/>
      <c r="D1" s="252"/>
      <c r="E1" s="252"/>
      <c r="F1" s="30" t="s">
        <v>173</v>
      </c>
      <c r="G1" s="30" t="s">
        <v>177</v>
      </c>
      <c r="H1" s="252" t="s">
        <v>182</v>
      </c>
      <c r="I1" s="252"/>
      <c r="J1" s="252" t="s">
        <v>187</v>
      </c>
      <c r="K1" s="252"/>
      <c r="L1" s="252" t="s">
        <v>192</v>
      </c>
      <c r="M1" s="252"/>
    </row>
    <row r="2" spans="1:13" ht="13.5" customHeight="1">
      <c r="A2" s="30" t="s">
        <v>166</v>
      </c>
      <c r="B2" s="252" t="s">
        <v>170</v>
      </c>
      <c r="C2" s="252"/>
      <c r="D2" s="252"/>
      <c r="E2" s="252"/>
      <c r="F2" s="30" t="s">
        <v>174</v>
      </c>
      <c r="G2" s="30" t="s">
        <v>178</v>
      </c>
      <c r="H2" s="252" t="s">
        <v>183</v>
      </c>
      <c r="I2" s="252"/>
      <c r="J2" s="252" t="s">
        <v>188</v>
      </c>
      <c r="K2" s="252"/>
      <c r="L2" s="252" t="s">
        <v>193</v>
      </c>
      <c r="M2" s="252"/>
    </row>
    <row r="3" spans="1:13" ht="13.5" customHeight="1">
      <c r="A3" s="30" t="s">
        <v>167</v>
      </c>
      <c r="B3" s="252" t="s">
        <v>171</v>
      </c>
      <c r="C3" s="252"/>
      <c r="D3" s="252"/>
      <c r="E3" s="252"/>
      <c r="F3" s="30" t="s">
        <v>175</v>
      </c>
      <c r="G3" s="30" t="s">
        <v>179</v>
      </c>
      <c r="H3" s="252" t="s">
        <v>184</v>
      </c>
      <c r="I3" s="252"/>
      <c r="J3" s="252" t="s">
        <v>189</v>
      </c>
      <c r="K3" s="252"/>
      <c r="L3" s="252" t="s">
        <v>194</v>
      </c>
      <c r="M3" s="252"/>
    </row>
    <row r="4" spans="1:13" ht="15.75" customHeight="1">
      <c r="A4" s="30" t="s">
        <v>168</v>
      </c>
      <c r="B4" s="252" t="s">
        <v>172</v>
      </c>
      <c r="C4" s="252"/>
      <c r="D4" s="252"/>
      <c r="E4" s="252"/>
      <c r="F4" s="30" t="s">
        <v>176</v>
      </c>
      <c r="G4" s="30" t="s">
        <v>180</v>
      </c>
      <c r="H4" s="252" t="s">
        <v>185</v>
      </c>
      <c r="I4" s="252"/>
      <c r="J4" s="252" t="s">
        <v>190</v>
      </c>
      <c r="K4" s="252"/>
      <c r="L4" s="252" t="s">
        <v>195</v>
      </c>
      <c r="M4" s="252"/>
    </row>
    <row r="5" spans="1:13" ht="15.75" customHeight="1">
      <c r="A5" s="31"/>
      <c r="B5" s="253"/>
      <c r="C5" s="253"/>
      <c r="D5" s="253"/>
      <c r="E5" s="253"/>
      <c r="F5" s="31"/>
      <c r="G5" s="30" t="s">
        <v>181</v>
      </c>
      <c r="H5" s="252" t="s">
        <v>186</v>
      </c>
      <c r="I5" s="252"/>
      <c r="J5" s="252" t="s">
        <v>191</v>
      </c>
      <c r="K5" s="252"/>
      <c r="L5" s="253"/>
      <c r="M5" s="253"/>
    </row>
    <row r="6" spans="1:13" ht="13.5">
      <c r="A6" s="30" t="s">
        <v>172</v>
      </c>
      <c r="B6" s="30" t="s">
        <v>196</v>
      </c>
      <c r="C6" s="30" t="s">
        <v>197</v>
      </c>
      <c r="D6" s="30" t="s">
        <v>198</v>
      </c>
      <c r="E6" s="30" t="s">
        <v>199</v>
      </c>
      <c r="F6" s="30" t="s">
        <v>200</v>
      </c>
      <c r="G6" s="30" t="s">
        <v>201</v>
      </c>
      <c r="H6" s="30" t="s">
        <v>202</v>
      </c>
      <c r="I6" s="30" t="s">
        <v>203</v>
      </c>
      <c r="J6" s="30" t="s">
        <v>204</v>
      </c>
      <c r="K6" s="30" t="s">
        <v>205</v>
      </c>
      <c r="L6" s="30" t="s">
        <v>206</v>
      </c>
      <c r="M6" s="30" t="s">
        <v>207</v>
      </c>
    </row>
    <row r="7" spans="1:13" ht="13.5">
      <c r="A7" s="32" t="s">
        <v>208</v>
      </c>
      <c r="B7" s="32" t="s">
        <v>208</v>
      </c>
      <c r="C7" s="32">
        <v>6</v>
      </c>
      <c r="D7" s="32">
        <v>8</v>
      </c>
      <c r="E7" s="32">
        <v>10</v>
      </c>
      <c r="F7" s="32">
        <v>21.9</v>
      </c>
      <c r="G7" s="32">
        <v>17.2</v>
      </c>
      <c r="H7" s="32">
        <v>383</v>
      </c>
      <c r="I7" s="32">
        <v>134</v>
      </c>
      <c r="J7" s="32">
        <v>4.18</v>
      </c>
      <c r="K7" s="32">
        <v>2.47</v>
      </c>
      <c r="L7" s="32">
        <v>76.5</v>
      </c>
      <c r="M7" s="32">
        <v>26.7</v>
      </c>
    </row>
    <row r="8" spans="1:13" ht="13.5">
      <c r="A8" s="33" t="s">
        <v>209</v>
      </c>
      <c r="B8" s="33" t="s">
        <v>209</v>
      </c>
      <c r="C8" s="33">
        <v>6.5</v>
      </c>
      <c r="D8" s="33">
        <v>9</v>
      </c>
      <c r="E8" s="33">
        <v>10</v>
      </c>
      <c r="F8" s="33">
        <v>30.31</v>
      </c>
      <c r="G8" s="33">
        <v>23.8</v>
      </c>
      <c r="H8" s="33">
        <v>847</v>
      </c>
      <c r="I8" s="33">
        <v>293</v>
      </c>
      <c r="J8" s="33">
        <v>5.29</v>
      </c>
      <c r="K8" s="33">
        <v>3.11</v>
      </c>
      <c r="L8" s="33">
        <v>136</v>
      </c>
      <c r="M8" s="33">
        <v>47</v>
      </c>
    </row>
    <row r="9" spans="1:13" ht="13.5">
      <c r="A9" s="32" t="s">
        <v>210</v>
      </c>
      <c r="B9" s="32" t="s">
        <v>210</v>
      </c>
      <c r="C9" s="32">
        <v>5</v>
      </c>
      <c r="D9" s="32">
        <v>7</v>
      </c>
      <c r="E9" s="32">
        <v>8</v>
      </c>
      <c r="F9" s="32">
        <v>17.85</v>
      </c>
      <c r="G9" s="32">
        <v>14</v>
      </c>
      <c r="H9" s="32">
        <v>666</v>
      </c>
      <c r="I9" s="32">
        <v>49.5</v>
      </c>
      <c r="J9" s="32">
        <v>6.11</v>
      </c>
      <c r="K9" s="32">
        <v>1.66</v>
      </c>
      <c r="L9" s="32">
        <v>88.8</v>
      </c>
      <c r="M9" s="32">
        <v>13.2</v>
      </c>
    </row>
    <row r="10" spans="1:13" ht="13.5">
      <c r="A10" s="33" t="s">
        <v>211</v>
      </c>
      <c r="B10" s="33" t="s">
        <v>212</v>
      </c>
      <c r="C10" s="33">
        <v>6</v>
      </c>
      <c r="D10" s="33">
        <v>9</v>
      </c>
      <c r="E10" s="34">
        <v>11</v>
      </c>
      <c r="F10" s="33">
        <v>26.84</v>
      </c>
      <c r="G10" s="33">
        <v>21.1</v>
      </c>
      <c r="H10" s="35">
        <v>1020</v>
      </c>
      <c r="I10" s="33">
        <v>151</v>
      </c>
      <c r="J10" s="33">
        <v>6.17</v>
      </c>
      <c r="K10" s="33">
        <v>2.37</v>
      </c>
      <c r="L10" s="33">
        <v>138</v>
      </c>
      <c r="M10" s="33">
        <v>30.1</v>
      </c>
    </row>
    <row r="11" spans="1:13" ht="13.5">
      <c r="A11" s="32" t="s">
        <v>213</v>
      </c>
      <c r="B11" s="32" t="s">
        <v>213</v>
      </c>
      <c r="C11" s="32">
        <v>7</v>
      </c>
      <c r="D11" s="32">
        <v>10</v>
      </c>
      <c r="E11" s="32">
        <v>11</v>
      </c>
      <c r="F11" s="32">
        <v>40.14</v>
      </c>
      <c r="G11" s="32">
        <v>31.5</v>
      </c>
      <c r="H11" s="36">
        <v>1640</v>
      </c>
      <c r="I11" s="32">
        <v>563</v>
      </c>
      <c r="J11" s="32">
        <v>6.39</v>
      </c>
      <c r="K11" s="32">
        <v>3.75</v>
      </c>
      <c r="L11" s="32">
        <v>219</v>
      </c>
      <c r="M11" s="32">
        <v>75.1</v>
      </c>
    </row>
    <row r="12" spans="1:13" ht="13.5">
      <c r="A12" s="250" t="s">
        <v>214</v>
      </c>
      <c r="B12" s="33" t="s">
        <v>215</v>
      </c>
      <c r="C12" s="33">
        <v>4.5</v>
      </c>
      <c r="D12" s="33">
        <v>7</v>
      </c>
      <c r="E12" s="33">
        <v>11</v>
      </c>
      <c r="F12" s="37">
        <v>23.18</v>
      </c>
      <c r="G12" s="33">
        <v>18.2</v>
      </c>
      <c r="H12" s="35">
        <v>1580</v>
      </c>
      <c r="I12" s="33">
        <v>114</v>
      </c>
      <c r="J12" s="33">
        <v>8.26</v>
      </c>
      <c r="K12" s="33">
        <v>2.21</v>
      </c>
      <c r="L12" s="33">
        <v>160</v>
      </c>
      <c r="M12" s="33">
        <v>23</v>
      </c>
    </row>
    <row r="13" spans="1:13" ht="13.5">
      <c r="A13" s="250"/>
      <c r="B13" s="33" t="s">
        <v>214</v>
      </c>
      <c r="C13" s="33">
        <v>5.5</v>
      </c>
      <c r="D13" s="33">
        <v>8</v>
      </c>
      <c r="E13" s="33">
        <v>11</v>
      </c>
      <c r="F13" s="37">
        <v>27.16</v>
      </c>
      <c r="G13" s="33">
        <v>21.3</v>
      </c>
      <c r="H13" s="35">
        <v>1840</v>
      </c>
      <c r="I13" s="33">
        <v>134</v>
      </c>
      <c r="J13" s="33">
        <v>8.24</v>
      </c>
      <c r="K13" s="33">
        <v>2.22</v>
      </c>
      <c r="L13" s="33">
        <v>184</v>
      </c>
      <c r="M13" s="33">
        <v>26.8</v>
      </c>
    </row>
    <row r="14" spans="1:13" ht="13.5">
      <c r="A14" s="32" t="s">
        <v>216</v>
      </c>
      <c r="B14" s="32" t="s">
        <v>217</v>
      </c>
      <c r="C14" s="32">
        <v>6</v>
      </c>
      <c r="D14" s="32">
        <v>9</v>
      </c>
      <c r="E14" s="32">
        <v>13</v>
      </c>
      <c r="F14" s="32">
        <v>39.01</v>
      </c>
      <c r="G14" s="32">
        <v>30.6</v>
      </c>
      <c r="H14" s="36">
        <v>2690</v>
      </c>
      <c r="I14" s="32">
        <v>507</v>
      </c>
      <c r="J14" s="32">
        <v>8.3</v>
      </c>
      <c r="K14" s="32">
        <v>3.61</v>
      </c>
      <c r="L14" s="32">
        <v>277</v>
      </c>
      <c r="M14" s="32">
        <v>67.6</v>
      </c>
    </row>
    <row r="15" spans="1:13" ht="13.5">
      <c r="A15" s="250" t="s">
        <v>218</v>
      </c>
      <c r="B15" s="33" t="s">
        <v>218</v>
      </c>
      <c r="C15" s="33">
        <v>8</v>
      </c>
      <c r="D15" s="33">
        <v>12</v>
      </c>
      <c r="E15" s="33">
        <v>13</v>
      </c>
      <c r="F15" s="37">
        <v>63.5</v>
      </c>
      <c r="G15" s="33">
        <v>49.9</v>
      </c>
      <c r="H15" s="35">
        <v>4720</v>
      </c>
      <c r="I15" s="35">
        <v>1600</v>
      </c>
      <c r="J15" s="33">
        <v>8.62</v>
      </c>
      <c r="K15" s="33">
        <v>5.02</v>
      </c>
      <c r="L15" s="33">
        <v>472</v>
      </c>
      <c r="M15" s="33">
        <v>160</v>
      </c>
    </row>
    <row r="16" spans="1:13" ht="13.5">
      <c r="A16" s="250"/>
      <c r="B16" s="33" t="s">
        <v>219</v>
      </c>
      <c r="C16" s="33">
        <v>12</v>
      </c>
      <c r="D16" s="33">
        <v>12</v>
      </c>
      <c r="E16" s="33">
        <v>13</v>
      </c>
      <c r="F16" s="37">
        <v>71.53</v>
      </c>
      <c r="G16" s="33">
        <v>56.2</v>
      </c>
      <c r="H16" s="35">
        <v>4980</v>
      </c>
      <c r="I16" s="35">
        <v>1700</v>
      </c>
      <c r="J16" s="33">
        <v>8.35</v>
      </c>
      <c r="K16" s="33">
        <v>4.88</v>
      </c>
      <c r="L16" s="33">
        <v>498</v>
      </c>
      <c r="M16" s="33">
        <v>167</v>
      </c>
    </row>
    <row r="17" spans="1:13" ht="13.5">
      <c r="A17" s="250"/>
      <c r="B17" s="33" t="s">
        <v>220</v>
      </c>
      <c r="C17" s="33">
        <v>10</v>
      </c>
      <c r="D17" s="33">
        <v>16</v>
      </c>
      <c r="E17" s="33">
        <v>13</v>
      </c>
      <c r="F17" s="37">
        <v>83.69</v>
      </c>
      <c r="G17" s="33">
        <v>65.7</v>
      </c>
      <c r="H17" s="35">
        <v>6530</v>
      </c>
      <c r="I17" s="35">
        <v>2200</v>
      </c>
      <c r="J17" s="33">
        <v>8.83</v>
      </c>
      <c r="K17" s="33">
        <v>5.13</v>
      </c>
      <c r="L17" s="33">
        <v>628</v>
      </c>
      <c r="M17" s="33">
        <v>218</v>
      </c>
    </row>
    <row r="18" spans="1:13" ht="13.5">
      <c r="A18" s="251" t="s">
        <v>221</v>
      </c>
      <c r="B18" s="32" t="s">
        <v>222</v>
      </c>
      <c r="C18" s="32">
        <v>5</v>
      </c>
      <c r="D18" s="32">
        <v>8</v>
      </c>
      <c r="E18" s="32">
        <v>12</v>
      </c>
      <c r="F18" s="32">
        <v>32.68</v>
      </c>
      <c r="G18" s="32">
        <v>25.7</v>
      </c>
      <c r="H18" s="36">
        <v>3540</v>
      </c>
      <c r="I18" s="32">
        <v>255</v>
      </c>
      <c r="J18" s="32">
        <v>10.4</v>
      </c>
      <c r="K18" s="32">
        <v>2.79</v>
      </c>
      <c r="L18" s="32">
        <v>285</v>
      </c>
      <c r="M18" s="32">
        <v>41.1</v>
      </c>
    </row>
    <row r="19" spans="1:13" ht="13.5">
      <c r="A19" s="251"/>
      <c r="B19" s="32" t="s">
        <v>221</v>
      </c>
      <c r="C19" s="32">
        <v>6</v>
      </c>
      <c r="D19" s="32">
        <v>9</v>
      </c>
      <c r="E19" s="32">
        <v>12</v>
      </c>
      <c r="F19" s="32">
        <v>37.66</v>
      </c>
      <c r="G19" s="32">
        <v>29.6</v>
      </c>
      <c r="H19" s="36">
        <v>4050</v>
      </c>
      <c r="I19" s="32">
        <v>294</v>
      </c>
      <c r="J19" s="32">
        <v>10.4</v>
      </c>
      <c r="K19" s="32">
        <v>2.79</v>
      </c>
      <c r="L19" s="32">
        <v>324</v>
      </c>
      <c r="M19" s="32">
        <v>47</v>
      </c>
    </row>
    <row r="20" spans="1:13" ht="13.5">
      <c r="A20" s="33" t="s">
        <v>223</v>
      </c>
      <c r="B20" s="33" t="s">
        <v>224</v>
      </c>
      <c r="C20" s="33">
        <v>7</v>
      </c>
      <c r="D20" s="33">
        <v>11</v>
      </c>
      <c r="E20" s="33">
        <v>16</v>
      </c>
      <c r="F20" s="33">
        <v>56.24</v>
      </c>
      <c r="G20" s="33">
        <v>44.1</v>
      </c>
      <c r="H20" s="35">
        <v>6120</v>
      </c>
      <c r="I20" s="33">
        <v>984</v>
      </c>
      <c r="J20" s="33">
        <v>10.4</v>
      </c>
      <c r="K20" s="33">
        <v>4.18</v>
      </c>
      <c r="L20" s="33">
        <v>502</v>
      </c>
      <c r="M20" s="33">
        <v>113</v>
      </c>
    </row>
    <row r="21" spans="1:13" ht="13.5">
      <c r="A21" s="251" t="s">
        <v>225</v>
      </c>
      <c r="B21" s="32" t="s">
        <v>226</v>
      </c>
      <c r="C21" s="32">
        <v>11</v>
      </c>
      <c r="D21" s="32">
        <v>11</v>
      </c>
      <c r="E21" s="32">
        <v>16</v>
      </c>
      <c r="F21" s="32">
        <v>82.06</v>
      </c>
      <c r="G21" s="32">
        <v>64.4</v>
      </c>
      <c r="H21" s="36">
        <v>8790</v>
      </c>
      <c r="I21" s="36">
        <v>2940</v>
      </c>
      <c r="J21" s="32">
        <v>10.3</v>
      </c>
      <c r="K21" s="32">
        <v>5.98</v>
      </c>
      <c r="L21" s="32">
        <v>720</v>
      </c>
      <c r="M21" s="32">
        <v>233</v>
      </c>
    </row>
    <row r="22" spans="1:13" ht="13.5">
      <c r="A22" s="251"/>
      <c r="B22" s="32" t="s">
        <v>227</v>
      </c>
      <c r="C22" s="32">
        <v>8</v>
      </c>
      <c r="D22" s="32">
        <v>13</v>
      </c>
      <c r="E22" s="32">
        <v>16</v>
      </c>
      <c r="F22" s="32">
        <v>84.7</v>
      </c>
      <c r="G22" s="32">
        <v>66.5</v>
      </c>
      <c r="H22" s="36">
        <v>9930</v>
      </c>
      <c r="I22" s="36">
        <v>3350</v>
      </c>
      <c r="J22" s="32">
        <v>10.8</v>
      </c>
      <c r="K22" s="32">
        <v>6.29</v>
      </c>
      <c r="L22" s="32">
        <v>801</v>
      </c>
      <c r="M22" s="32">
        <v>269</v>
      </c>
    </row>
    <row r="23" spans="1:13" ht="13.5">
      <c r="A23" s="251"/>
      <c r="B23" s="32" t="s">
        <v>225</v>
      </c>
      <c r="C23" s="32">
        <v>9</v>
      </c>
      <c r="D23" s="32">
        <v>14</v>
      </c>
      <c r="E23" s="32">
        <v>16</v>
      </c>
      <c r="F23" s="32">
        <v>92.18</v>
      </c>
      <c r="G23" s="32">
        <v>72.4</v>
      </c>
      <c r="H23" s="36">
        <v>10800</v>
      </c>
      <c r="I23" s="36">
        <v>3650</v>
      </c>
      <c r="J23" s="32">
        <v>10.8</v>
      </c>
      <c r="K23" s="32">
        <v>6.29</v>
      </c>
      <c r="L23" s="32">
        <v>867</v>
      </c>
      <c r="M23" s="32">
        <v>292</v>
      </c>
    </row>
    <row r="24" spans="1:13" ht="13.5">
      <c r="A24" s="251"/>
      <c r="B24" s="32" t="s">
        <v>228</v>
      </c>
      <c r="C24" s="32">
        <v>14</v>
      </c>
      <c r="D24" s="32">
        <v>14</v>
      </c>
      <c r="E24" s="32">
        <v>16</v>
      </c>
      <c r="F24" s="32">
        <v>104.7</v>
      </c>
      <c r="G24" s="32">
        <v>82.2</v>
      </c>
      <c r="H24" s="36">
        <v>11500</v>
      </c>
      <c r="I24" s="36">
        <v>3880</v>
      </c>
      <c r="J24" s="32">
        <v>10.5</v>
      </c>
      <c r="K24" s="32">
        <v>6.09</v>
      </c>
      <c r="L24" s="32">
        <v>919</v>
      </c>
      <c r="M24" s="32">
        <v>304</v>
      </c>
    </row>
    <row r="25" spans="1:13" ht="13.5">
      <c r="A25" s="250" t="s">
        <v>229</v>
      </c>
      <c r="B25" s="33" t="s">
        <v>230</v>
      </c>
      <c r="C25" s="33">
        <v>5.5</v>
      </c>
      <c r="D25" s="33">
        <v>8</v>
      </c>
      <c r="E25" s="33">
        <v>13</v>
      </c>
      <c r="F25" s="33">
        <v>40.8</v>
      </c>
      <c r="G25" s="33">
        <v>32</v>
      </c>
      <c r="H25" s="35">
        <v>6320</v>
      </c>
      <c r="I25" s="33">
        <v>442</v>
      </c>
      <c r="J25" s="33">
        <v>12.4</v>
      </c>
      <c r="K25" s="33">
        <v>3.29</v>
      </c>
      <c r="L25" s="33">
        <v>424</v>
      </c>
      <c r="M25" s="33">
        <v>59.3</v>
      </c>
    </row>
    <row r="26" spans="1:13" ht="13.5">
      <c r="A26" s="250"/>
      <c r="B26" s="33" t="s">
        <v>229</v>
      </c>
      <c r="C26" s="33">
        <v>6.5</v>
      </c>
      <c r="D26" s="33">
        <v>9</v>
      </c>
      <c r="E26" s="33">
        <v>13</v>
      </c>
      <c r="F26" s="33">
        <v>46.78</v>
      </c>
      <c r="G26" s="33">
        <v>36.7</v>
      </c>
      <c r="H26" s="35">
        <v>7210</v>
      </c>
      <c r="I26" s="33">
        <v>508</v>
      </c>
      <c r="J26" s="33">
        <v>12.4</v>
      </c>
      <c r="K26" s="33">
        <v>3.29</v>
      </c>
      <c r="L26" s="33">
        <v>481</v>
      </c>
      <c r="M26" s="33">
        <v>67.7</v>
      </c>
    </row>
    <row r="27" spans="1:13" ht="13.5">
      <c r="A27" s="251" t="s">
        <v>231</v>
      </c>
      <c r="B27" s="32" t="s">
        <v>232</v>
      </c>
      <c r="C27" s="32">
        <v>8</v>
      </c>
      <c r="D27" s="32">
        <v>12</v>
      </c>
      <c r="E27" s="32">
        <v>18</v>
      </c>
      <c r="F27" s="32">
        <v>72.38</v>
      </c>
      <c r="G27" s="32">
        <v>56.8</v>
      </c>
      <c r="H27" s="36">
        <v>11300</v>
      </c>
      <c r="I27" s="36">
        <v>1600</v>
      </c>
      <c r="J27" s="32">
        <v>12.5</v>
      </c>
      <c r="K27" s="32">
        <v>4.71</v>
      </c>
      <c r="L27" s="32">
        <v>771</v>
      </c>
      <c r="M27" s="32">
        <v>160</v>
      </c>
    </row>
    <row r="28" spans="1:13" ht="13.5">
      <c r="A28" s="251"/>
      <c r="B28" s="32" t="s">
        <v>233</v>
      </c>
      <c r="C28" s="32">
        <v>9</v>
      </c>
      <c r="D28" s="32">
        <v>14</v>
      </c>
      <c r="E28" s="32">
        <v>18</v>
      </c>
      <c r="F28" s="32">
        <v>83.36</v>
      </c>
      <c r="G28" s="32">
        <v>65.4</v>
      </c>
      <c r="H28" s="36">
        <v>13300</v>
      </c>
      <c r="I28" s="36">
        <v>1900</v>
      </c>
      <c r="J28" s="32">
        <v>12.6</v>
      </c>
      <c r="K28" s="32">
        <v>4.77</v>
      </c>
      <c r="L28" s="32">
        <v>893</v>
      </c>
      <c r="M28" s="32">
        <v>189</v>
      </c>
    </row>
    <row r="29" spans="1:13" ht="13.5">
      <c r="A29" s="250" t="s">
        <v>234</v>
      </c>
      <c r="B29" s="33" t="s">
        <v>235</v>
      </c>
      <c r="C29" s="33">
        <v>12</v>
      </c>
      <c r="D29" s="33">
        <v>12</v>
      </c>
      <c r="E29" s="33">
        <v>18</v>
      </c>
      <c r="F29" s="33">
        <v>107.7</v>
      </c>
      <c r="G29" s="33">
        <v>84.5</v>
      </c>
      <c r="H29" s="35">
        <v>16900</v>
      </c>
      <c r="I29" s="35">
        <v>5520</v>
      </c>
      <c r="J29" s="33">
        <v>12.5</v>
      </c>
      <c r="K29" s="33">
        <v>7.16</v>
      </c>
      <c r="L29" s="35">
        <v>1150</v>
      </c>
      <c r="M29" s="33">
        <v>365</v>
      </c>
    </row>
    <row r="30" spans="1:13" ht="13.5">
      <c r="A30" s="250"/>
      <c r="B30" s="33" t="s">
        <v>236</v>
      </c>
      <c r="C30" s="33">
        <v>9</v>
      </c>
      <c r="D30" s="33">
        <v>14</v>
      </c>
      <c r="E30" s="33">
        <v>18</v>
      </c>
      <c r="F30" s="33">
        <v>110.8</v>
      </c>
      <c r="G30" s="33">
        <v>87</v>
      </c>
      <c r="H30" s="35">
        <v>18800</v>
      </c>
      <c r="I30" s="35">
        <v>6240</v>
      </c>
      <c r="J30" s="33">
        <v>13</v>
      </c>
      <c r="K30" s="33">
        <v>7.5</v>
      </c>
      <c r="L30" s="35">
        <v>1270</v>
      </c>
      <c r="M30" s="33">
        <v>417</v>
      </c>
    </row>
    <row r="31" spans="1:13" s="52" customFormat="1" ht="13.5">
      <c r="A31" s="250"/>
      <c r="B31" s="50" t="s">
        <v>234</v>
      </c>
      <c r="C31" s="50">
        <v>10</v>
      </c>
      <c r="D31" s="50">
        <v>15</v>
      </c>
      <c r="E31" s="50">
        <v>18</v>
      </c>
      <c r="F31" s="50">
        <v>119.8</v>
      </c>
      <c r="G31" s="50">
        <v>94</v>
      </c>
      <c r="H31" s="51">
        <v>20400</v>
      </c>
      <c r="I31" s="51">
        <v>6750</v>
      </c>
      <c r="J31" s="50">
        <v>13.1</v>
      </c>
      <c r="K31" s="50">
        <v>7.51</v>
      </c>
      <c r="L31" s="51">
        <v>1360</v>
      </c>
      <c r="M31" s="50">
        <v>450</v>
      </c>
    </row>
    <row r="32" spans="1:13" ht="13.5">
      <c r="A32" s="250"/>
      <c r="B32" s="33" t="s">
        <v>237</v>
      </c>
      <c r="C32" s="33">
        <v>15</v>
      </c>
      <c r="D32" s="33">
        <v>15</v>
      </c>
      <c r="E32" s="33">
        <v>18</v>
      </c>
      <c r="F32" s="33">
        <v>134.8</v>
      </c>
      <c r="G32" s="33">
        <v>106</v>
      </c>
      <c r="H32" s="35">
        <v>21500</v>
      </c>
      <c r="I32" s="35">
        <v>7100</v>
      </c>
      <c r="J32" s="33">
        <v>12.6</v>
      </c>
      <c r="K32" s="33">
        <v>7.26</v>
      </c>
      <c r="L32" s="35">
        <v>1440</v>
      </c>
      <c r="M32" s="33">
        <v>466</v>
      </c>
    </row>
    <row r="33" spans="1:13" ht="13.5">
      <c r="A33" s="250"/>
      <c r="B33" s="33" t="s">
        <v>238</v>
      </c>
      <c r="C33" s="33">
        <v>11</v>
      </c>
      <c r="D33" s="33">
        <v>17</v>
      </c>
      <c r="E33" s="33">
        <v>18</v>
      </c>
      <c r="F33" s="33">
        <v>134.8</v>
      </c>
      <c r="G33" s="33">
        <v>106</v>
      </c>
      <c r="H33" s="35">
        <v>23400</v>
      </c>
      <c r="I33" s="35">
        <v>7730</v>
      </c>
      <c r="J33" s="33">
        <v>13.2</v>
      </c>
      <c r="K33" s="33">
        <v>7.57</v>
      </c>
      <c r="L33" s="35">
        <v>1540</v>
      </c>
      <c r="M33" s="33">
        <v>514</v>
      </c>
    </row>
    <row r="34" spans="1:13" ht="13.5">
      <c r="A34" s="250"/>
      <c r="B34" s="33" t="s">
        <v>239</v>
      </c>
      <c r="C34" s="33">
        <v>15</v>
      </c>
      <c r="D34" s="33">
        <v>20</v>
      </c>
      <c r="E34" s="33">
        <v>18</v>
      </c>
      <c r="F34" s="33">
        <v>165.3</v>
      </c>
      <c r="G34" s="33">
        <v>130</v>
      </c>
      <c r="H34" s="35">
        <v>28150</v>
      </c>
      <c r="I34" s="35">
        <v>9460</v>
      </c>
      <c r="J34" s="33">
        <v>13.2</v>
      </c>
      <c r="K34" s="33">
        <v>7.6</v>
      </c>
      <c r="L34" s="35">
        <v>1810</v>
      </c>
      <c r="M34" s="33">
        <v>620</v>
      </c>
    </row>
    <row r="35" spans="1:13" ht="13.5">
      <c r="A35" s="250"/>
      <c r="B35" s="33" t="s">
        <v>240</v>
      </c>
      <c r="C35" s="33">
        <v>20</v>
      </c>
      <c r="D35" s="33">
        <v>20</v>
      </c>
      <c r="E35" s="33">
        <v>18</v>
      </c>
      <c r="F35" s="33">
        <v>180.8</v>
      </c>
      <c r="G35" s="33">
        <v>142</v>
      </c>
      <c r="H35" s="35">
        <v>29390</v>
      </c>
      <c r="I35" s="35">
        <v>9940</v>
      </c>
      <c r="J35" s="33">
        <v>12.8</v>
      </c>
      <c r="K35" s="33">
        <v>7.5</v>
      </c>
      <c r="L35" s="35">
        <v>1890</v>
      </c>
      <c r="M35" s="33">
        <v>642</v>
      </c>
    </row>
    <row r="36" spans="1:13" ht="13.5">
      <c r="A36" s="251" t="s">
        <v>241</v>
      </c>
      <c r="B36" s="32" t="s">
        <v>242</v>
      </c>
      <c r="C36" s="32">
        <v>6</v>
      </c>
      <c r="D36" s="32">
        <v>9</v>
      </c>
      <c r="E36" s="32">
        <v>14</v>
      </c>
      <c r="F36" s="32">
        <v>52.68</v>
      </c>
      <c r="G36" s="32">
        <v>41.4</v>
      </c>
      <c r="H36" s="36">
        <v>11100</v>
      </c>
      <c r="I36" s="32">
        <v>792</v>
      </c>
      <c r="J36" s="32">
        <v>14.5</v>
      </c>
      <c r="K36" s="32">
        <v>3.88</v>
      </c>
      <c r="L36" s="32">
        <v>641</v>
      </c>
      <c r="M36" s="32">
        <v>91</v>
      </c>
    </row>
    <row r="37" spans="1:13" ht="13.5">
      <c r="A37" s="251"/>
      <c r="B37" s="32" t="s">
        <v>241</v>
      </c>
      <c r="C37" s="32">
        <v>7</v>
      </c>
      <c r="D37" s="32">
        <v>11</v>
      </c>
      <c r="E37" s="32">
        <v>14</v>
      </c>
      <c r="F37" s="32">
        <v>63.14</v>
      </c>
      <c r="G37" s="32">
        <v>49.6</v>
      </c>
      <c r="H37" s="36">
        <v>13600</v>
      </c>
      <c r="I37" s="32">
        <v>984</v>
      </c>
      <c r="J37" s="32">
        <v>14.7</v>
      </c>
      <c r="K37" s="32">
        <v>3.95</v>
      </c>
      <c r="L37" s="32">
        <v>775</v>
      </c>
      <c r="M37" s="32">
        <v>112</v>
      </c>
    </row>
    <row r="38" spans="1:13" ht="13.5">
      <c r="A38" s="251"/>
      <c r="B38" s="32" t="s">
        <v>243</v>
      </c>
      <c r="C38" s="32">
        <v>8</v>
      </c>
      <c r="D38" s="32">
        <v>13</v>
      </c>
      <c r="E38" s="32">
        <v>14</v>
      </c>
      <c r="F38" s="32">
        <v>73.68</v>
      </c>
      <c r="G38" s="32">
        <v>57.8</v>
      </c>
      <c r="H38" s="36">
        <v>16100</v>
      </c>
      <c r="I38" s="36">
        <v>1180</v>
      </c>
      <c r="J38" s="32">
        <v>14.8</v>
      </c>
      <c r="K38" s="32">
        <v>4.01</v>
      </c>
      <c r="L38" s="32">
        <v>909</v>
      </c>
      <c r="M38" s="32">
        <v>134</v>
      </c>
    </row>
    <row r="39" spans="1:13" ht="13.5">
      <c r="A39" s="250" t="s">
        <v>244</v>
      </c>
      <c r="B39" s="33" t="s">
        <v>245</v>
      </c>
      <c r="C39" s="33">
        <v>8</v>
      </c>
      <c r="D39" s="33">
        <v>12</v>
      </c>
      <c r="E39" s="33">
        <v>20</v>
      </c>
      <c r="F39" s="33">
        <v>88.15</v>
      </c>
      <c r="G39" s="33">
        <v>69.2</v>
      </c>
      <c r="H39" s="35">
        <v>18500</v>
      </c>
      <c r="I39" s="35">
        <v>3090</v>
      </c>
      <c r="J39" s="33">
        <v>14.5</v>
      </c>
      <c r="K39" s="33">
        <v>5.92</v>
      </c>
      <c r="L39" s="35">
        <v>1100</v>
      </c>
      <c r="M39" s="33">
        <v>248</v>
      </c>
    </row>
    <row r="40" spans="1:13" ht="13.5">
      <c r="A40" s="250"/>
      <c r="B40" s="33" t="s">
        <v>244</v>
      </c>
      <c r="C40" s="33">
        <v>9</v>
      </c>
      <c r="D40" s="33">
        <v>14</v>
      </c>
      <c r="E40" s="33">
        <v>20</v>
      </c>
      <c r="F40" s="33">
        <v>101.5</v>
      </c>
      <c r="G40" s="33">
        <v>79.7</v>
      </c>
      <c r="H40" s="35">
        <v>21700</v>
      </c>
      <c r="I40" s="35">
        <v>3650</v>
      </c>
      <c r="J40" s="33">
        <v>14.6</v>
      </c>
      <c r="K40" s="33">
        <v>6</v>
      </c>
      <c r="L40" s="35">
        <v>1280</v>
      </c>
      <c r="M40" s="33">
        <v>292</v>
      </c>
    </row>
    <row r="41" spans="1:13" ht="13.5">
      <c r="A41" s="251" t="s">
        <v>246</v>
      </c>
      <c r="B41" s="32" t="s">
        <v>247</v>
      </c>
      <c r="C41" s="32">
        <v>10</v>
      </c>
      <c r="D41" s="32">
        <v>16</v>
      </c>
      <c r="E41" s="32">
        <v>20</v>
      </c>
      <c r="F41" s="32">
        <v>146</v>
      </c>
      <c r="G41" s="32">
        <v>115</v>
      </c>
      <c r="H41" s="36">
        <v>33300</v>
      </c>
      <c r="I41" s="36">
        <v>11200</v>
      </c>
      <c r="J41" s="32">
        <v>15.1</v>
      </c>
      <c r="K41" s="32">
        <v>8.78</v>
      </c>
      <c r="L41" s="36">
        <v>1940</v>
      </c>
      <c r="M41" s="32">
        <v>646</v>
      </c>
    </row>
    <row r="42" spans="1:13" ht="13.5">
      <c r="A42" s="251"/>
      <c r="B42" s="32" t="s">
        <v>248</v>
      </c>
      <c r="C42" s="32">
        <v>16</v>
      </c>
      <c r="D42" s="32">
        <v>16</v>
      </c>
      <c r="E42" s="32">
        <v>20</v>
      </c>
      <c r="F42" s="32">
        <v>166.6</v>
      </c>
      <c r="G42" s="32">
        <v>131</v>
      </c>
      <c r="H42" s="36">
        <v>35300</v>
      </c>
      <c r="I42" s="36">
        <v>11800</v>
      </c>
      <c r="J42" s="32">
        <v>14.6</v>
      </c>
      <c r="K42" s="32">
        <v>8.43</v>
      </c>
      <c r="L42" s="36">
        <v>2050</v>
      </c>
      <c r="M42" s="32">
        <v>669</v>
      </c>
    </row>
    <row r="43" spans="1:13" ht="13.5">
      <c r="A43" s="251"/>
      <c r="B43" s="32" t="s">
        <v>246</v>
      </c>
      <c r="C43" s="32">
        <v>12</v>
      </c>
      <c r="D43" s="32">
        <v>19</v>
      </c>
      <c r="E43" s="32">
        <v>20</v>
      </c>
      <c r="F43" s="32">
        <v>173.9</v>
      </c>
      <c r="G43" s="32">
        <v>137</v>
      </c>
      <c r="H43" s="36">
        <v>40300</v>
      </c>
      <c r="I43" s="36">
        <v>13600</v>
      </c>
      <c r="J43" s="32">
        <v>15.2</v>
      </c>
      <c r="K43" s="32">
        <v>8.84</v>
      </c>
      <c r="L43" s="36">
        <v>2300</v>
      </c>
      <c r="M43" s="32">
        <v>776</v>
      </c>
    </row>
    <row r="44" spans="1:13" ht="13.5">
      <c r="A44" s="251"/>
      <c r="B44" s="32" t="s">
        <v>249</v>
      </c>
      <c r="C44" s="32">
        <v>19</v>
      </c>
      <c r="D44" s="32">
        <v>19</v>
      </c>
      <c r="E44" s="32">
        <v>20</v>
      </c>
      <c r="F44" s="32">
        <v>191.4</v>
      </c>
      <c r="G44" s="32">
        <v>156</v>
      </c>
      <c r="H44" s="36">
        <v>42800</v>
      </c>
      <c r="I44" s="36">
        <v>14400</v>
      </c>
      <c r="J44" s="32">
        <v>14.7</v>
      </c>
      <c r="K44" s="32">
        <v>8.53</v>
      </c>
      <c r="L44" s="36">
        <v>2450</v>
      </c>
      <c r="M44" s="32">
        <v>809</v>
      </c>
    </row>
    <row r="45" spans="1:13" ht="13.5">
      <c r="A45" s="250" t="s">
        <v>250</v>
      </c>
      <c r="B45" s="33" t="s">
        <v>251</v>
      </c>
      <c r="C45" s="33">
        <v>7</v>
      </c>
      <c r="D45" s="33">
        <v>11</v>
      </c>
      <c r="E45" s="33">
        <v>16</v>
      </c>
      <c r="F45" s="33">
        <v>72.16</v>
      </c>
      <c r="G45" s="33">
        <v>56.6</v>
      </c>
      <c r="H45" s="35">
        <v>20000</v>
      </c>
      <c r="I45" s="35">
        <v>1450</v>
      </c>
      <c r="J45" s="33">
        <v>16.7</v>
      </c>
      <c r="K45" s="33">
        <v>4.48</v>
      </c>
      <c r="L45" s="35">
        <v>1010</v>
      </c>
      <c r="M45" s="33">
        <v>145</v>
      </c>
    </row>
    <row r="46" spans="1:13" ht="13.5">
      <c r="A46" s="250"/>
      <c r="B46" s="33" t="s">
        <v>250</v>
      </c>
      <c r="C46" s="33">
        <v>8</v>
      </c>
      <c r="D46" s="33">
        <v>13</v>
      </c>
      <c r="E46" s="33">
        <v>16</v>
      </c>
      <c r="F46" s="33">
        <v>84.12</v>
      </c>
      <c r="G46" s="33">
        <v>66</v>
      </c>
      <c r="H46" s="35">
        <v>23700</v>
      </c>
      <c r="I46" s="35">
        <v>1740</v>
      </c>
      <c r="J46" s="33">
        <v>16.8</v>
      </c>
      <c r="K46" s="33">
        <v>4.54</v>
      </c>
      <c r="L46" s="35">
        <v>1190</v>
      </c>
      <c r="M46" s="33">
        <v>174</v>
      </c>
    </row>
    <row r="47" spans="1:13" ht="13.5">
      <c r="A47" s="250"/>
      <c r="B47" s="33" t="s">
        <v>252</v>
      </c>
      <c r="C47" s="33">
        <v>9</v>
      </c>
      <c r="D47" s="33">
        <v>14</v>
      </c>
      <c r="E47" s="33">
        <v>16</v>
      </c>
      <c r="F47" s="33">
        <v>96.16</v>
      </c>
      <c r="G47" s="33">
        <v>75.5</v>
      </c>
      <c r="H47" s="33">
        <v>27.5</v>
      </c>
      <c r="I47" s="35">
        <v>2030</v>
      </c>
      <c r="J47" s="33">
        <v>16.9</v>
      </c>
      <c r="K47" s="33">
        <v>4.6</v>
      </c>
      <c r="L47" s="35">
        <v>1360</v>
      </c>
      <c r="M47" s="33">
        <v>202</v>
      </c>
    </row>
    <row r="48" spans="1:13" ht="13.5">
      <c r="A48" s="251" t="s">
        <v>253</v>
      </c>
      <c r="B48" s="32" t="s">
        <v>254</v>
      </c>
      <c r="C48" s="32">
        <v>9</v>
      </c>
      <c r="D48" s="32">
        <v>14</v>
      </c>
      <c r="E48" s="32">
        <v>22</v>
      </c>
      <c r="F48" s="32">
        <v>120.1</v>
      </c>
      <c r="G48" s="32">
        <v>94.3</v>
      </c>
      <c r="H48" s="36">
        <v>33700</v>
      </c>
      <c r="I48" s="36">
        <v>6240</v>
      </c>
      <c r="J48" s="32">
        <v>16.7</v>
      </c>
      <c r="K48" s="32">
        <v>7.81</v>
      </c>
      <c r="L48" s="36">
        <v>1740</v>
      </c>
      <c r="M48" s="32">
        <v>418</v>
      </c>
    </row>
    <row r="49" spans="1:13" ht="13.5">
      <c r="A49" s="251"/>
      <c r="B49" s="32" t="s">
        <v>255</v>
      </c>
      <c r="C49" s="32">
        <v>10</v>
      </c>
      <c r="D49" s="32">
        <v>16</v>
      </c>
      <c r="E49" s="32">
        <v>22</v>
      </c>
      <c r="F49" s="32">
        <v>136</v>
      </c>
      <c r="G49" s="32">
        <v>107</v>
      </c>
      <c r="H49" s="36">
        <v>38700</v>
      </c>
      <c r="I49" s="36">
        <v>7210</v>
      </c>
      <c r="J49" s="32">
        <v>16.9</v>
      </c>
      <c r="K49" s="32">
        <v>7.28</v>
      </c>
      <c r="L49" s="36">
        <v>1980</v>
      </c>
      <c r="M49" s="32">
        <v>481</v>
      </c>
    </row>
    <row r="50" spans="1:13" ht="13.5">
      <c r="A50" s="250" t="s">
        <v>256</v>
      </c>
      <c r="B50" s="33" t="s">
        <v>257</v>
      </c>
      <c r="C50" s="33">
        <v>15</v>
      </c>
      <c r="D50" s="33">
        <v>15</v>
      </c>
      <c r="E50" s="33">
        <v>22</v>
      </c>
      <c r="F50" s="33">
        <v>178.5</v>
      </c>
      <c r="G50" s="33">
        <v>140</v>
      </c>
      <c r="H50" s="35">
        <v>49000</v>
      </c>
      <c r="I50" s="35">
        <v>16300</v>
      </c>
      <c r="J50" s="33">
        <v>16.6</v>
      </c>
      <c r="K50" s="33">
        <v>9.54</v>
      </c>
      <c r="L50" s="35">
        <v>2520</v>
      </c>
      <c r="M50" s="33">
        <v>809</v>
      </c>
    </row>
    <row r="51" spans="1:13" ht="13.5">
      <c r="A51" s="250"/>
      <c r="B51" s="33" t="s">
        <v>258</v>
      </c>
      <c r="C51" s="33">
        <v>11</v>
      </c>
      <c r="D51" s="33">
        <v>18</v>
      </c>
      <c r="E51" s="33">
        <v>22</v>
      </c>
      <c r="F51" s="33">
        <v>176.8</v>
      </c>
      <c r="G51" s="33">
        <v>147</v>
      </c>
      <c r="H51" s="35">
        <v>56100</v>
      </c>
      <c r="I51" s="35">
        <v>18900</v>
      </c>
      <c r="J51" s="33">
        <v>17.3</v>
      </c>
      <c r="K51" s="33">
        <v>10.1</v>
      </c>
      <c r="L51" s="35">
        <v>2850</v>
      </c>
      <c r="M51" s="33">
        <v>951</v>
      </c>
    </row>
    <row r="52" spans="1:13" ht="13.5">
      <c r="A52" s="250"/>
      <c r="B52" s="33" t="s">
        <v>259</v>
      </c>
      <c r="C52" s="33">
        <v>18</v>
      </c>
      <c r="D52" s="33">
        <v>18</v>
      </c>
      <c r="E52" s="33">
        <v>22</v>
      </c>
      <c r="F52" s="33">
        <v>214.4</v>
      </c>
      <c r="G52" s="33">
        <v>168</v>
      </c>
      <c r="H52" s="35">
        <v>59700</v>
      </c>
      <c r="I52" s="35">
        <v>20000</v>
      </c>
      <c r="J52" s="33">
        <v>16.7</v>
      </c>
      <c r="K52" s="33">
        <v>9.65</v>
      </c>
      <c r="L52" s="35">
        <v>3030</v>
      </c>
      <c r="M52" s="33">
        <v>985</v>
      </c>
    </row>
    <row r="53" spans="1:13" ht="13.5">
      <c r="A53" s="250"/>
      <c r="B53" s="33" t="s">
        <v>256</v>
      </c>
      <c r="C53" s="33">
        <v>13</v>
      </c>
      <c r="D53" s="33">
        <v>21</v>
      </c>
      <c r="E53" s="33">
        <v>22</v>
      </c>
      <c r="F53" s="33">
        <v>218.7</v>
      </c>
      <c r="G53" s="33">
        <v>172</v>
      </c>
      <c r="H53" s="35">
        <v>66600</v>
      </c>
      <c r="I53" s="35">
        <v>22400</v>
      </c>
      <c r="J53" s="33">
        <v>17.5</v>
      </c>
      <c r="K53" s="33">
        <v>10.1</v>
      </c>
      <c r="L53" s="35">
        <v>3330</v>
      </c>
      <c r="M53" s="35">
        <v>1120</v>
      </c>
    </row>
    <row r="54" spans="1:13" ht="13.5">
      <c r="A54" s="250"/>
      <c r="B54" s="33" t="s">
        <v>260</v>
      </c>
      <c r="C54" s="33">
        <v>21</v>
      </c>
      <c r="D54" s="33">
        <v>21</v>
      </c>
      <c r="E54" s="33">
        <v>22</v>
      </c>
      <c r="F54" s="33">
        <v>250.7</v>
      </c>
      <c r="G54" s="33">
        <v>197</v>
      </c>
      <c r="H54" s="35">
        <v>70900</v>
      </c>
      <c r="I54" s="35">
        <v>23800</v>
      </c>
      <c r="J54" s="33">
        <v>16.8</v>
      </c>
      <c r="K54" s="33">
        <v>9.75</v>
      </c>
      <c r="L54" s="35">
        <v>3540</v>
      </c>
      <c r="M54" s="35">
        <v>1170</v>
      </c>
    </row>
    <row r="55" spans="1:13" ht="13.5">
      <c r="A55" s="250"/>
      <c r="B55" s="33" t="s">
        <v>261</v>
      </c>
      <c r="C55" s="33">
        <v>6</v>
      </c>
      <c r="D55" s="33">
        <v>24</v>
      </c>
      <c r="E55" s="33">
        <v>22</v>
      </c>
      <c r="F55" s="33">
        <v>254.9</v>
      </c>
      <c r="G55" s="33">
        <v>200</v>
      </c>
      <c r="H55" s="35">
        <v>78000</v>
      </c>
      <c r="I55" s="35">
        <v>26200</v>
      </c>
      <c r="J55" s="33">
        <v>17.5</v>
      </c>
      <c r="K55" s="33">
        <v>10.1</v>
      </c>
      <c r="L55" s="35">
        <v>3840</v>
      </c>
      <c r="M55" s="35">
        <v>1300</v>
      </c>
    </row>
    <row r="56" spans="1:13" ht="13.5">
      <c r="A56" s="250"/>
      <c r="B56" s="33" t="s">
        <v>262</v>
      </c>
      <c r="C56" s="33">
        <v>18</v>
      </c>
      <c r="D56" s="33">
        <v>28</v>
      </c>
      <c r="E56" s="33">
        <v>22</v>
      </c>
      <c r="F56" s="33">
        <v>295.4</v>
      </c>
      <c r="G56" s="33">
        <v>232</v>
      </c>
      <c r="H56" s="35">
        <v>92800</v>
      </c>
      <c r="I56" s="35">
        <v>31000</v>
      </c>
      <c r="J56" s="33">
        <v>17.7</v>
      </c>
      <c r="K56" s="33">
        <v>10.2</v>
      </c>
      <c r="L56" s="35">
        <v>4480</v>
      </c>
      <c r="M56" s="35">
        <v>1530</v>
      </c>
    </row>
    <row r="57" spans="1:13" ht="13.5">
      <c r="A57" s="250"/>
      <c r="B57" s="33" t="s">
        <v>263</v>
      </c>
      <c r="C57" s="33">
        <v>20</v>
      </c>
      <c r="D57" s="33">
        <v>35</v>
      </c>
      <c r="E57" s="33">
        <v>22</v>
      </c>
      <c r="F57" s="33">
        <v>360.7</v>
      </c>
      <c r="G57" s="33">
        <v>283</v>
      </c>
      <c r="H57" s="35">
        <v>119000</v>
      </c>
      <c r="I57" s="35">
        <v>39400</v>
      </c>
      <c r="J57" s="33">
        <v>18.2</v>
      </c>
      <c r="K57" s="33">
        <v>10.4</v>
      </c>
      <c r="L57" s="35">
        <v>5570</v>
      </c>
      <c r="M57" s="35">
        <v>1930</v>
      </c>
    </row>
    <row r="58" spans="1:13" ht="13.5">
      <c r="A58" s="250"/>
      <c r="B58" s="33" t="s">
        <v>264</v>
      </c>
      <c r="C58" s="33">
        <v>30</v>
      </c>
      <c r="D58" s="33">
        <v>50</v>
      </c>
      <c r="E58" s="33">
        <v>22</v>
      </c>
      <c r="F58" s="33">
        <v>528.6</v>
      </c>
      <c r="G58" s="33">
        <v>415</v>
      </c>
      <c r="H58" s="35">
        <v>187000</v>
      </c>
      <c r="I58" s="35">
        <v>60500</v>
      </c>
      <c r="J58" s="33" t="s">
        <v>266</v>
      </c>
      <c r="K58" s="33">
        <v>10.7</v>
      </c>
      <c r="L58" s="35">
        <v>8170</v>
      </c>
      <c r="M58" s="35">
        <v>2900</v>
      </c>
    </row>
    <row r="59" spans="1:13" ht="13.5">
      <c r="A59" s="250"/>
      <c r="B59" s="33" t="s">
        <v>265</v>
      </c>
      <c r="C59" s="33">
        <v>45</v>
      </c>
      <c r="D59" s="33">
        <v>70</v>
      </c>
      <c r="E59" s="33">
        <v>22</v>
      </c>
      <c r="F59" s="33">
        <v>770.1</v>
      </c>
      <c r="G59" s="33">
        <v>605</v>
      </c>
      <c r="H59" s="35">
        <v>298000</v>
      </c>
      <c r="I59" s="35">
        <v>94000</v>
      </c>
      <c r="J59" s="33">
        <v>19.7</v>
      </c>
      <c r="K59" s="33">
        <v>11.11</v>
      </c>
      <c r="L59" s="35">
        <v>13000</v>
      </c>
      <c r="M59" s="35">
        <v>4370</v>
      </c>
    </row>
    <row r="60" spans="1:13" ht="13.5">
      <c r="A60" s="251" t="s">
        <v>267</v>
      </c>
      <c r="B60" s="32" t="s">
        <v>268</v>
      </c>
      <c r="C60" s="32">
        <v>8</v>
      </c>
      <c r="D60" s="32">
        <v>12</v>
      </c>
      <c r="E60" s="32">
        <v>18</v>
      </c>
      <c r="F60" s="32">
        <v>84.3</v>
      </c>
      <c r="G60" s="32">
        <v>66.2</v>
      </c>
      <c r="H60" s="36">
        <v>28700</v>
      </c>
      <c r="I60" s="36">
        <v>1580</v>
      </c>
      <c r="J60" s="32">
        <v>18.5</v>
      </c>
      <c r="K60" s="32">
        <v>4.33</v>
      </c>
      <c r="L60" s="36">
        <v>1290</v>
      </c>
      <c r="M60" s="32">
        <v>159</v>
      </c>
    </row>
    <row r="61" spans="1:13" ht="13.5">
      <c r="A61" s="251"/>
      <c r="B61" s="32" t="s">
        <v>267</v>
      </c>
      <c r="C61" s="32">
        <v>9</v>
      </c>
      <c r="D61" s="32">
        <v>14</v>
      </c>
      <c r="E61" s="32">
        <v>18</v>
      </c>
      <c r="F61" s="32">
        <v>96.76</v>
      </c>
      <c r="G61" s="32">
        <v>76</v>
      </c>
      <c r="H61" s="36">
        <v>33500</v>
      </c>
      <c r="I61" s="36">
        <v>1870</v>
      </c>
      <c r="J61" s="32">
        <v>18.6</v>
      </c>
      <c r="K61" s="32">
        <v>4.4</v>
      </c>
      <c r="L61" s="36">
        <v>1490</v>
      </c>
      <c r="M61" s="32">
        <v>187</v>
      </c>
    </row>
    <row r="62" spans="1:13" ht="13.5">
      <c r="A62" s="250" t="s">
        <v>269</v>
      </c>
      <c r="B62" s="33" t="s">
        <v>270</v>
      </c>
      <c r="C62" s="33">
        <v>10</v>
      </c>
      <c r="D62" s="33">
        <v>15</v>
      </c>
      <c r="E62" s="33">
        <v>24</v>
      </c>
      <c r="F62" s="33">
        <v>135</v>
      </c>
      <c r="G62" s="33">
        <v>106</v>
      </c>
      <c r="H62" s="35">
        <v>46800</v>
      </c>
      <c r="I62" s="35">
        <v>6690</v>
      </c>
      <c r="J62" s="33">
        <v>18.6</v>
      </c>
      <c r="K62" s="33">
        <v>7.04</v>
      </c>
      <c r="L62" s="35">
        <v>2160</v>
      </c>
      <c r="M62" s="33">
        <v>448</v>
      </c>
    </row>
    <row r="63" spans="1:13" ht="13.5">
      <c r="A63" s="250"/>
      <c r="B63" s="33" t="s">
        <v>271</v>
      </c>
      <c r="C63" s="33">
        <v>11</v>
      </c>
      <c r="D63" s="33">
        <v>18</v>
      </c>
      <c r="E63" s="33">
        <v>24</v>
      </c>
      <c r="F63" s="33">
        <v>157.4</v>
      </c>
      <c r="G63" s="33">
        <v>124</v>
      </c>
      <c r="H63" s="35">
        <v>56100</v>
      </c>
      <c r="I63" s="35">
        <v>8110</v>
      </c>
      <c r="J63" s="33" t="s">
        <v>272</v>
      </c>
      <c r="K63" s="33">
        <v>7.18</v>
      </c>
      <c r="L63" s="35">
        <v>2550</v>
      </c>
      <c r="M63" s="33">
        <v>541</v>
      </c>
    </row>
    <row r="64" spans="1:13" ht="13.5">
      <c r="A64" s="251" t="s">
        <v>273</v>
      </c>
      <c r="B64" s="32" t="s">
        <v>274</v>
      </c>
      <c r="C64" s="32">
        <v>9</v>
      </c>
      <c r="D64" s="32">
        <v>14</v>
      </c>
      <c r="E64" s="32">
        <v>20</v>
      </c>
      <c r="F64" s="32">
        <v>101.3</v>
      </c>
      <c r="G64" s="32">
        <v>79.5</v>
      </c>
      <c r="H64" s="36">
        <v>41900</v>
      </c>
      <c r="I64" s="36">
        <v>1840</v>
      </c>
      <c r="J64" s="32">
        <v>20.3</v>
      </c>
      <c r="K64" s="32">
        <v>4.27</v>
      </c>
      <c r="L64" s="36">
        <v>1690</v>
      </c>
      <c r="M64" s="32">
        <v>185</v>
      </c>
    </row>
    <row r="65" spans="1:13" ht="13.5">
      <c r="A65" s="251"/>
      <c r="B65" s="32" t="s">
        <v>273</v>
      </c>
      <c r="C65" s="32">
        <v>10</v>
      </c>
      <c r="D65" s="32">
        <v>16</v>
      </c>
      <c r="E65" s="32">
        <v>20</v>
      </c>
      <c r="F65" s="32">
        <v>114.2</v>
      </c>
      <c r="G65" s="32">
        <v>89.6</v>
      </c>
      <c r="H65" s="36">
        <v>47800</v>
      </c>
      <c r="I65" s="36">
        <v>2140</v>
      </c>
      <c r="J65" s="32">
        <v>20.5</v>
      </c>
      <c r="K65" s="32">
        <v>4.33</v>
      </c>
      <c r="L65" s="36">
        <v>1910</v>
      </c>
      <c r="M65" s="32">
        <v>214</v>
      </c>
    </row>
    <row r="66" spans="1:13" ht="13.5">
      <c r="A66" s="251"/>
      <c r="B66" s="32" t="s">
        <v>275</v>
      </c>
      <c r="C66" s="32">
        <v>11</v>
      </c>
      <c r="D66" s="32">
        <v>19</v>
      </c>
      <c r="E66" s="32">
        <v>20</v>
      </c>
      <c r="F66" s="32">
        <v>131.3</v>
      </c>
      <c r="G66" s="32">
        <v>103</v>
      </c>
      <c r="H66" s="36">
        <v>56500</v>
      </c>
      <c r="I66" s="36">
        <v>2580</v>
      </c>
      <c r="J66" s="32">
        <v>20.7</v>
      </c>
      <c r="K66" s="32">
        <v>4.43</v>
      </c>
      <c r="L66" s="36">
        <v>2230</v>
      </c>
      <c r="M66" s="32">
        <v>257</v>
      </c>
    </row>
    <row r="67" spans="1:13" ht="13.5">
      <c r="A67" s="250" t="s">
        <v>276</v>
      </c>
      <c r="B67" s="33" t="s">
        <v>277</v>
      </c>
      <c r="C67" s="33">
        <v>11</v>
      </c>
      <c r="D67" s="33">
        <v>15</v>
      </c>
      <c r="E67" s="33">
        <v>26</v>
      </c>
      <c r="F67" s="33">
        <v>145.5</v>
      </c>
      <c r="G67" s="33">
        <v>114</v>
      </c>
      <c r="H67" s="35">
        <v>60400</v>
      </c>
      <c r="I67" s="35">
        <v>6760</v>
      </c>
      <c r="J67" s="33">
        <v>20.4</v>
      </c>
      <c r="K67" s="33">
        <v>6.82</v>
      </c>
      <c r="L67" s="35">
        <v>2500</v>
      </c>
      <c r="M67" s="33">
        <v>451</v>
      </c>
    </row>
    <row r="68" spans="1:13" ht="13.5">
      <c r="A68" s="250"/>
      <c r="B68" s="33" t="s">
        <v>278</v>
      </c>
      <c r="C68" s="33">
        <v>11</v>
      </c>
      <c r="D68" s="33">
        <v>18</v>
      </c>
      <c r="E68" s="33">
        <v>26</v>
      </c>
      <c r="F68" s="33">
        <v>163.5</v>
      </c>
      <c r="G68" s="33">
        <v>128</v>
      </c>
      <c r="H68" s="35">
        <v>71000</v>
      </c>
      <c r="I68" s="35">
        <v>8110</v>
      </c>
      <c r="J68" s="33">
        <v>20.8</v>
      </c>
      <c r="K68" s="33">
        <v>7.04</v>
      </c>
      <c r="L68" s="35">
        <v>2910</v>
      </c>
      <c r="M68" s="33">
        <v>541</v>
      </c>
    </row>
    <row r="69" spans="1:13" ht="13.5">
      <c r="A69" s="251" t="s">
        <v>279</v>
      </c>
      <c r="B69" s="32" t="s">
        <v>280</v>
      </c>
      <c r="C69" s="32">
        <v>10</v>
      </c>
      <c r="D69" s="32">
        <v>15</v>
      </c>
      <c r="E69" s="38">
        <v>22</v>
      </c>
      <c r="F69" s="32">
        <v>120.5</v>
      </c>
      <c r="G69" s="32">
        <v>94.6</v>
      </c>
      <c r="H69" s="36">
        <v>68700</v>
      </c>
      <c r="I69" s="36">
        <v>1980</v>
      </c>
      <c r="J69" s="32">
        <v>23.9</v>
      </c>
      <c r="K69" s="32">
        <v>4.05</v>
      </c>
      <c r="L69" s="36">
        <v>2310</v>
      </c>
      <c r="M69" s="32">
        <v>199</v>
      </c>
    </row>
    <row r="70" spans="1:13" ht="13.5">
      <c r="A70" s="251"/>
      <c r="B70" s="32" t="s">
        <v>279</v>
      </c>
      <c r="C70" s="32">
        <v>11</v>
      </c>
      <c r="D70" s="32">
        <v>17</v>
      </c>
      <c r="E70" s="38">
        <v>22</v>
      </c>
      <c r="F70" s="32">
        <v>134.4</v>
      </c>
      <c r="G70" s="32">
        <v>106</v>
      </c>
      <c r="H70" s="36">
        <v>77600</v>
      </c>
      <c r="I70" s="36">
        <v>2280</v>
      </c>
      <c r="J70" s="32">
        <v>24</v>
      </c>
      <c r="K70" s="32">
        <v>4.12</v>
      </c>
      <c r="L70" s="36">
        <v>2590</v>
      </c>
      <c r="M70" s="32">
        <v>271</v>
      </c>
    </row>
    <row r="71" spans="1:13" ht="13.5">
      <c r="A71" s="251"/>
      <c r="B71" s="32" t="s">
        <v>281</v>
      </c>
      <c r="C71" s="32">
        <v>12</v>
      </c>
      <c r="D71" s="32">
        <v>20</v>
      </c>
      <c r="E71" s="38">
        <v>22</v>
      </c>
      <c r="F71" s="32">
        <v>152.5</v>
      </c>
      <c r="G71" s="32">
        <v>120</v>
      </c>
      <c r="H71" s="36">
        <v>90400</v>
      </c>
      <c r="I71" s="36">
        <v>2720</v>
      </c>
      <c r="J71" s="32">
        <v>24.3</v>
      </c>
      <c r="K71" s="32">
        <v>4.22</v>
      </c>
      <c r="L71" s="36">
        <v>2980</v>
      </c>
      <c r="M71" s="32">
        <v>314</v>
      </c>
    </row>
    <row r="72" spans="1:13" ht="13.5">
      <c r="A72" s="251"/>
      <c r="B72" s="32" t="s">
        <v>282</v>
      </c>
      <c r="C72" s="32">
        <v>13</v>
      </c>
      <c r="D72" s="32">
        <v>23</v>
      </c>
      <c r="E72" s="39">
        <v>22</v>
      </c>
      <c r="F72" s="32">
        <v>170.7</v>
      </c>
      <c r="G72" s="32">
        <v>134</v>
      </c>
      <c r="H72" s="36">
        <v>103000</v>
      </c>
      <c r="I72" s="36">
        <v>3180</v>
      </c>
      <c r="J72" s="32">
        <v>24.6</v>
      </c>
      <c r="K72" s="32">
        <v>4.31</v>
      </c>
      <c r="L72" s="36">
        <v>3380</v>
      </c>
      <c r="M72" s="40"/>
    </row>
    <row r="73" spans="1:13" ht="13.5">
      <c r="A73" s="250" t="s">
        <v>283</v>
      </c>
      <c r="B73" s="33" t="s">
        <v>284</v>
      </c>
      <c r="C73" s="33">
        <v>12</v>
      </c>
      <c r="D73" s="33">
        <v>17</v>
      </c>
      <c r="E73" s="33">
        <v>28</v>
      </c>
      <c r="F73" s="33">
        <v>174.5</v>
      </c>
      <c r="G73" s="33">
        <v>137</v>
      </c>
      <c r="H73" s="35">
        <v>103000</v>
      </c>
      <c r="I73" s="35">
        <v>7670</v>
      </c>
      <c r="J73" s="33">
        <v>24.3</v>
      </c>
      <c r="K73" s="33">
        <v>6.63</v>
      </c>
      <c r="L73" s="35">
        <v>3530</v>
      </c>
      <c r="M73" s="33">
        <v>511</v>
      </c>
    </row>
    <row r="74" spans="1:13" s="52" customFormat="1" ht="13.5">
      <c r="A74" s="250"/>
      <c r="B74" s="50" t="s">
        <v>285</v>
      </c>
      <c r="C74" s="50">
        <v>12</v>
      </c>
      <c r="D74" s="50">
        <v>20</v>
      </c>
      <c r="E74" s="50">
        <v>28</v>
      </c>
      <c r="F74" s="50">
        <v>192.5</v>
      </c>
      <c r="G74" s="50">
        <v>151</v>
      </c>
      <c r="H74" s="51">
        <v>118000</v>
      </c>
      <c r="I74" s="51">
        <v>9020</v>
      </c>
      <c r="J74" s="50">
        <v>24.8</v>
      </c>
      <c r="K74" s="50">
        <v>6.85</v>
      </c>
      <c r="L74" s="51">
        <v>4020</v>
      </c>
      <c r="M74" s="50">
        <v>601</v>
      </c>
    </row>
    <row r="75" spans="1:13" ht="13.5">
      <c r="A75" s="250"/>
      <c r="B75" s="33" t="s">
        <v>286</v>
      </c>
      <c r="C75" s="33">
        <v>14</v>
      </c>
      <c r="D75" s="33">
        <v>23</v>
      </c>
      <c r="E75" s="33">
        <v>28</v>
      </c>
      <c r="F75" s="33">
        <v>222.4</v>
      </c>
      <c r="G75" s="33">
        <v>175</v>
      </c>
      <c r="H75" s="35">
        <v>137000</v>
      </c>
      <c r="I75" s="35">
        <v>10600</v>
      </c>
      <c r="J75" s="33">
        <v>24.9</v>
      </c>
      <c r="K75" s="33">
        <v>6.9</v>
      </c>
      <c r="L75" s="35">
        <v>4620</v>
      </c>
      <c r="M75" s="33">
        <v>701</v>
      </c>
    </row>
    <row r="76" spans="1:13" ht="13.5">
      <c r="A76" s="251" t="s">
        <v>287</v>
      </c>
      <c r="B76" s="32" t="s">
        <v>288</v>
      </c>
      <c r="C76" s="32">
        <v>13</v>
      </c>
      <c r="D76" s="32">
        <v>20</v>
      </c>
      <c r="E76" s="39">
        <v>28</v>
      </c>
      <c r="F76" s="32">
        <v>211.5</v>
      </c>
      <c r="G76" s="32">
        <v>166</v>
      </c>
      <c r="H76" s="36">
        <v>172000</v>
      </c>
      <c r="I76" s="36">
        <v>9020</v>
      </c>
      <c r="J76" s="32">
        <v>28.6</v>
      </c>
      <c r="K76" s="32">
        <v>6.53</v>
      </c>
      <c r="L76" s="36">
        <v>4980</v>
      </c>
      <c r="M76" s="32">
        <v>602</v>
      </c>
    </row>
    <row r="77" spans="1:13" ht="13.5">
      <c r="A77" s="251"/>
      <c r="B77" s="32" t="s">
        <v>287</v>
      </c>
      <c r="C77" s="32">
        <v>13</v>
      </c>
      <c r="D77" s="32">
        <v>24</v>
      </c>
      <c r="E77" s="39">
        <v>28</v>
      </c>
      <c r="F77" s="32">
        <v>235.5</v>
      </c>
      <c r="G77" s="32">
        <v>185</v>
      </c>
      <c r="H77" s="36">
        <v>201000</v>
      </c>
      <c r="I77" s="36">
        <v>10800</v>
      </c>
      <c r="J77" s="32">
        <v>29.3</v>
      </c>
      <c r="K77" s="32">
        <v>6.78</v>
      </c>
      <c r="L77" s="36">
        <v>5760</v>
      </c>
      <c r="M77" s="32">
        <v>722</v>
      </c>
    </row>
    <row r="78" spans="1:13" ht="13.5">
      <c r="A78" s="251"/>
      <c r="B78" s="32" t="s">
        <v>289</v>
      </c>
      <c r="C78" s="32">
        <v>15</v>
      </c>
      <c r="D78" s="32">
        <v>28</v>
      </c>
      <c r="E78" s="39">
        <v>28</v>
      </c>
      <c r="F78" s="32">
        <v>273.6</v>
      </c>
      <c r="G78" s="32">
        <v>215</v>
      </c>
      <c r="H78" s="36">
        <v>237000</v>
      </c>
      <c r="I78" s="36">
        <v>12900</v>
      </c>
      <c r="J78" s="32">
        <v>29.4</v>
      </c>
      <c r="K78" s="32">
        <v>6.86</v>
      </c>
      <c r="L78" s="36">
        <v>6700</v>
      </c>
      <c r="M78" s="32">
        <v>853</v>
      </c>
    </row>
    <row r="79" spans="1:13" ht="13.5">
      <c r="A79" s="250" t="s">
        <v>290</v>
      </c>
      <c r="B79" s="33" t="s">
        <v>291</v>
      </c>
      <c r="C79" s="33">
        <v>14</v>
      </c>
      <c r="D79" s="33">
        <v>22</v>
      </c>
      <c r="E79" s="41">
        <v>28</v>
      </c>
      <c r="F79" s="33">
        <v>243.4</v>
      </c>
      <c r="G79" s="33">
        <v>191</v>
      </c>
      <c r="H79" s="35">
        <v>254000</v>
      </c>
      <c r="I79" s="35">
        <v>9930</v>
      </c>
      <c r="J79" s="33">
        <v>32.3</v>
      </c>
      <c r="K79" s="33">
        <v>6.39</v>
      </c>
      <c r="L79" s="35">
        <v>6410</v>
      </c>
      <c r="M79" s="33">
        <v>662</v>
      </c>
    </row>
    <row r="80" spans="1:13" ht="13.5">
      <c r="A80" s="250"/>
      <c r="B80" s="33" t="s">
        <v>290</v>
      </c>
      <c r="C80" s="33">
        <v>14</v>
      </c>
      <c r="D80" s="33">
        <v>26</v>
      </c>
      <c r="E80" s="41">
        <v>28</v>
      </c>
      <c r="F80" s="33">
        <v>267.4</v>
      </c>
      <c r="G80" s="33">
        <v>210</v>
      </c>
      <c r="H80" s="35">
        <v>292000</v>
      </c>
      <c r="I80" s="35">
        <v>11700</v>
      </c>
      <c r="J80" s="33">
        <v>33</v>
      </c>
      <c r="K80" s="33">
        <v>6.62</v>
      </c>
      <c r="L80" s="35">
        <v>7290</v>
      </c>
      <c r="M80" s="33">
        <v>782</v>
      </c>
    </row>
    <row r="81" spans="1:13" ht="13.5">
      <c r="A81" s="250"/>
      <c r="B81" s="33" t="s">
        <v>292</v>
      </c>
      <c r="C81" s="33">
        <v>16</v>
      </c>
      <c r="D81" s="33">
        <v>30</v>
      </c>
      <c r="E81" s="41">
        <v>28</v>
      </c>
      <c r="F81" s="33">
        <v>307.6</v>
      </c>
      <c r="G81" s="33">
        <v>241</v>
      </c>
      <c r="H81" s="35">
        <v>339000</v>
      </c>
      <c r="I81" s="35">
        <v>13800</v>
      </c>
      <c r="J81" s="33">
        <v>33.2</v>
      </c>
      <c r="K81" s="33">
        <v>6.7</v>
      </c>
      <c r="L81" s="35">
        <v>8400</v>
      </c>
      <c r="M81" s="33">
        <v>915</v>
      </c>
    </row>
    <row r="82" spans="1:13" ht="13.5">
      <c r="A82" s="251" t="s">
        <v>293</v>
      </c>
      <c r="B82" s="32" t="s">
        <v>294</v>
      </c>
      <c r="C82" s="32">
        <v>15</v>
      </c>
      <c r="D82" s="32">
        <v>23</v>
      </c>
      <c r="E82" s="39">
        <v>18</v>
      </c>
      <c r="F82" s="32">
        <v>266.8</v>
      </c>
      <c r="G82" s="32">
        <v>210</v>
      </c>
      <c r="H82" s="36">
        <v>339000</v>
      </c>
      <c r="I82" s="36">
        <v>10300</v>
      </c>
      <c r="J82" s="32">
        <v>35.6</v>
      </c>
      <c r="K82" s="32">
        <v>6.2</v>
      </c>
      <c r="L82" s="36">
        <v>7610</v>
      </c>
      <c r="M82" s="32">
        <v>687</v>
      </c>
    </row>
    <row r="83" spans="1:13" ht="13.5">
      <c r="A83" s="251"/>
      <c r="B83" s="32" t="s">
        <v>293</v>
      </c>
      <c r="C83" s="32">
        <v>16</v>
      </c>
      <c r="D83" s="32">
        <v>28</v>
      </c>
      <c r="E83" s="39">
        <v>18</v>
      </c>
      <c r="F83" s="32">
        <v>305.8</v>
      </c>
      <c r="G83" s="32">
        <v>240</v>
      </c>
      <c r="H83" s="36">
        <v>404000</v>
      </c>
      <c r="I83" s="36">
        <v>12600</v>
      </c>
      <c r="J83" s="32">
        <v>36.4</v>
      </c>
      <c r="K83" s="32">
        <v>6.43</v>
      </c>
      <c r="L83" s="36">
        <v>8990</v>
      </c>
      <c r="M83" s="32">
        <v>842</v>
      </c>
    </row>
    <row r="84" spans="1:13" ht="13.5">
      <c r="A84" s="251"/>
      <c r="B84" s="32" t="s">
        <v>295</v>
      </c>
      <c r="C84" s="32">
        <v>18</v>
      </c>
      <c r="D84" s="32">
        <v>34</v>
      </c>
      <c r="E84" s="39">
        <v>18</v>
      </c>
      <c r="F84" s="32">
        <v>360.1</v>
      </c>
      <c r="G84" s="32">
        <v>283</v>
      </c>
      <c r="H84" s="36">
        <v>491000</v>
      </c>
      <c r="I84" s="36">
        <v>15700</v>
      </c>
      <c r="J84" s="32">
        <v>36.9</v>
      </c>
      <c r="K84" s="32">
        <v>6.56</v>
      </c>
      <c r="L84" s="36">
        <v>10800</v>
      </c>
      <c r="M84" s="36">
        <v>1040</v>
      </c>
    </row>
    <row r="85" spans="1:13" ht="13.5">
      <c r="A85" s="251"/>
      <c r="B85" s="32" t="s">
        <v>296</v>
      </c>
      <c r="C85" s="32">
        <v>19</v>
      </c>
      <c r="D85" s="32">
        <v>37</v>
      </c>
      <c r="E85" s="39">
        <v>18</v>
      </c>
      <c r="F85" s="32">
        <v>387.4</v>
      </c>
      <c r="G85" s="32">
        <v>304</v>
      </c>
      <c r="H85" s="36">
        <v>535000</v>
      </c>
      <c r="I85" s="36">
        <v>17200</v>
      </c>
      <c r="J85" s="32">
        <v>37.2</v>
      </c>
      <c r="K85" s="32">
        <v>6.67</v>
      </c>
      <c r="L85" s="36">
        <v>11700</v>
      </c>
      <c r="M85" s="36">
        <v>1140</v>
      </c>
    </row>
  </sheetData>
  <mergeCells count="42">
    <mergeCell ref="B5:E5"/>
    <mergeCell ref="H1:I1"/>
    <mergeCell ref="H2:I2"/>
    <mergeCell ref="H3:I3"/>
    <mergeCell ref="H4:I4"/>
    <mergeCell ref="H5:I5"/>
    <mergeCell ref="B1:E1"/>
    <mergeCell ref="B2:E2"/>
    <mergeCell ref="B3:E3"/>
    <mergeCell ref="B4:E4"/>
    <mergeCell ref="J5:K5"/>
    <mergeCell ref="L1:M1"/>
    <mergeCell ref="L2:M2"/>
    <mergeCell ref="L3:M3"/>
    <mergeCell ref="L4:M4"/>
    <mergeCell ref="L5:M5"/>
    <mergeCell ref="J1:K1"/>
    <mergeCell ref="J2:K2"/>
    <mergeCell ref="J3:K3"/>
    <mergeCell ref="J4:K4"/>
    <mergeCell ref="A12:A13"/>
    <mergeCell ref="A15:A17"/>
    <mergeCell ref="A18:A19"/>
    <mergeCell ref="A21:A24"/>
    <mergeCell ref="A25:A26"/>
    <mergeCell ref="A27:A28"/>
    <mergeCell ref="A29:A35"/>
    <mergeCell ref="A36:A38"/>
    <mergeCell ref="A39:A40"/>
    <mergeCell ref="A41:A44"/>
    <mergeCell ref="A45:A47"/>
    <mergeCell ref="A48:A49"/>
    <mergeCell ref="A50:A59"/>
    <mergeCell ref="A60:A61"/>
    <mergeCell ref="A62:A63"/>
    <mergeCell ref="A64:A66"/>
    <mergeCell ref="A79:A81"/>
    <mergeCell ref="A82:A85"/>
    <mergeCell ref="A67:A68"/>
    <mergeCell ref="A69:A72"/>
    <mergeCell ref="A73:A75"/>
    <mergeCell ref="A76:A78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관리부</cp:lastModifiedBy>
  <cp:lastPrinted>2008-04-10T11:01:19Z</cp:lastPrinted>
  <dcterms:created xsi:type="dcterms:W3CDTF">2003-11-30T09:18:09Z</dcterms:created>
  <dcterms:modified xsi:type="dcterms:W3CDTF">2008-11-06T02:06:55Z</dcterms:modified>
  <cp:category/>
  <cp:version/>
  <cp:contentType/>
  <cp:contentStatus/>
</cp:coreProperties>
</file>