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300" windowWidth="5970" windowHeight="3315" activeTab="6"/>
  </bookViews>
  <sheets>
    <sheet name="예정공정표" sheetId="1" r:id="rId1"/>
    <sheet name="공기산출" sheetId="2" r:id="rId2"/>
    <sheet name="cycle-수정" sheetId="3" state="hidden" r:id="rId3"/>
    <sheet name="cycle-집계" sheetId="4" r:id="rId4"/>
    <sheet name="drilling" sheetId="5" r:id="rId5"/>
    <sheet name="mucking" sheetId="6" r:id="rId6"/>
    <sheet name="shotcrete" sheetId="7" r:id="rId7"/>
    <sheet name="rockbolt" sheetId="8" r:id="rId8"/>
    <sheet name="CYCLE" sheetId="9" state="hidden" r:id="rId9"/>
    <sheet name="굴착량" sheetId="10" r:id="rId10"/>
    <sheet name="골재야적장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<sst xmlns="http://schemas.openxmlformats.org/spreadsheetml/2006/main" count="648" uniqueCount="314">
  <si>
    <t>TYPE-2</t>
  </si>
  <si>
    <t>TYPE-3</t>
  </si>
  <si>
    <t>TYPE-4</t>
  </si>
  <si>
    <t>TYPE-5</t>
  </si>
  <si>
    <t>TYPE-6</t>
  </si>
  <si>
    <t>비  고</t>
  </si>
  <si>
    <t>착암 CYCLE TIME(min)</t>
  </si>
  <si>
    <t>버력처리 CYCLE TIME</t>
  </si>
  <si>
    <t>구       분</t>
  </si>
  <si>
    <t>TYPE-1</t>
  </si>
  <si>
    <t>전 단 면</t>
  </si>
  <si>
    <t>굴 진 준 비</t>
  </si>
  <si>
    <t>천공(Jumbo) T2</t>
  </si>
  <si>
    <t>장약 및 발파</t>
  </si>
  <si>
    <t>환          기</t>
  </si>
  <si>
    <t>부석 및 기타정리</t>
  </si>
  <si>
    <t>소          계</t>
  </si>
  <si>
    <t>준       비</t>
  </si>
  <si>
    <t>버럭처리 T2</t>
  </si>
  <si>
    <t>뒷  정  리</t>
  </si>
  <si>
    <t>측       량</t>
  </si>
  <si>
    <t>소       계</t>
  </si>
  <si>
    <t>SHOTCRETE CYCLE TIME</t>
  </si>
  <si>
    <t>바닥청소 및 면정리 T1</t>
  </si>
  <si>
    <t>STEEL-RIB 설치</t>
  </si>
  <si>
    <t>뿜어붙이기 T2</t>
  </si>
  <si>
    <t>잔재제거</t>
  </si>
  <si>
    <t>장비점검</t>
  </si>
  <si>
    <t>합       계</t>
  </si>
  <si>
    <t>ROCK BOLT CYCLE TIME</t>
  </si>
  <si>
    <t>천공준비</t>
  </si>
  <si>
    <t>천      공</t>
  </si>
  <si>
    <t>공내청소</t>
  </si>
  <si>
    <t>충      진</t>
  </si>
  <si>
    <t>정      착</t>
  </si>
  <si>
    <t>이동기타</t>
  </si>
  <si>
    <t>소      계</t>
  </si>
  <si>
    <t>CYCLE TIME 집계</t>
  </si>
  <si>
    <t>착      암</t>
  </si>
  <si>
    <t>버럭처리</t>
  </si>
  <si>
    <t>SHOTCRETE</t>
  </si>
  <si>
    <t>ROCK BOLT</t>
  </si>
  <si>
    <t>하  부</t>
  </si>
  <si>
    <t>상  부</t>
  </si>
  <si>
    <t>골 재 야 적 장</t>
  </si>
  <si>
    <t>1. 정면도</t>
  </si>
  <si>
    <t>2. 측면도</t>
  </si>
  <si>
    <t>총발파수</t>
  </si>
  <si>
    <t>Cycle time</t>
  </si>
  <si>
    <t>소요공기</t>
  </si>
  <si>
    <t>Month</t>
  </si>
  <si>
    <t>Days(/20hrs)</t>
  </si>
  <si>
    <t>2) 뚫기 1 발파당 CYCLE TIME</t>
  </si>
  <si>
    <t>간재터널</t>
  </si>
  <si>
    <t>구    분</t>
  </si>
  <si>
    <t>TYPE-1</t>
  </si>
  <si>
    <t>TYPE-5</t>
  </si>
  <si>
    <t>TYPE-6</t>
  </si>
  <si>
    <t>비    고</t>
  </si>
  <si>
    <t>상   부</t>
  </si>
  <si>
    <t>하   부</t>
  </si>
  <si>
    <t>Survey</t>
  </si>
  <si>
    <t>Drilling</t>
  </si>
  <si>
    <t>Charging
&amp; Blasting</t>
  </si>
  <si>
    <t>Bentilation</t>
  </si>
  <si>
    <t>Mucking</t>
  </si>
  <si>
    <t>Scaling</t>
  </si>
  <si>
    <t>Shotcrete</t>
  </si>
  <si>
    <t>Rock Bolt</t>
  </si>
  <si>
    <t>합     계</t>
  </si>
  <si>
    <t>Hour</t>
  </si>
  <si>
    <t>round/day
(24hr 기준)</t>
  </si>
  <si>
    <t>round/day
(20hr 기준)</t>
  </si>
  <si>
    <t>Advance</t>
  </si>
  <si>
    <t>Duration</t>
  </si>
  <si>
    <t>3) 뚫기 1 발파당 CYCLE TIME</t>
  </si>
  <si>
    <t>3-1) 수정Cycle time</t>
  </si>
  <si>
    <t>단위</t>
  </si>
  <si>
    <t>갱구부</t>
  </si>
  <si>
    <t>㎥</t>
  </si>
  <si>
    <r>
      <t xml:space="preserve">2. </t>
    </r>
    <r>
      <rPr>
        <b/>
        <sz val="16"/>
        <rFont val="바탕체"/>
        <family val="1"/>
      </rPr>
      <t>예</t>
    </r>
    <r>
      <rPr>
        <b/>
        <sz val="16"/>
        <rFont val="Arial"/>
        <family val="2"/>
      </rPr>
      <t xml:space="preserve"> </t>
    </r>
    <r>
      <rPr>
        <b/>
        <sz val="16"/>
        <rFont val="바탕체"/>
        <family val="1"/>
      </rPr>
      <t>정</t>
    </r>
    <r>
      <rPr>
        <b/>
        <sz val="16"/>
        <rFont val="Arial"/>
        <family val="2"/>
      </rPr>
      <t xml:space="preserve"> </t>
    </r>
    <r>
      <rPr>
        <b/>
        <sz val="16"/>
        <rFont val="바탕체"/>
        <family val="1"/>
      </rPr>
      <t>공</t>
    </r>
    <r>
      <rPr>
        <b/>
        <sz val="16"/>
        <rFont val="Arial"/>
        <family val="2"/>
      </rPr>
      <t xml:space="preserve"> </t>
    </r>
    <r>
      <rPr>
        <b/>
        <sz val="16"/>
        <rFont val="바탕체"/>
        <family val="1"/>
      </rPr>
      <t>정</t>
    </r>
    <r>
      <rPr>
        <b/>
        <sz val="16"/>
        <rFont val="Arial"/>
        <family val="2"/>
      </rPr>
      <t xml:space="preserve"> </t>
    </r>
    <r>
      <rPr>
        <b/>
        <sz val="16"/>
        <rFont val="바탕체"/>
        <family val="1"/>
      </rPr>
      <t>표</t>
    </r>
  </si>
  <si>
    <r>
      <t>공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종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및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규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격</t>
    </r>
  </si>
  <si>
    <r>
      <t>수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량</t>
    </r>
  </si>
  <si>
    <r>
      <t>금</t>
    </r>
    <r>
      <rPr>
        <sz val="8"/>
        <rFont val="Arial"/>
        <family val="2"/>
      </rPr>
      <t xml:space="preserve">   </t>
    </r>
    <r>
      <rPr>
        <sz val="8"/>
        <rFont val="바탕체"/>
        <family val="1"/>
      </rPr>
      <t>액</t>
    </r>
  </si>
  <si>
    <r>
      <t xml:space="preserve">보할
</t>
    </r>
    <r>
      <rPr>
        <sz val="8"/>
        <rFont val="Arial"/>
        <family val="2"/>
      </rPr>
      <t>%</t>
    </r>
  </si>
  <si>
    <r>
      <t>1999</t>
    </r>
    <r>
      <rPr>
        <sz val="8"/>
        <rFont val="바탕체"/>
        <family val="1"/>
      </rPr>
      <t>년도</t>
    </r>
  </si>
  <si>
    <r>
      <t>2000</t>
    </r>
    <r>
      <rPr>
        <sz val="8"/>
        <rFont val="바탕체"/>
        <family val="1"/>
      </rPr>
      <t>년도</t>
    </r>
  </si>
  <si>
    <r>
      <t>1</t>
    </r>
    <r>
      <rPr>
        <sz val="8"/>
        <rFont val="바탕체"/>
        <family val="1"/>
      </rPr>
      <t>월</t>
    </r>
  </si>
  <si>
    <r>
      <t>2</t>
    </r>
    <r>
      <rPr>
        <sz val="8"/>
        <rFont val="바탕체"/>
        <family val="1"/>
      </rPr>
      <t>월</t>
    </r>
  </si>
  <si>
    <r>
      <t>3</t>
    </r>
    <r>
      <rPr>
        <sz val="8"/>
        <rFont val="바탕체"/>
        <family val="1"/>
      </rPr>
      <t>월</t>
    </r>
  </si>
  <si>
    <r>
      <t>4</t>
    </r>
    <r>
      <rPr>
        <sz val="8"/>
        <rFont val="바탕체"/>
        <family val="1"/>
      </rPr>
      <t>월</t>
    </r>
  </si>
  <si>
    <r>
      <t>5</t>
    </r>
    <r>
      <rPr>
        <sz val="8"/>
        <rFont val="바탕체"/>
        <family val="1"/>
      </rPr>
      <t>월</t>
    </r>
  </si>
  <si>
    <r>
      <t>6</t>
    </r>
    <r>
      <rPr>
        <sz val="8"/>
        <rFont val="바탕체"/>
        <family val="1"/>
      </rPr>
      <t>월</t>
    </r>
  </si>
  <si>
    <r>
      <t>7</t>
    </r>
    <r>
      <rPr>
        <sz val="8"/>
        <rFont val="바탕체"/>
        <family val="1"/>
      </rPr>
      <t>월</t>
    </r>
  </si>
  <si>
    <r>
      <t>8</t>
    </r>
    <r>
      <rPr>
        <sz val="8"/>
        <rFont val="바탕체"/>
        <family val="1"/>
      </rPr>
      <t>월</t>
    </r>
  </si>
  <si>
    <r>
      <t>9</t>
    </r>
    <r>
      <rPr>
        <sz val="8"/>
        <rFont val="바탕체"/>
        <family val="1"/>
      </rPr>
      <t>월</t>
    </r>
  </si>
  <si>
    <r>
      <t>10</t>
    </r>
    <r>
      <rPr>
        <sz val="8"/>
        <rFont val="바탕체"/>
        <family val="1"/>
      </rPr>
      <t>월</t>
    </r>
  </si>
  <si>
    <r>
      <t>11</t>
    </r>
    <r>
      <rPr>
        <sz val="8"/>
        <rFont val="바탕체"/>
        <family val="1"/>
      </rPr>
      <t>월</t>
    </r>
  </si>
  <si>
    <r>
      <t>12</t>
    </r>
    <r>
      <rPr>
        <sz val="8"/>
        <rFont val="바탕체"/>
        <family val="1"/>
      </rPr>
      <t>월</t>
    </r>
  </si>
  <si>
    <r>
      <t>토공깍기</t>
    </r>
    <r>
      <rPr>
        <sz val="8"/>
        <rFont val="Arial"/>
        <family val="2"/>
      </rPr>
      <t>,</t>
    </r>
    <r>
      <rPr>
        <sz val="8"/>
        <rFont val="바탕체"/>
        <family val="1"/>
      </rPr>
      <t>성토</t>
    </r>
  </si>
  <si>
    <r>
      <t>굴</t>
    </r>
    <r>
      <rPr>
        <sz val="8"/>
        <rFont val="Arial"/>
        <family val="2"/>
      </rPr>
      <t xml:space="preserve">    </t>
    </r>
    <r>
      <rPr>
        <sz val="8"/>
        <rFont val="바탕체"/>
        <family val="1"/>
      </rPr>
      <t>착</t>
    </r>
  </si>
  <si>
    <t>㎥</t>
  </si>
  <si>
    <t>버력처리</t>
  </si>
  <si>
    <t>SHOTCRETE</t>
  </si>
  <si>
    <t>ROCK BOLT</t>
  </si>
  <si>
    <t>EA</t>
  </si>
  <si>
    <r>
      <t>강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지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보</t>
    </r>
  </si>
  <si>
    <t>SET</t>
  </si>
  <si>
    <r>
      <t>방</t>
    </r>
    <r>
      <rPr>
        <sz val="8"/>
        <rFont val="Arial"/>
        <family val="2"/>
      </rPr>
      <t xml:space="preserve">    </t>
    </r>
    <r>
      <rPr>
        <sz val="8"/>
        <rFont val="바탕체"/>
        <family val="1"/>
      </rPr>
      <t>수</t>
    </r>
  </si>
  <si>
    <t>㎡</t>
  </si>
  <si>
    <r>
      <t>배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수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공</t>
    </r>
  </si>
  <si>
    <r>
      <t>LINING 
CON'C</t>
    </r>
    <r>
      <rPr>
        <sz val="8"/>
        <rFont val="바탕체"/>
        <family val="1"/>
      </rPr>
      <t>공</t>
    </r>
  </si>
  <si>
    <r>
      <t>갱문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및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옹벽</t>
    </r>
  </si>
  <si>
    <t>㎥</t>
  </si>
  <si>
    <r>
      <t>부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대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공</t>
    </r>
  </si>
  <si>
    <t>LS</t>
  </si>
  <si>
    <r>
      <t>계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측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공</t>
    </r>
  </si>
  <si>
    <t>현장관리공</t>
  </si>
  <si>
    <t>간접공사</t>
  </si>
  <si>
    <r>
      <t>공</t>
    </r>
    <r>
      <rPr>
        <sz val="8"/>
        <rFont val="Arial"/>
        <family val="2"/>
      </rPr>
      <t xml:space="preserve">    </t>
    </r>
    <r>
      <rPr>
        <sz val="8"/>
        <rFont val="바탕체"/>
        <family val="1"/>
      </rPr>
      <t>정</t>
    </r>
    <r>
      <rPr>
        <sz val="8"/>
        <rFont val="Arial"/>
        <family val="2"/>
      </rPr>
      <t xml:space="preserve">    </t>
    </r>
    <r>
      <rPr>
        <sz val="8"/>
        <rFont val="바탕체"/>
        <family val="1"/>
      </rPr>
      <t xml:space="preserve">율
</t>
    </r>
    <r>
      <rPr>
        <sz val="8"/>
        <rFont val="Arial"/>
        <family val="2"/>
      </rPr>
      <t>(%)</t>
    </r>
  </si>
  <si>
    <r>
      <t>금</t>
    </r>
    <r>
      <rPr>
        <sz val="8"/>
        <rFont val="Arial"/>
        <family val="2"/>
      </rPr>
      <t xml:space="preserve">  </t>
    </r>
    <r>
      <rPr>
        <sz val="8"/>
        <rFont val="바탕체"/>
        <family val="1"/>
      </rPr>
      <t>월</t>
    </r>
  </si>
  <si>
    <r>
      <t>누</t>
    </r>
    <r>
      <rPr>
        <sz val="8"/>
        <rFont val="Arial"/>
        <family val="2"/>
      </rPr>
      <t xml:space="preserve">  </t>
    </r>
    <r>
      <rPr>
        <sz val="8"/>
        <rFont val="바탕체"/>
        <family val="1"/>
      </rPr>
      <t>계</t>
    </r>
  </si>
  <si>
    <r>
      <t>공</t>
    </r>
    <r>
      <rPr>
        <sz val="8"/>
        <rFont val="Arial"/>
        <family val="2"/>
      </rPr>
      <t xml:space="preserve">  </t>
    </r>
    <r>
      <rPr>
        <sz val="8"/>
        <rFont val="바탕체"/>
        <family val="1"/>
      </rPr>
      <t>사</t>
    </r>
    <r>
      <rPr>
        <sz val="8"/>
        <rFont val="Arial"/>
        <family val="2"/>
      </rPr>
      <t xml:space="preserve">  </t>
    </r>
    <r>
      <rPr>
        <sz val="8"/>
        <rFont val="바탕체"/>
        <family val="1"/>
      </rPr>
      <t>금</t>
    </r>
    <r>
      <rPr>
        <sz val="8"/>
        <rFont val="Arial"/>
        <family val="2"/>
      </rPr>
      <t xml:space="preserve">  </t>
    </r>
    <r>
      <rPr>
        <sz val="8"/>
        <rFont val="바탕체"/>
        <family val="1"/>
      </rPr>
      <t xml:space="preserve">액
</t>
    </r>
    <r>
      <rPr>
        <sz val="8"/>
        <rFont val="Arial"/>
        <family val="2"/>
      </rPr>
      <t>(</t>
    </r>
    <r>
      <rPr>
        <sz val="8"/>
        <rFont val="바탕체"/>
        <family val="1"/>
      </rPr>
      <t>천</t>
    </r>
    <r>
      <rPr>
        <sz val="8"/>
        <rFont val="Arial"/>
        <family val="2"/>
      </rPr>
      <t xml:space="preserve"> </t>
    </r>
    <r>
      <rPr>
        <sz val="8"/>
        <rFont val="바탕체"/>
        <family val="1"/>
      </rPr>
      <t>원</t>
    </r>
    <r>
      <rPr>
        <sz val="8"/>
        <rFont val="Arial"/>
        <family val="2"/>
      </rPr>
      <t>)</t>
    </r>
  </si>
  <si>
    <r>
      <t xml:space="preserve">2) </t>
    </r>
    <r>
      <rPr>
        <sz val="12"/>
        <rFont val="바탕체"/>
        <family val="1"/>
      </rPr>
      <t>소요공기</t>
    </r>
    <r>
      <rPr>
        <sz val="12"/>
        <rFont val="Arial"/>
        <family val="2"/>
      </rPr>
      <t xml:space="preserve"> </t>
    </r>
    <r>
      <rPr>
        <sz val="12"/>
        <rFont val="바탕체"/>
        <family val="1"/>
      </rPr>
      <t>산출</t>
    </r>
  </si>
  <si>
    <r>
      <t>구</t>
    </r>
    <r>
      <rPr>
        <sz val="10"/>
        <rFont val="Arial"/>
        <family val="2"/>
      </rPr>
      <t xml:space="preserve">     </t>
    </r>
    <r>
      <rPr>
        <sz val="10"/>
        <rFont val="바탕체"/>
        <family val="1"/>
      </rPr>
      <t>분</t>
    </r>
  </si>
  <si>
    <r>
      <t>총연장</t>
    </r>
    <r>
      <rPr>
        <sz val="10"/>
        <rFont val="Arial"/>
        <family val="2"/>
      </rPr>
      <t>(m)</t>
    </r>
  </si>
  <si>
    <r>
      <t>굴진장</t>
    </r>
    <r>
      <rPr>
        <sz val="10"/>
        <rFont val="Arial"/>
        <family val="2"/>
      </rPr>
      <t>(m)</t>
    </r>
  </si>
  <si>
    <r>
      <t>비</t>
    </r>
    <r>
      <rPr>
        <sz val="10"/>
        <rFont val="Arial"/>
        <family val="2"/>
      </rPr>
      <t xml:space="preserve">  </t>
    </r>
    <r>
      <rPr>
        <sz val="10"/>
        <rFont val="바탕체"/>
        <family val="1"/>
      </rPr>
      <t>고</t>
    </r>
  </si>
  <si>
    <r>
      <t>시간</t>
    </r>
    <r>
      <rPr>
        <sz val="10"/>
        <rFont val="Arial"/>
        <family val="2"/>
      </rPr>
      <t>(hrs)</t>
    </r>
  </si>
  <si>
    <r>
      <t>2</t>
    </r>
    <r>
      <rPr>
        <sz val="10"/>
        <rFont val="바탕체"/>
        <family val="1"/>
      </rPr>
      <t>방향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</si>
  <si>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</si>
  <si>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하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</si>
  <si>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계</t>
    </r>
  </si>
  <si>
    <r>
      <t>9</t>
    </r>
    <r>
      <rPr>
        <sz val="10"/>
        <rFont val="바탕체"/>
        <family val="1"/>
      </rPr>
      <t>개월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소요</t>
    </r>
  </si>
  <si>
    <t>TYPE-1</t>
  </si>
  <si>
    <t>TYPE-5</t>
  </si>
  <si>
    <t>TYPE-6</t>
  </si>
  <si>
    <t>Survey</t>
  </si>
  <si>
    <t>Drilling</t>
  </si>
  <si>
    <t>Charging
&amp; Blasting</t>
  </si>
  <si>
    <t>Ventilation</t>
  </si>
  <si>
    <t>Mucking</t>
  </si>
  <si>
    <t>Scaling</t>
  </si>
  <si>
    <t>Shotcrete</t>
  </si>
  <si>
    <t>Rock Bolt</t>
  </si>
  <si>
    <t>Hour</t>
  </si>
  <si>
    <r>
      <t xml:space="preserve">3) CYCLE TIME </t>
    </r>
    <r>
      <rPr>
        <sz val="12"/>
        <rFont val="바탕체"/>
        <family val="1"/>
      </rPr>
      <t>집계표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</si>
  <si>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분</t>
    </r>
  </si>
  <si>
    <r>
      <t>비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고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</si>
  <si>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</si>
  <si>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하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</si>
  <si>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바탕체"/>
        <family val="1"/>
      </rPr>
      <t>계</t>
    </r>
  </si>
  <si>
    <r>
      <t xml:space="preserve">round/day
(24hr </t>
    </r>
    <r>
      <rPr>
        <sz val="10"/>
        <rFont val="바탕체"/>
        <family val="1"/>
      </rPr>
      <t>기준</t>
    </r>
    <r>
      <rPr>
        <sz val="10"/>
        <rFont val="Arial"/>
        <family val="2"/>
      </rPr>
      <t>)</t>
    </r>
  </si>
  <si>
    <r>
      <t xml:space="preserve">round/day
(20hr </t>
    </r>
    <r>
      <rPr>
        <sz val="10"/>
        <rFont val="바탕체"/>
        <family val="1"/>
      </rPr>
      <t>기준</t>
    </r>
    <r>
      <rPr>
        <sz val="10"/>
        <rFont val="Arial"/>
        <family val="2"/>
      </rPr>
      <t>)</t>
    </r>
  </si>
  <si>
    <t>Advance</t>
  </si>
  <si>
    <t>굴착준비</t>
  </si>
  <si>
    <t>측량포함</t>
  </si>
  <si>
    <t>천공수</t>
  </si>
  <si>
    <t>천공장</t>
  </si>
  <si>
    <t>총천공장</t>
  </si>
  <si>
    <t>t2(min)
(L/(h*B)</t>
  </si>
  <si>
    <r>
      <t>가</t>
    </r>
    <r>
      <rPr>
        <sz val="10"/>
        <rFont val="Arial"/>
        <family val="2"/>
      </rPr>
      <t>. Drilling &amp; Charging</t>
    </r>
  </si>
  <si>
    <r>
      <t>천공</t>
    </r>
    <r>
      <rPr>
        <sz val="10"/>
        <rFont val="Arial"/>
        <family val="2"/>
      </rPr>
      <t>(t2)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</si>
  <si>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계</t>
    </r>
  </si>
  <si>
    <r>
      <t>▶</t>
    </r>
    <r>
      <rPr>
        <sz val="12"/>
        <rFont val="Arial"/>
        <family val="2"/>
      </rPr>
      <t xml:space="preserve">  t2 </t>
    </r>
    <r>
      <rPr>
        <sz val="12"/>
        <rFont val="바탕체"/>
        <family val="1"/>
      </rPr>
      <t>산정</t>
    </r>
  </si>
  <si>
    <r>
      <t>구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분</t>
    </r>
  </si>
  <si>
    <r>
      <t xml:space="preserve">천공속도
</t>
    </r>
    <r>
      <rPr>
        <sz val="10"/>
        <rFont val="Arial"/>
        <family val="2"/>
      </rPr>
      <t>(m/min)</t>
    </r>
  </si>
  <si>
    <r>
      <t>BOOM</t>
    </r>
    <r>
      <rPr>
        <sz val="10"/>
        <rFont val="바탕체"/>
        <family val="1"/>
      </rPr>
      <t>수</t>
    </r>
  </si>
  <si>
    <r>
      <t>TYPE-1(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</si>
  <si>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TYPE-1(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</si>
  <si>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TYPE-2(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</si>
  <si>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TYPE-2(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</si>
  <si>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TYPE-3(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</si>
  <si>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TYPE-3(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</si>
  <si>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TYPE-4(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</si>
  <si>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TYPE-4(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</si>
  <si>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TYPE-5(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</si>
  <si>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TYPE-5(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</si>
  <si>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TYPE-6(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</si>
  <si>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TYPE-6(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</si>
  <si>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t>굴진장</t>
  </si>
  <si>
    <t>버럭처리량</t>
  </si>
  <si>
    <t>q</t>
  </si>
  <si>
    <t>k</t>
  </si>
  <si>
    <t>f</t>
  </si>
  <si>
    <t>E</t>
  </si>
  <si>
    <t>Cm</t>
  </si>
  <si>
    <t>Q</t>
  </si>
  <si>
    <t>t2</t>
  </si>
  <si>
    <t>Actual t2</t>
  </si>
  <si>
    <r>
      <t>나</t>
    </r>
    <r>
      <rPr>
        <sz val="10"/>
        <rFont val="Arial"/>
        <family val="2"/>
      </rPr>
      <t>. Mucking</t>
    </r>
  </si>
  <si>
    <r>
      <t>준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비</t>
    </r>
  </si>
  <si>
    <r>
      <t>버럭처리</t>
    </r>
    <r>
      <rPr>
        <sz val="10"/>
        <rFont val="Arial"/>
        <family val="2"/>
      </rPr>
      <t>(t2)</t>
    </r>
  </si>
  <si>
    <r>
      <t>▶</t>
    </r>
    <r>
      <rPr>
        <sz val="12"/>
        <rFont val="Arial"/>
        <family val="2"/>
      </rPr>
      <t xml:space="preserve">  t2 </t>
    </r>
    <r>
      <rPr>
        <sz val="12"/>
        <rFont val="바탕체"/>
        <family val="1"/>
      </rPr>
      <t>산정</t>
    </r>
    <r>
      <rPr>
        <sz val="12"/>
        <rFont val="Arial"/>
        <family val="2"/>
      </rPr>
      <t>(Wheel Loder 3.7</t>
    </r>
    <r>
      <rPr>
        <sz val="12"/>
        <rFont val="바탕체"/>
        <family val="1"/>
      </rPr>
      <t>㎥</t>
    </r>
    <r>
      <rPr>
        <sz val="12"/>
        <rFont val="Arial"/>
        <family val="2"/>
      </rPr>
      <t>, 966F)</t>
    </r>
  </si>
  <si>
    <r>
      <t>면적</t>
    </r>
    <r>
      <rPr>
        <sz val="10"/>
        <rFont val="Arial"/>
        <family val="2"/>
      </rPr>
      <t>(m</t>
    </r>
    <r>
      <rPr>
        <sz val="10"/>
        <rFont val="바탕체"/>
        <family val="1"/>
      </rPr>
      <t>당</t>
    </r>
    <r>
      <rPr>
        <sz val="10"/>
        <rFont val="Arial"/>
        <family val="2"/>
      </rPr>
      <t>)</t>
    </r>
  </si>
  <si>
    <r>
      <t>TYPE-4(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</si>
  <si>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TYPE-4(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</si>
  <si>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t xml:space="preserve"> </t>
  </si>
  <si>
    <t>Spray(t2)</t>
  </si>
  <si>
    <r>
      <t>다</t>
    </r>
    <r>
      <rPr>
        <sz val="10"/>
        <rFont val="Arial"/>
        <family val="2"/>
      </rPr>
      <t>. SHOTCRETE</t>
    </r>
  </si>
  <si>
    <r>
      <t xml:space="preserve">Steel-Rib </t>
    </r>
    <r>
      <rPr>
        <sz val="10"/>
        <rFont val="바탕체"/>
        <family val="1"/>
      </rPr>
      <t>설치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</si>
  <si>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타</t>
    </r>
  </si>
  <si>
    <r>
      <t>적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용</t>
    </r>
  </si>
  <si>
    <r>
      <t>▶</t>
    </r>
    <r>
      <rPr>
        <sz val="12"/>
        <rFont val="Arial"/>
        <family val="2"/>
      </rPr>
      <t xml:space="preserve">  t2 </t>
    </r>
    <r>
      <rPr>
        <sz val="12"/>
        <rFont val="바탕체"/>
        <family val="1"/>
      </rPr>
      <t>산정</t>
    </r>
    <r>
      <rPr>
        <sz val="12"/>
        <rFont val="Arial"/>
        <family val="2"/>
      </rPr>
      <t xml:space="preserve">(Capacity 30 </t>
    </r>
    <r>
      <rPr>
        <sz val="12"/>
        <rFont val="바탕체"/>
        <family val="1"/>
      </rPr>
      <t>㎥</t>
    </r>
    <r>
      <rPr>
        <sz val="12"/>
        <rFont val="Arial"/>
        <family val="2"/>
      </rPr>
      <t>/hr)</t>
    </r>
  </si>
  <si>
    <r>
      <t>1</t>
    </r>
    <r>
      <rPr>
        <sz val="10"/>
        <rFont val="바탕체"/>
        <family val="1"/>
      </rPr>
      <t>발파당</t>
    </r>
  </si>
  <si>
    <r>
      <t>Shot 1</t>
    </r>
    <r>
      <rPr>
        <sz val="10"/>
        <rFont val="바탕체"/>
        <family val="1"/>
      </rPr>
      <t>회당</t>
    </r>
  </si>
  <si>
    <r>
      <t>1-</t>
    </r>
    <r>
      <rPr>
        <sz val="10"/>
        <rFont val="바탕체"/>
        <family val="1"/>
      </rPr>
      <t>손실율</t>
    </r>
  </si>
  <si>
    <r>
      <t>4-1) M</t>
    </r>
    <r>
      <rPr>
        <b/>
        <sz val="10"/>
        <rFont val="바탕체"/>
        <family val="1"/>
      </rPr>
      <t>당</t>
    </r>
    <r>
      <rPr>
        <b/>
        <sz val="10"/>
        <rFont val="Arial"/>
        <family val="2"/>
      </rPr>
      <t xml:space="preserve"> </t>
    </r>
    <r>
      <rPr>
        <b/>
        <sz val="10"/>
        <rFont val="바탕체"/>
        <family val="1"/>
      </rPr>
      <t>굴착량</t>
    </r>
    <r>
      <rPr>
        <b/>
        <sz val="10"/>
        <rFont val="Arial"/>
        <family val="2"/>
      </rPr>
      <t>(</t>
    </r>
    <r>
      <rPr>
        <b/>
        <sz val="10"/>
        <rFont val="바탕체"/>
        <family val="1"/>
      </rPr>
      <t>㎥</t>
    </r>
    <r>
      <rPr>
        <b/>
        <sz val="10"/>
        <rFont val="Arial"/>
        <family val="2"/>
      </rPr>
      <t>)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</si>
  <si>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분</t>
    </r>
  </si>
  <si>
    <t>TYPE-1</t>
  </si>
  <si>
    <r>
      <t>비</t>
    </r>
    <r>
      <rPr>
        <sz val="10"/>
        <rFont val="Arial"/>
        <family val="2"/>
      </rPr>
      <t xml:space="preserve">  </t>
    </r>
    <r>
      <rPr>
        <sz val="10"/>
        <rFont val="바탕체"/>
        <family val="1"/>
      </rPr>
      <t>고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</si>
  <si>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</si>
  <si>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하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</si>
  <si>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굴</t>
    </r>
    <r>
      <rPr>
        <sz val="10"/>
        <rFont val="Arial"/>
        <family val="2"/>
      </rPr>
      <t xml:space="preserve">  </t>
    </r>
    <r>
      <rPr>
        <sz val="10"/>
        <rFont val="바탕체"/>
        <family val="1"/>
      </rPr>
      <t>착</t>
    </r>
  </si>
  <si>
    <r>
      <t>여</t>
    </r>
    <r>
      <rPr>
        <sz val="10"/>
        <rFont val="Arial"/>
        <family val="2"/>
      </rPr>
      <t xml:space="preserve">  </t>
    </r>
    <r>
      <rPr>
        <sz val="10"/>
        <rFont val="바탕체"/>
        <family val="1"/>
      </rPr>
      <t>굴</t>
    </r>
  </si>
  <si>
    <t>버럭처리량</t>
  </si>
  <si>
    <r>
      <t xml:space="preserve">4-2) 1 </t>
    </r>
    <r>
      <rPr>
        <b/>
        <sz val="10"/>
        <rFont val="바탕체"/>
        <family val="1"/>
      </rPr>
      <t>발파당</t>
    </r>
    <r>
      <rPr>
        <b/>
        <sz val="10"/>
        <rFont val="Arial"/>
        <family val="2"/>
      </rPr>
      <t xml:space="preserve"> </t>
    </r>
    <r>
      <rPr>
        <b/>
        <sz val="10"/>
        <rFont val="바탕체"/>
        <family val="1"/>
      </rPr>
      <t>굴착량</t>
    </r>
    <r>
      <rPr>
        <b/>
        <sz val="10"/>
        <rFont val="Arial"/>
        <family val="2"/>
      </rPr>
      <t>(</t>
    </r>
    <r>
      <rPr>
        <b/>
        <sz val="10"/>
        <rFont val="바탕체"/>
        <family val="1"/>
      </rPr>
      <t>㎥</t>
    </r>
    <r>
      <rPr>
        <b/>
        <sz val="10"/>
        <rFont val="Arial"/>
        <family val="2"/>
      </rPr>
      <t>)</t>
    </r>
  </si>
  <si>
    <r>
      <t>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공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장</t>
    </r>
  </si>
  <si>
    <r>
      <t>굴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장</t>
    </r>
  </si>
  <si>
    <r>
      <t>굴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착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량</t>
    </r>
  </si>
  <si>
    <r>
      <t>여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굴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량</t>
    </r>
  </si>
  <si>
    <r>
      <t xml:space="preserve">4-3) </t>
    </r>
    <r>
      <rPr>
        <b/>
        <sz val="10"/>
        <rFont val="바탕체"/>
        <family val="1"/>
      </rPr>
      <t>발파천공</t>
    </r>
    <r>
      <rPr>
        <b/>
        <sz val="10"/>
        <rFont val="Arial"/>
        <family val="2"/>
      </rPr>
      <t xml:space="preserve"> </t>
    </r>
    <r>
      <rPr>
        <b/>
        <sz val="10"/>
        <rFont val="바탕체"/>
        <family val="1"/>
      </rPr>
      <t>및</t>
    </r>
    <r>
      <rPr>
        <b/>
        <sz val="10"/>
        <rFont val="Arial"/>
        <family val="2"/>
      </rPr>
      <t xml:space="preserve"> </t>
    </r>
    <r>
      <rPr>
        <b/>
        <sz val="10"/>
        <rFont val="바탕체"/>
        <family val="1"/>
      </rPr>
      <t>장약량</t>
    </r>
  </si>
  <si>
    <r>
      <t>형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식</t>
    </r>
  </si>
  <si>
    <t>단위</t>
  </si>
  <si>
    <r>
      <t>구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분</t>
    </r>
  </si>
  <si>
    <t>형식별연장</t>
  </si>
  <si>
    <t>m</t>
  </si>
  <si>
    <r>
      <t>1</t>
    </r>
    <r>
      <rPr>
        <sz val="10"/>
        <rFont val="바탕체"/>
        <family val="1"/>
      </rPr>
      <t>발파당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굴진장</t>
    </r>
  </si>
  <si>
    <r>
      <t>1</t>
    </r>
    <r>
      <rPr>
        <sz val="10"/>
        <rFont val="바탕체"/>
        <family val="1"/>
      </rPr>
      <t>발파당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천공장</t>
    </r>
  </si>
  <si>
    <r>
      <t>1</t>
    </r>
    <r>
      <rPr>
        <sz val="10"/>
        <rFont val="바탕체"/>
        <family val="1"/>
      </rPr>
      <t>발파수</t>
    </r>
  </si>
  <si>
    <t>회</t>
  </si>
  <si>
    <t>천공수</t>
  </si>
  <si>
    <t>공</t>
  </si>
  <si>
    <r>
      <t xml:space="preserve">1 </t>
    </r>
    <r>
      <rPr>
        <sz val="10"/>
        <rFont val="바탕체"/>
        <family val="1"/>
      </rPr>
      <t>발파당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</si>
  <si>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량</t>
    </r>
  </si>
  <si>
    <t>천공장</t>
  </si>
  <si>
    <t>장약량</t>
  </si>
  <si>
    <t>GD</t>
  </si>
  <si>
    <t>Kg</t>
  </si>
  <si>
    <t>Finex-1</t>
  </si>
  <si>
    <t>Finex-2</t>
  </si>
  <si>
    <t>Total</t>
  </si>
  <si>
    <t>뇌관</t>
  </si>
  <si>
    <t>MSD</t>
  </si>
  <si>
    <t>EA</t>
  </si>
  <si>
    <t>DSD</t>
  </si>
  <si>
    <r>
      <t xml:space="preserve">4-4) SHOTCRETE, STEEL-RIB, ROCKBOLT(1 </t>
    </r>
    <r>
      <rPr>
        <b/>
        <sz val="10"/>
        <rFont val="바탕체"/>
        <family val="1"/>
      </rPr>
      <t>발파당</t>
    </r>
    <r>
      <rPr>
        <b/>
        <sz val="10"/>
        <rFont val="Arial"/>
        <family val="2"/>
      </rPr>
      <t>)</t>
    </r>
  </si>
  <si>
    <t>SHOTCRETE</t>
  </si>
  <si>
    <t>㎥</t>
  </si>
  <si>
    <t>STEEL-RIB</t>
  </si>
  <si>
    <t>SET</t>
  </si>
  <si>
    <t>ROCK BOLT</t>
  </si>
  <si>
    <r>
      <t>규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격</t>
    </r>
  </si>
  <si>
    <t>3.0 M</t>
  </si>
  <si>
    <t>4.0 M</t>
  </si>
  <si>
    <r>
      <t>랜</t>
    </r>
    <r>
      <rPr>
        <sz val="10"/>
        <rFont val="Arial"/>
        <family val="2"/>
      </rPr>
      <t xml:space="preserve">  </t>
    </r>
    <r>
      <rPr>
        <sz val="10"/>
        <rFont val="바탕체"/>
        <family val="1"/>
      </rPr>
      <t>덤</t>
    </r>
  </si>
  <si>
    <t># 야적수량 : 7.2×7.2×2.5 = 130 ㎥</t>
  </si>
  <si>
    <r>
      <t>4) 1</t>
    </r>
    <r>
      <rPr>
        <b/>
        <sz val="12"/>
        <rFont val="바탕체"/>
        <family val="1"/>
      </rPr>
      <t>발파당</t>
    </r>
    <r>
      <rPr>
        <b/>
        <sz val="12"/>
        <rFont val="Arial"/>
        <family val="2"/>
      </rPr>
      <t xml:space="preserve"> </t>
    </r>
    <r>
      <rPr>
        <b/>
        <sz val="12"/>
        <rFont val="바탕체"/>
        <family val="1"/>
      </rPr>
      <t>굴착량</t>
    </r>
  </si>
  <si>
    <r>
      <t>라</t>
    </r>
    <r>
      <rPr>
        <sz val="10"/>
        <rFont val="Arial"/>
        <family val="2"/>
      </rPr>
      <t>. ROCK BOLT</t>
    </r>
  </si>
  <si>
    <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분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</si>
  <si>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분</t>
    </r>
  </si>
  <si>
    <t>TYPE-1</t>
  </si>
  <si>
    <t>TYPE-5</t>
  </si>
  <si>
    <t>TYPE-6</t>
  </si>
  <si>
    <r>
      <t>비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고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</si>
  <si>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</si>
  <si>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r>
      <t>하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부</t>
    </r>
  </si>
  <si>
    <t>천공준비</t>
  </si>
  <si>
    <r>
      <t>천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공</t>
    </r>
  </si>
  <si>
    <r>
      <t>충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진</t>
    </r>
  </si>
  <si>
    <r>
      <t>정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착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</si>
  <si>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타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</si>
  <si>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계</t>
    </r>
  </si>
  <si>
    <r>
      <t>적</t>
    </r>
    <r>
      <rPr>
        <sz val="10"/>
        <rFont val="Arial"/>
        <family val="2"/>
      </rPr>
      <t xml:space="preserve">    </t>
    </r>
    <r>
      <rPr>
        <sz val="10"/>
        <rFont val="바탕체"/>
        <family val="1"/>
      </rPr>
      <t>용</t>
    </r>
  </si>
  <si>
    <r>
      <t>▶</t>
    </r>
    <r>
      <rPr>
        <sz val="12"/>
        <rFont val="Arial"/>
        <family val="2"/>
      </rPr>
      <t xml:space="preserve">  t2 </t>
    </r>
    <r>
      <rPr>
        <sz val="12"/>
        <rFont val="바탕체"/>
        <family val="1"/>
      </rPr>
      <t>산정</t>
    </r>
  </si>
  <si>
    <r>
      <t>구</t>
    </r>
    <r>
      <rPr>
        <sz val="10"/>
        <rFont val="Arial"/>
        <family val="2"/>
      </rPr>
      <t xml:space="preserve">   </t>
    </r>
    <r>
      <rPr>
        <sz val="10"/>
        <rFont val="바탕체"/>
        <family val="1"/>
      </rPr>
      <t>분</t>
    </r>
  </si>
  <si>
    <r>
      <t>천공장</t>
    </r>
    <r>
      <rPr>
        <sz val="10"/>
        <rFont val="Arial"/>
        <family val="2"/>
      </rPr>
      <t>/</t>
    </r>
    <r>
      <rPr>
        <sz val="10"/>
        <rFont val="바탕체"/>
        <family val="1"/>
      </rPr>
      <t>개당</t>
    </r>
    <r>
      <rPr>
        <sz val="10"/>
        <rFont val="Arial"/>
        <family val="2"/>
      </rPr>
      <t xml:space="preserve">
(m)</t>
    </r>
  </si>
  <si>
    <r>
      <t>1</t>
    </r>
    <r>
      <rPr>
        <sz val="10"/>
        <rFont val="바탕체"/>
        <family val="1"/>
      </rPr>
      <t>발파당</t>
    </r>
    <r>
      <rPr>
        <sz val="10"/>
        <rFont val="Arial"/>
        <family val="2"/>
      </rPr>
      <t xml:space="preserve">
(EA)</t>
    </r>
  </si>
  <si>
    <r>
      <t>1</t>
    </r>
    <r>
      <rPr>
        <sz val="10"/>
        <rFont val="바탕체"/>
        <family val="1"/>
      </rPr>
      <t>회당</t>
    </r>
    <r>
      <rPr>
        <sz val="10"/>
        <rFont val="Arial"/>
        <family val="2"/>
      </rPr>
      <t xml:space="preserve">
(EA)</t>
    </r>
  </si>
  <si>
    <r>
      <t xml:space="preserve">총천공길이
</t>
    </r>
    <r>
      <rPr>
        <sz val="10"/>
        <rFont val="Arial"/>
        <family val="2"/>
      </rPr>
      <t>(m)</t>
    </r>
  </si>
  <si>
    <r>
      <t xml:space="preserve">평균천공속도
</t>
    </r>
    <r>
      <rPr>
        <sz val="10"/>
        <rFont val="Arial"/>
        <family val="2"/>
      </rPr>
      <t>(m/min)</t>
    </r>
  </si>
  <si>
    <r>
      <t xml:space="preserve">천공시간
</t>
    </r>
    <r>
      <rPr>
        <sz val="10"/>
        <rFont val="Arial"/>
        <family val="2"/>
      </rPr>
      <t>(min)</t>
    </r>
  </si>
  <si>
    <r>
      <t>TYPE-1(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</si>
  <si>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TYPE-2(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</si>
  <si>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TYPE-4(</t>
    </r>
    <r>
      <rPr>
        <sz val="10"/>
        <rFont val="바탕체"/>
        <family val="1"/>
      </rPr>
      <t>상부</t>
    </r>
    <r>
      <rPr>
        <sz val="10"/>
        <rFont val="Arial"/>
        <family val="2"/>
      </rPr>
      <t>)</t>
    </r>
  </si>
  <si>
    <r>
      <t>TYPE-4(</t>
    </r>
    <r>
      <rPr>
        <sz val="10"/>
        <rFont val="바탕체"/>
        <family val="1"/>
      </rPr>
      <t>하부</t>
    </r>
    <r>
      <rPr>
        <sz val="10"/>
        <rFont val="Arial"/>
        <family val="2"/>
      </rPr>
      <t>)</t>
    </r>
  </si>
  <si>
    <r>
      <t>7</t>
    </r>
    <r>
      <rPr>
        <sz val="10"/>
        <rFont val="바탕체"/>
        <family val="1"/>
      </rPr>
      <t>개월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소요</t>
    </r>
  </si>
  <si>
    <t>터  널  공</t>
  </si>
  <si>
    <t>마감작업</t>
  </si>
  <si>
    <t>LS</t>
  </si>
  <si>
    <r>
      <t>1</t>
    </r>
    <r>
      <rPr>
        <sz val="10"/>
        <rFont val="바탕체"/>
        <family val="1"/>
      </rPr>
      <t xml:space="preserve">일굴진장
</t>
    </r>
    <r>
      <rPr>
        <sz val="10"/>
        <rFont val="Arial"/>
        <family val="2"/>
      </rPr>
      <t>(m)</t>
    </r>
  </si>
  <si>
    <r>
      <t>공사기간</t>
    </r>
    <r>
      <rPr>
        <sz val="8"/>
        <rFont val="Arial"/>
        <family val="2"/>
      </rPr>
      <t xml:space="preserve"> : 1999. 3.   . ~ 2000. 12. 31.</t>
    </r>
  </si>
  <si>
    <r>
      <t>공사명</t>
    </r>
    <r>
      <rPr>
        <sz val="10"/>
        <rFont val="Arial"/>
        <family val="2"/>
      </rPr>
      <t xml:space="preserve"> : </t>
    </r>
    <r>
      <rPr>
        <sz val="10"/>
        <rFont val="바탕체"/>
        <family val="1"/>
      </rPr>
      <t>간재터널</t>
    </r>
  </si>
  <si>
    <r>
      <t xml:space="preserve">2-1. </t>
    </r>
    <r>
      <rPr>
        <sz val="12"/>
        <rFont val="바탕체"/>
        <family val="1"/>
      </rPr>
      <t>예정공정표</t>
    </r>
  </si>
  <si>
    <r>
      <t xml:space="preserve">V/R-1, B/H-3, D/T-8, W/T-1, D/Z-1, C/D-2 : </t>
    </r>
    <r>
      <rPr>
        <sz val="8"/>
        <rFont val="돋움"/>
        <family val="3"/>
      </rPr>
      <t>십장-1, 기공-2, 조공-4, 여공-2</t>
    </r>
  </si>
  <si>
    <r>
      <t xml:space="preserve">J/D-1, B/H-1, W/L-2, D/T-4, S/M-1, M/T-2, A/C-1 : </t>
    </r>
    <r>
      <rPr>
        <sz val="8"/>
        <rFont val="돋움"/>
        <family val="3"/>
      </rPr>
      <t>터널공-34, 운전원-22</t>
    </r>
  </si>
  <si>
    <t>굴착공 겸용 및 겸직</t>
  </si>
  <si>
    <t>대차-2, 방수공-10</t>
  </si>
  <si>
    <t>반장-1, 목공-8, 철근공-4, 조공-2</t>
  </si>
  <si>
    <t>반장-1, 목공-10, 철근공-10</t>
  </si>
  <si>
    <t>조공-4</t>
  </si>
  <si>
    <t>특 기 사 항</t>
  </si>
  <si>
    <t>상 부 :</t>
  </si>
  <si>
    <t>하 부 :</t>
  </si>
  <si>
    <t>TYPE - 1  10.9m,  TYPE - 2   10.8m,  TYPE - 3   8.7m,  TYPE - 4   6.3m,  TYPE - 5   4.9m,  TYPE - 6   4.9m</t>
  </si>
  <si>
    <t>TYPE - 1    7.4m,  TYPE - 2     6.8m,  TYPE - 3   5.9m,  TYPE - 4   4.1m,  TYPE - 5   3.7m,  TYPE - 6   3.7m</t>
  </si>
  <si>
    <t>공정율</t>
  </si>
  <si>
    <t>비   고</t>
  </si>
  <si>
    <r>
      <t>25m/1</t>
    </r>
    <r>
      <rPr>
        <sz val="8"/>
        <rFont val="돋움"/>
        <family val="3"/>
      </rPr>
      <t>일</t>
    </r>
  </si>
  <si>
    <r>
      <t>10m/1</t>
    </r>
    <r>
      <rPr>
        <sz val="8"/>
        <rFont val="돋움"/>
        <family val="3"/>
      </rPr>
      <t>일</t>
    </r>
  </si>
  <si>
    <r>
      <t>1</t>
    </r>
    <r>
      <rPr>
        <sz val="8"/>
        <rFont val="돋움"/>
        <family val="3"/>
      </rPr>
      <t>개소/30일</t>
    </r>
  </si>
  <si>
    <r>
      <t>3,500</t>
    </r>
    <r>
      <rPr>
        <sz val="8"/>
        <rFont val="돋움"/>
        <family val="3"/>
      </rPr>
      <t>㎥</t>
    </r>
    <r>
      <rPr>
        <sz val="8"/>
        <rFont val="Arial"/>
        <family val="2"/>
      </rPr>
      <t>/1</t>
    </r>
    <r>
      <rPr>
        <sz val="8"/>
        <rFont val="돋움"/>
        <family val="3"/>
      </rPr>
      <t>일</t>
    </r>
  </si>
  <si>
    <r>
      <t xml:space="preserve"> </t>
    </r>
    <r>
      <rPr>
        <sz val="8"/>
        <rFont val="돋움"/>
        <family val="3"/>
      </rPr>
      <t>※</t>
    </r>
    <r>
      <rPr>
        <sz val="8"/>
        <rFont val="Arial"/>
        <family val="2"/>
      </rPr>
      <t xml:space="preserve"> </t>
    </r>
    <r>
      <rPr>
        <sz val="8"/>
        <rFont val="돋움"/>
        <family val="3"/>
      </rPr>
      <t xml:space="preserve">터널 </t>
    </r>
    <r>
      <rPr>
        <sz val="8"/>
        <rFont val="Arial"/>
        <family val="2"/>
      </rPr>
      <t>TYPE</t>
    </r>
    <r>
      <rPr>
        <sz val="8"/>
        <rFont val="돋움"/>
        <family val="3"/>
      </rPr>
      <t>별 1일 굴진장</t>
    </r>
  </si>
  <si>
    <t>대한민국터널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</si>
</sst>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00"/>
    <numFmt numFmtId="179" formatCode="#,##0.0"/>
    <numFmt numFmtId="185" formatCode="_ * #,##0_ ;_ * \-#,##0_ ;_ * &quot;-&quot;_ ;_ @_ "/>
    <numFmt numFmtId="187" formatCode="_ * #,##0.00_ ;_ * \-#,##0.00_ ;_ * &quot;-&quot;??_ ;_ @_ "/>
    <numFmt numFmtId="189" formatCode="#,##0.0_ "/>
    <numFmt numFmtId="197" formatCode="0.000"/>
    <numFmt numFmtId="352" formatCode="_(&quot;$&quot;* #,##0_);_(&quot;$&quot;* \(#,##0\);_(&quot;$&quot;* &quot;-&quot;_);_(@_)"/>
    <numFmt numFmtId="353" formatCode="_(&quot;$&quot;* #,##0.00_);_(&quot;$&quot;* \(#,##0.00\);_(&quot;$&quot;* &quot;-&quot;??_);_(@_)"/>
  </numFmts>
  <fonts count="45">
    <font>
      <sz val="10"/>
      <name val="휴먼세엑스포"/>
      <family val="1"/>
    </font>
    <font>
      <sz val="8"/>
      <name val="바탕"/>
      <family val="1"/>
    </font>
    <font>
      <sz val="8"/>
      <name val="돋움"/>
      <family val="3"/>
    </font>
    <font>
      <sz val="10"/>
      <name val="휴먼나무"/>
      <family val="1"/>
    </font>
    <font>
      <b/>
      <sz val="10"/>
      <name val="휴먼나무"/>
      <family val="1"/>
    </font>
    <font>
      <sz val="11"/>
      <name val="휴먼나무"/>
      <family val="1"/>
    </font>
    <font>
      <sz val="11"/>
      <name val="돋움"/>
      <family val="3"/>
    </font>
    <font>
      <sz val="12"/>
      <name val="휴먼나무"/>
      <family val="1"/>
    </font>
    <font>
      <sz val="12"/>
      <name val="돋움"/>
      <family val="3"/>
    </font>
    <font>
      <sz val="12"/>
      <name val="바탕체"/>
      <family val="1"/>
    </font>
    <font>
      <sz val="10"/>
      <name val="바탕체"/>
      <family val="1"/>
    </font>
    <font>
      <sz val="10"/>
      <name val="굴림체"/>
      <family val="3"/>
    </font>
    <font>
      <sz val="12"/>
      <color indexed="8"/>
      <name val="굴림"/>
      <family val="3"/>
    </font>
    <font>
      <sz val="12"/>
      <name val="굴림체"/>
      <family val="3"/>
    </font>
    <font>
      <sz val="10"/>
      <name val="신그래픽"/>
      <family val="1"/>
    </font>
    <font>
      <sz val="10"/>
      <name val="MS Sans Serif"/>
      <family val="2"/>
    </font>
    <font>
      <sz val="12"/>
      <name val="한양중고딕"/>
      <family val="3"/>
    </font>
    <font>
      <sz val="14"/>
      <name val="바탕체"/>
      <family val="1"/>
    </font>
    <font>
      <sz val="10"/>
      <name val="명조(English)"/>
      <family val="3"/>
    </font>
    <font>
      <sz val="14"/>
      <name val="돋움체"/>
      <family val="3"/>
    </font>
    <font>
      <sz val="12"/>
      <name val="돋움체"/>
      <family val="3"/>
    </font>
    <font>
      <sz val="10"/>
      <name val="돋움체"/>
      <family val="3"/>
    </font>
    <font>
      <sz val="11"/>
      <name val="굴림체"/>
      <family val="3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name val="Times New Roman"/>
      <family val="1"/>
    </font>
    <font>
      <b/>
      <sz val="16"/>
      <name val="순명조"/>
      <family val="1"/>
    </font>
    <font>
      <b/>
      <sz val="16"/>
      <name val="바탕체"/>
      <family val="1"/>
    </font>
    <font>
      <sz val="8"/>
      <name val="바탕체"/>
      <family val="1"/>
    </font>
    <font>
      <b/>
      <sz val="1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1"/>
      <name val="바탕체"/>
      <family val="1"/>
    </font>
    <font>
      <sz val="11"/>
      <name val="Arial"/>
      <family val="2"/>
    </font>
    <font>
      <sz val="14"/>
      <name val="Arial"/>
      <family val="2"/>
    </font>
    <font>
      <b/>
      <sz val="10"/>
      <name val="바탕체"/>
      <family val="1"/>
    </font>
    <font>
      <b/>
      <sz val="10"/>
      <name val="Arial"/>
      <family val="2"/>
    </font>
    <font>
      <b/>
      <sz val="11"/>
      <name val="바탕체"/>
      <family val="1"/>
    </font>
    <font>
      <b/>
      <u val="single"/>
      <sz val="11"/>
      <name val="바탕체"/>
      <family val="1"/>
    </font>
    <font>
      <u val="single"/>
      <sz val="11"/>
      <name val="바탕체"/>
      <family val="1"/>
    </font>
    <font>
      <b/>
      <sz val="12"/>
      <name val="Arial"/>
      <family val="2"/>
    </font>
    <font>
      <b/>
      <sz val="12"/>
      <name val="바탕체"/>
      <family val="1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1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" fontId="20" fillId="0" borderId="2" applyFill="0" applyBorder="0" applyAlignment="0" applyProtection="0"/>
    <xf numFmtId="185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352" fontId="23" fillId="0" borderId="0" applyFont="0" applyFill="0" applyBorder="0" applyAlignment="0" applyProtection="0"/>
    <xf numFmtId="353" fontId="23" fillId="0" borderId="0" applyFont="0" applyFill="0" applyBorder="0" applyAlignment="0" applyProtection="0"/>
    <xf numFmtId="0" fontId="26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23" applyFont="1">
      <alignment/>
      <protection/>
    </xf>
    <xf numFmtId="0" fontId="3" fillId="0" borderId="0" xfId="23" applyFont="1">
      <alignment/>
      <protection/>
    </xf>
    <xf numFmtId="0" fontId="3" fillId="0" borderId="0" xfId="23" applyFont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vertical="center"/>
      <protection/>
    </xf>
    <xf numFmtId="3" fontId="3" fillId="0" borderId="6" xfId="23" applyNumberFormat="1" applyFont="1" applyBorder="1" applyAlignment="1">
      <alignment vertical="center"/>
      <protection/>
    </xf>
    <xf numFmtId="0" fontId="3" fillId="0" borderId="7" xfId="23" applyFont="1" applyBorder="1" applyAlignment="1">
      <alignment vertical="center"/>
      <protection/>
    </xf>
    <xf numFmtId="0" fontId="3" fillId="0" borderId="0" xfId="23" applyFont="1" applyAlignment="1">
      <alignment vertical="center"/>
      <protection/>
    </xf>
    <xf numFmtId="0" fontId="3" fillId="0" borderId="5" xfId="23" applyFont="1" applyBorder="1" applyAlignment="1">
      <alignment horizontal="center" vertical="center" wrapText="1"/>
      <protection/>
    </xf>
    <xf numFmtId="0" fontId="3" fillId="0" borderId="11" xfId="23" applyFont="1" applyBorder="1" applyAlignment="1">
      <alignment horizontal="center" vertical="center"/>
      <protection/>
    </xf>
    <xf numFmtId="0" fontId="3" fillId="0" borderId="4" xfId="23" applyFont="1" applyBorder="1" applyAlignment="1">
      <alignment vertical="center"/>
      <protection/>
    </xf>
    <xf numFmtId="3" fontId="3" fillId="0" borderId="4" xfId="23" applyNumberFormat="1" applyFont="1" applyBorder="1" applyAlignment="1">
      <alignment vertical="center"/>
      <protection/>
    </xf>
    <xf numFmtId="0" fontId="3" fillId="0" borderId="12" xfId="23" applyFont="1" applyBorder="1" applyAlignment="1">
      <alignment vertical="center"/>
      <protection/>
    </xf>
    <xf numFmtId="0" fontId="3" fillId="2" borderId="13" xfId="23" applyFont="1" applyFill="1" applyBorder="1" applyAlignment="1">
      <alignment horizontal="center" vertical="center"/>
      <protection/>
    </xf>
    <xf numFmtId="189" fontId="3" fillId="2" borderId="3" xfId="23" applyNumberFormat="1" applyFont="1" applyFill="1" applyBorder="1" applyAlignment="1">
      <alignment vertical="center"/>
      <protection/>
    </xf>
    <xf numFmtId="0" fontId="3" fillId="2" borderId="14" xfId="23" applyFont="1" applyFill="1" applyBorder="1" applyAlignment="1">
      <alignment vertical="center"/>
      <protection/>
    </xf>
    <xf numFmtId="0" fontId="3" fillId="2" borderId="5" xfId="23" applyFont="1" applyFill="1" applyBorder="1" applyAlignment="1">
      <alignment horizontal="center" vertical="center" wrapText="1"/>
      <protection/>
    </xf>
    <xf numFmtId="189" fontId="3" fillId="2" borderId="6" xfId="23" applyNumberFormat="1" applyFont="1" applyFill="1" applyBorder="1" applyAlignment="1">
      <alignment vertical="center"/>
      <protection/>
    </xf>
    <xf numFmtId="0" fontId="3" fillId="2" borderId="7" xfId="23" applyFont="1" applyFill="1" applyBorder="1" applyAlignment="1">
      <alignment vertical="center"/>
      <protection/>
    </xf>
    <xf numFmtId="0" fontId="3" fillId="2" borderId="15" xfId="23" applyFont="1" applyFill="1" applyBorder="1" applyAlignment="1">
      <alignment horizontal="center" vertical="center" wrapText="1"/>
      <protection/>
    </xf>
    <xf numFmtId="189" fontId="3" fillId="2" borderId="16" xfId="23" applyNumberFormat="1" applyFont="1" applyFill="1" applyBorder="1" applyAlignment="1">
      <alignment vertical="center"/>
      <protection/>
    </xf>
    <xf numFmtId="0" fontId="3" fillId="2" borderId="17" xfId="23" applyFont="1" applyFill="1" applyBorder="1" applyAlignment="1">
      <alignment vertical="center"/>
      <protection/>
    </xf>
    <xf numFmtId="0" fontId="3" fillId="2" borderId="5" xfId="23" applyFont="1" applyFill="1" applyBorder="1">
      <alignment/>
      <protection/>
    </xf>
    <xf numFmtId="0" fontId="3" fillId="2" borderId="6" xfId="23" applyFont="1" applyFill="1" applyBorder="1">
      <alignment/>
      <protection/>
    </xf>
    <xf numFmtId="0" fontId="3" fillId="2" borderId="7" xfId="23" applyFont="1" applyFill="1" applyBorder="1">
      <alignment/>
      <protection/>
    </xf>
    <xf numFmtId="0" fontId="3" fillId="2" borderId="11" xfId="23" applyFont="1" applyFill="1" applyBorder="1">
      <alignment/>
      <protection/>
    </xf>
    <xf numFmtId="0" fontId="3" fillId="2" borderId="4" xfId="23" applyFont="1" applyFill="1" applyBorder="1">
      <alignment/>
      <protection/>
    </xf>
    <xf numFmtId="0" fontId="3" fillId="2" borderId="12" xfId="23" applyFont="1" applyFill="1" applyBorder="1">
      <alignment/>
      <protection/>
    </xf>
    <xf numFmtId="0" fontId="7" fillId="0" borderId="0" xfId="23" applyFont="1" applyAlignment="1">
      <alignment horizontal="left" indent="1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horizontal="left" vertical="center" indent="2"/>
      <protection/>
    </xf>
    <xf numFmtId="0" fontId="10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 indent="1"/>
    </xf>
    <xf numFmtId="0" fontId="24" fillId="0" borderId="0" xfId="0" applyFont="1" applyAlignment="1">
      <alignment/>
    </xf>
    <xf numFmtId="41" fontId="33" fillId="0" borderId="0" xfId="0" applyNumberFormat="1" applyFont="1" applyAlignment="1">
      <alignment/>
    </xf>
    <xf numFmtId="0" fontId="32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3" fontId="24" fillId="0" borderId="9" xfId="18" applyNumberFormat="1" applyFont="1" applyBorder="1" applyAlignment="1">
      <alignment vertical="center"/>
    </xf>
    <xf numFmtId="177" fontId="24" fillId="0" borderId="10" xfId="0" applyNumberFormat="1" applyFont="1" applyBorder="1" applyAlignment="1">
      <alignment horizontal="right" vertical="center"/>
    </xf>
    <xf numFmtId="3" fontId="24" fillId="0" borderId="6" xfId="18" applyNumberFormat="1" applyFont="1" applyBorder="1" applyAlignment="1">
      <alignment vertical="center"/>
    </xf>
    <xf numFmtId="177" fontId="24" fillId="0" borderId="7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177" fontId="24" fillId="0" borderId="19" xfId="0" applyNumberFormat="1" applyFont="1" applyBorder="1" applyAlignment="1">
      <alignment vertical="center"/>
    </xf>
    <xf numFmtId="177" fontId="24" fillId="0" borderId="6" xfId="0" applyNumberFormat="1" applyFont="1" applyBorder="1" applyAlignment="1">
      <alignment vertical="center"/>
    </xf>
    <xf numFmtId="3" fontId="33" fillId="0" borderId="19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18" xfId="0" applyNumberFormat="1" applyFont="1" applyBorder="1" applyAlignment="1">
      <alignment vertical="center"/>
    </xf>
    <xf numFmtId="3" fontId="33" fillId="0" borderId="4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79" fontId="23" fillId="0" borderId="9" xfId="0" applyNumberFormat="1" applyFont="1" applyBorder="1" applyAlignment="1">
      <alignment horizontal="center" vertical="center"/>
    </xf>
    <xf numFmtId="179" fontId="23" fillId="0" borderId="6" xfId="0" applyNumberFormat="1" applyFont="1" applyBorder="1" applyAlignment="1">
      <alignment horizontal="center" vertical="center"/>
    </xf>
    <xf numFmtId="0" fontId="10" fillId="0" borderId="13" xfId="23" applyFont="1" applyBorder="1" applyAlignment="1">
      <alignment horizontal="center" vertical="center"/>
      <protection/>
    </xf>
    <xf numFmtId="0" fontId="10" fillId="0" borderId="6" xfId="23" applyFont="1" applyBorder="1" applyAlignment="1">
      <alignment horizontal="center" vertical="center"/>
      <protection/>
    </xf>
    <xf numFmtId="0" fontId="10" fillId="0" borderId="5" xfId="23" applyFont="1" applyBorder="1" applyAlignment="1">
      <alignment horizontal="center" vertical="center"/>
      <protection/>
    </xf>
    <xf numFmtId="0" fontId="10" fillId="0" borderId="7" xfId="23" applyFont="1" applyBorder="1" applyAlignment="1">
      <alignment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32" fillId="0" borderId="0" xfId="23" applyFont="1" applyAlignment="1">
      <alignment horizontal="left" indent="1"/>
      <protection/>
    </xf>
    <xf numFmtId="0" fontId="23" fillId="0" borderId="0" xfId="23" applyFont="1">
      <alignment/>
      <protection/>
    </xf>
    <xf numFmtId="0" fontId="35" fillId="0" borderId="0" xfId="23" applyFont="1">
      <alignment/>
      <protection/>
    </xf>
    <xf numFmtId="0" fontId="36" fillId="0" borderId="0" xfId="23" applyFont="1">
      <alignment/>
      <protection/>
    </xf>
    <xf numFmtId="0" fontId="23" fillId="0" borderId="3" xfId="23" applyFont="1" applyBorder="1" applyAlignment="1">
      <alignment horizontal="center" vertical="center"/>
      <protection/>
    </xf>
    <xf numFmtId="0" fontId="23" fillId="0" borderId="0" xfId="23" applyFont="1" applyAlignment="1">
      <alignment horizontal="center" vertical="center"/>
      <protection/>
    </xf>
    <xf numFmtId="0" fontId="23" fillId="0" borderId="5" xfId="23" applyFont="1" applyBorder="1" applyAlignment="1">
      <alignment horizontal="center" vertical="center"/>
      <protection/>
    </xf>
    <xf numFmtId="0" fontId="23" fillId="0" borderId="6" xfId="23" applyFont="1" applyBorder="1" applyAlignment="1">
      <alignment vertical="center"/>
      <protection/>
    </xf>
    <xf numFmtId="0" fontId="23" fillId="0" borderId="7" xfId="23" applyFont="1" applyBorder="1" applyAlignment="1">
      <alignment vertical="center"/>
      <protection/>
    </xf>
    <xf numFmtId="0" fontId="23" fillId="0" borderId="0" xfId="23" applyFont="1" applyAlignment="1">
      <alignment vertical="center"/>
      <protection/>
    </xf>
    <xf numFmtId="0" fontId="23" fillId="0" borderId="5" xfId="23" applyFont="1" applyBorder="1" applyAlignment="1">
      <alignment horizontal="center" vertical="center" wrapText="1"/>
      <protection/>
    </xf>
    <xf numFmtId="0" fontId="23" fillId="0" borderId="4" xfId="23" applyFont="1" applyBorder="1" applyAlignment="1">
      <alignment vertical="center"/>
      <protection/>
    </xf>
    <xf numFmtId="0" fontId="23" fillId="0" borderId="12" xfId="23" applyFont="1" applyBorder="1" applyAlignment="1">
      <alignment vertical="center"/>
      <protection/>
    </xf>
    <xf numFmtId="0" fontId="23" fillId="0" borderId="13" xfId="23" applyFont="1" applyBorder="1" applyAlignment="1">
      <alignment horizontal="center" vertical="center"/>
      <protection/>
    </xf>
    <xf numFmtId="189" fontId="23" fillId="0" borderId="3" xfId="23" applyNumberFormat="1" applyFont="1" applyBorder="1" applyAlignment="1">
      <alignment vertical="center"/>
      <protection/>
    </xf>
    <xf numFmtId="0" fontId="23" fillId="0" borderId="14" xfId="23" applyFont="1" applyBorder="1" applyAlignment="1">
      <alignment vertical="center"/>
      <protection/>
    </xf>
    <xf numFmtId="189" fontId="23" fillId="0" borderId="6" xfId="23" applyNumberFormat="1" applyFont="1" applyBorder="1" applyAlignment="1">
      <alignment vertical="center"/>
      <protection/>
    </xf>
    <xf numFmtId="0" fontId="23" fillId="0" borderId="11" xfId="23" applyFont="1" applyBorder="1" applyAlignment="1">
      <alignment horizontal="center" vertical="center" wrapText="1"/>
      <protection/>
    </xf>
    <xf numFmtId="189" fontId="23" fillId="0" borderId="4" xfId="23" applyNumberFormat="1" applyFont="1" applyBorder="1" applyAlignment="1">
      <alignment vertical="center"/>
      <protection/>
    </xf>
    <xf numFmtId="0" fontId="23" fillId="0" borderId="0" xfId="23" applyFont="1" applyAlignment="1">
      <alignment horizontal="center"/>
      <protection/>
    </xf>
    <xf numFmtId="3" fontId="23" fillId="0" borderId="0" xfId="23" applyNumberFormat="1" applyFont="1">
      <alignment/>
      <protection/>
    </xf>
    <xf numFmtId="0" fontId="10" fillId="0" borderId="0" xfId="23" applyFont="1" applyAlignment="1">
      <alignment horizontal="left" indent="1"/>
      <protection/>
    </xf>
    <xf numFmtId="0" fontId="10" fillId="0" borderId="3" xfId="23" applyFont="1" applyBorder="1" applyAlignment="1">
      <alignment horizontal="center" vertical="center"/>
      <protection/>
    </xf>
    <xf numFmtId="0" fontId="9" fillId="0" borderId="0" xfId="23" applyFont="1">
      <alignment/>
      <protection/>
    </xf>
    <xf numFmtId="0" fontId="10" fillId="0" borderId="3" xfId="23" applyFont="1" applyBorder="1" applyAlignment="1">
      <alignment horizontal="center" vertical="center" wrapText="1"/>
      <protection/>
    </xf>
    <xf numFmtId="0" fontId="23" fillId="0" borderId="3" xfId="23" applyFont="1" applyBorder="1" applyAlignment="1">
      <alignment vertical="center"/>
      <protection/>
    </xf>
    <xf numFmtId="0" fontId="23" fillId="0" borderId="14" xfId="23" applyFont="1" applyBorder="1" applyAlignment="1">
      <alignment horizontal="center" vertical="center" wrapText="1"/>
      <protection/>
    </xf>
    <xf numFmtId="0" fontId="23" fillId="0" borderId="5" xfId="23" applyFont="1" applyBorder="1" applyAlignment="1">
      <alignment vertical="center"/>
      <protection/>
    </xf>
    <xf numFmtId="0" fontId="23" fillId="0" borderId="11" xfId="23" applyFont="1" applyBorder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35" fillId="0" borderId="0" xfId="23" applyFont="1" applyAlignment="1">
      <alignment vertical="center"/>
      <protection/>
    </xf>
    <xf numFmtId="0" fontId="23" fillId="0" borderId="14" xfId="23" applyFont="1" applyBorder="1" applyAlignment="1">
      <alignment horizontal="center" vertical="center"/>
      <protection/>
    </xf>
    <xf numFmtId="189" fontId="23" fillId="0" borderId="7" xfId="23" applyNumberFormat="1" applyFont="1" applyBorder="1" applyAlignment="1">
      <alignment vertical="center"/>
      <protection/>
    </xf>
    <xf numFmtId="0" fontId="23" fillId="0" borderId="11" xfId="23" applyFont="1" applyBorder="1" applyAlignment="1">
      <alignment horizontal="center" vertical="center"/>
      <protection/>
    </xf>
    <xf numFmtId="189" fontId="23" fillId="0" borderId="12" xfId="23" applyNumberFormat="1" applyFont="1" applyBorder="1" applyAlignment="1">
      <alignment vertical="center"/>
      <protection/>
    </xf>
    <xf numFmtId="0" fontId="10" fillId="0" borderId="20" xfId="23" applyFont="1" applyBorder="1" applyAlignment="1">
      <alignment horizontal="center" vertical="center"/>
      <protection/>
    </xf>
    <xf numFmtId="0" fontId="23" fillId="0" borderId="21" xfId="23" applyFont="1" applyBorder="1" applyAlignment="1">
      <alignment vertical="center"/>
      <protection/>
    </xf>
    <xf numFmtId="0" fontId="23" fillId="0" borderId="22" xfId="23" applyFont="1" applyBorder="1" applyAlignment="1">
      <alignment vertical="center"/>
      <protection/>
    </xf>
    <xf numFmtId="0" fontId="10" fillId="0" borderId="15" xfId="23" applyFont="1" applyBorder="1" applyAlignment="1">
      <alignment horizontal="center" vertical="center"/>
      <protection/>
    </xf>
    <xf numFmtId="0" fontId="23" fillId="0" borderId="16" xfId="23" applyFont="1" applyBorder="1" applyAlignment="1">
      <alignment vertical="center"/>
      <protection/>
    </xf>
    <xf numFmtId="0" fontId="23" fillId="0" borderId="17" xfId="23" applyFont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3" xfId="0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0" fontId="34" fillId="0" borderId="0" xfId="24" applyFont="1">
      <alignment/>
      <protection/>
    </xf>
    <xf numFmtId="0" fontId="40" fillId="0" borderId="0" xfId="24" applyFont="1">
      <alignment/>
      <protection/>
    </xf>
    <xf numFmtId="0" fontId="34" fillId="0" borderId="23" xfId="24" applyFont="1" applyBorder="1">
      <alignment/>
      <protection/>
    </xf>
    <xf numFmtId="0" fontId="34" fillId="0" borderId="24" xfId="24" applyFont="1" applyBorder="1">
      <alignment/>
      <protection/>
    </xf>
    <xf numFmtId="0" fontId="34" fillId="0" borderId="25" xfId="24" applyFont="1" applyBorder="1">
      <alignment/>
      <protection/>
    </xf>
    <xf numFmtId="0" fontId="34" fillId="0" borderId="26" xfId="24" applyFont="1" applyBorder="1">
      <alignment/>
      <protection/>
    </xf>
    <xf numFmtId="0" fontId="34" fillId="0" borderId="27" xfId="24" applyFont="1" applyBorder="1">
      <alignment/>
      <protection/>
    </xf>
    <xf numFmtId="0" fontId="41" fillId="0" borderId="0" xfId="24" applyFont="1">
      <alignment/>
      <protection/>
    </xf>
    <xf numFmtId="0" fontId="42" fillId="0" borderId="0" xfId="0" applyFont="1" applyAlignment="1">
      <alignment vertical="center"/>
    </xf>
    <xf numFmtId="197" fontId="23" fillId="0" borderId="9" xfId="0" applyNumberFormat="1" applyFont="1" applyBorder="1" applyAlignment="1">
      <alignment vertical="center"/>
    </xf>
    <xf numFmtId="197" fontId="23" fillId="0" borderId="6" xfId="0" applyNumberFormat="1" applyFont="1" applyBorder="1" applyAlignment="1">
      <alignment vertical="center"/>
    </xf>
    <xf numFmtId="197" fontId="23" fillId="0" borderId="4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2" fontId="23" fillId="0" borderId="6" xfId="0" applyNumberFormat="1" applyFont="1" applyBorder="1" applyAlignment="1">
      <alignment vertical="center"/>
    </xf>
    <xf numFmtId="2" fontId="23" fillId="0" borderId="7" xfId="0" applyNumberFormat="1" applyFont="1" applyBorder="1" applyAlignment="1">
      <alignment vertical="center"/>
    </xf>
    <xf numFmtId="2" fontId="23" fillId="0" borderId="4" xfId="0" applyNumberFormat="1" applyFont="1" applyBorder="1" applyAlignment="1">
      <alignment vertical="center"/>
    </xf>
    <xf numFmtId="2" fontId="23" fillId="0" borderId="12" xfId="0" applyNumberFormat="1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6" xfId="0" applyNumberFormat="1" applyFont="1" applyBorder="1" applyAlignment="1">
      <alignment vertical="center"/>
    </xf>
    <xf numFmtId="3" fontId="23" fillId="0" borderId="7" xfId="0" applyNumberFormat="1" applyFont="1" applyBorder="1" applyAlignment="1">
      <alignment vertical="center"/>
    </xf>
    <xf numFmtId="3" fontId="23" fillId="0" borderId="6" xfId="0" applyNumberFormat="1" applyFont="1" applyBorder="1" applyAlignment="1">
      <alignment horizontal="center" vertical="center"/>
    </xf>
    <xf numFmtId="179" fontId="23" fillId="0" borderId="6" xfId="0" applyNumberFormat="1" applyFont="1" applyBorder="1" applyAlignment="1">
      <alignment vertical="center"/>
    </xf>
    <xf numFmtId="4" fontId="23" fillId="0" borderId="6" xfId="0" applyNumberFormat="1" applyFont="1" applyBorder="1" applyAlignment="1">
      <alignment vertical="center"/>
    </xf>
    <xf numFmtId="178" fontId="23" fillId="0" borderId="3" xfId="0" applyNumberFormat="1" applyFont="1" applyBorder="1" applyAlignment="1">
      <alignment vertical="center"/>
    </xf>
    <xf numFmtId="178" fontId="23" fillId="0" borderId="14" xfId="0" applyNumberFormat="1" applyFont="1" applyBorder="1" applyAlignment="1">
      <alignment vertical="center"/>
    </xf>
    <xf numFmtId="178" fontId="23" fillId="0" borderId="6" xfId="0" applyNumberFormat="1" applyFont="1" applyBorder="1" applyAlignment="1">
      <alignment vertical="center"/>
    </xf>
    <xf numFmtId="178" fontId="23" fillId="0" borderId="7" xfId="0" applyNumberFormat="1" applyFont="1" applyBorder="1" applyAlignment="1">
      <alignment vertical="center"/>
    </xf>
    <xf numFmtId="178" fontId="23" fillId="0" borderId="4" xfId="0" applyNumberFormat="1" applyFont="1" applyBorder="1" applyAlignment="1">
      <alignment vertical="center"/>
    </xf>
    <xf numFmtId="178" fontId="23" fillId="0" borderId="12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3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23" fillId="0" borderId="6" xfId="0" applyNumberFormat="1" applyFont="1" applyBorder="1" applyAlignment="1">
      <alignment horizontal="center" vertical="center"/>
    </xf>
    <xf numFmtId="178" fontId="23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vertical="center"/>
    </xf>
    <xf numFmtId="0" fontId="10" fillId="0" borderId="8" xfId="23" applyFont="1" applyBorder="1" applyAlignment="1">
      <alignment horizontal="center" vertical="center"/>
      <protection/>
    </xf>
    <xf numFmtId="0" fontId="23" fillId="0" borderId="9" xfId="23" applyFont="1" applyBorder="1" applyAlignment="1">
      <alignment vertical="center"/>
      <protection/>
    </xf>
    <xf numFmtId="0" fontId="23" fillId="0" borderId="10" xfId="23" applyFont="1" applyBorder="1" applyAlignment="1">
      <alignment vertical="center"/>
      <protection/>
    </xf>
    <xf numFmtId="0" fontId="10" fillId="0" borderId="4" xfId="23" applyFont="1" applyBorder="1" applyAlignment="1">
      <alignment horizontal="center" vertical="center"/>
      <protection/>
    </xf>
    <xf numFmtId="0" fontId="23" fillId="0" borderId="8" xfId="23" applyFont="1" applyBorder="1" applyAlignment="1">
      <alignment horizontal="center" vertical="center"/>
      <protection/>
    </xf>
    <xf numFmtId="0" fontId="23" fillId="0" borderId="21" xfId="23" applyFont="1" applyBorder="1" applyAlignment="1">
      <alignment horizontal="center" vertical="center"/>
      <protection/>
    </xf>
    <xf numFmtId="0" fontId="10" fillId="0" borderId="21" xfId="23" applyFont="1" applyBorder="1" applyAlignment="1">
      <alignment horizontal="center" vertical="center"/>
      <protection/>
    </xf>
    <xf numFmtId="0" fontId="23" fillId="0" borderId="22" xfId="23" applyFont="1" applyBorder="1" applyAlignment="1">
      <alignment horizontal="center" vertical="center"/>
      <protection/>
    </xf>
    <xf numFmtId="0" fontId="44" fillId="0" borderId="0" xfId="23" applyFont="1" applyAlignment="1">
      <alignment horizontal="right"/>
      <protection/>
    </xf>
    <xf numFmtId="0" fontId="23" fillId="0" borderId="21" xfId="23" applyFont="1" applyBorder="1" applyAlignment="1">
      <alignment horizontal="center" vertical="center" wrapText="1"/>
      <protection/>
    </xf>
    <xf numFmtId="0" fontId="10" fillId="0" borderId="21" xfId="23" applyFont="1" applyBorder="1" applyAlignment="1">
      <alignment horizontal="center" vertical="center" wrapText="1"/>
      <protection/>
    </xf>
    <xf numFmtId="177" fontId="23" fillId="0" borderId="9" xfId="23" applyNumberFormat="1" applyFont="1" applyBorder="1" applyAlignment="1">
      <alignment vertical="center"/>
      <protection/>
    </xf>
    <xf numFmtId="177" fontId="23" fillId="0" borderId="6" xfId="23" applyNumberFormat="1" applyFont="1" applyBorder="1" applyAlignment="1">
      <alignment vertical="center"/>
      <protection/>
    </xf>
    <xf numFmtId="177" fontId="23" fillId="0" borderId="4" xfId="23" applyNumberFormat="1" applyFont="1" applyBorder="1" applyAlignment="1">
      <alignment vertical="center"/>
      <protection/>
    </xf>
    <xf numFmtId="4" fontId="23" fillId="0" borderId="6" xfId="23" applyNumberFormat="1" applyFont="1" applyBorder="1" applyAlignment="1">
      <alignment vertical="center"/>
      <protection/>
    </xf>
    <xf numFmtId="4" fontId="23" fillId="0" borderId="4" xfId="23" applyNumberFormat="1" applyFont="1" applyBorder="1" applyAlignment="1">
      <alignment vertical="center"/>
      <protection/>
    </xf>
    <xf numFmtId="1" fontId="23" fillId="0" borderId="9" xfId="0" applyNumberFormat="1" applyFont="1" applyBorder="1" applyAlignment="1">
      <alignment horizontal="center" vertical="center"/>
    </xf>
    <xf numFmtId="3" fontId="33" fillId="0" borderId="9" xfId="18" applyNumberFormat="1" applyFont="1" applyBorder="1" applyAlignment="1">
      <alignment vertical="center"/>
    </xf>
    <xf numFmtId="3" fontId="33" fillId="0" borderId="6" xfId="18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3" fontId="24" fillId="0" borderId="16" xfId="18" applyNumberFormat="1" applyFont="1" applyBorder="1" applyAlignment="1">
      <alignment vertical="center"/>
    </xf>
    <xf numFmtId="3" fontId="33" fillId="0" borderId="16" xfId="18" applyNumberFormat="1" applyFont="1" applyBorder="1" applyAlignment="1">
      <alignment vertical="center"/>
    </xf>
    <xf numFmtId="177" fontId="24" fillId="0" borderId="17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vertical="center"/>
    </xf>
    <xf numFmtId="179" fontId="24" fillId="0" borderId="3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3" fillId="0" borderId="0" xfId="0" applyFont="1" applyBorder="1" applyAlignment="1">
      <alignment horizontal="center" vertical="center" textRotation="255"/>
    </xf>
    <xf numFmtId="178" fontId="23" fillId="0" borderId="0" xfId="0" applyNumberFormat="1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79" fontId="24" fillId="0" borderId="31" xfId="0" applyNumberFormat="1" applyFont="1" applyBorder="1" applyAlignment="1">
      <alignment vertical="center"/>
    </xf>
    <xf numFmtId="177" fontId="24" fillId="0" borderId="31" xfId="0" applyNumberFormat="1" applyFont="1" applyBorder="1" applyAlignment="1">
      <alignment vertical="center"/>
    </xf>
    <xf numFmtId="3" fontId="33" fillId="0" borderId="31" xfId="0" applyNumberFormat="1" applyFont="1" applyBorder="1" applyAlignment="1">
      <alignment vertical="center"/>
    </xf>
    <xf numFmtId="3" fontId="33" fillId="0" borderId="32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/>
    </xf>
    <xf numFmtId="0" fontId="24" fillId="0" borderId="9" xfId="0" applyFont="1" applyBorder="1" applyAlignment="1">
      <alignment/>
    </xf>
    <xf numFmtId="176" fontId="24" fillId="0" borderId="9" xfId="0" applyNumberFormat="1" applyFont="1" applyBorder="1" applyAlignment="1">
      <alignment/>
    </xf>
    <xf numFmtId="0" fontId="24" fillId="0" borderId="31" xfId="0" applyFont="1" applyBorder="1" applyAlignment="1">
      <alignment/>
    </xf>
    <xf numFmtId="176" fontId="24" fillId="0" borderId="19" xfId="0" applyNumberFormat="1" applyFont="1" applyBorder="1" applyAlignment="1">
      <alignment/>
    </xf>
    <xf numFmtId="0" fontId="24" fillId="0" borderId="6" xfId="0" applyFont="1" applyBorder="1" applyAlignment="1">
      <alignment/>
    </xf>
    <xf numFmtId="176" fontId="24" fillId="0" borderId="6" xfId="0" applyNumberFormat="1" applyFont="1" applyBorder="1" applyAlignment="1">
      <alignment/>
    </xf>
    <xf numFmtId="176" fontId="24" fillId="0" borderId="34" xfId="0" applyNumberFormat="1" applyFont="1" applyBorder="1" applyAlignment="1">
      <alignment/>
    </xf>
    <xf numFmtId="0" fontId="24" fillId="0" borderId="16" xfId="0" applyFont="1" applyBorder="1" applyAlignment="1">
      <alignment/>
    </xf>
    <xf numFmtId="176" fontId="24" fillId="0" borderId="1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4" fillId="0" borderId="35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9" xfId="0" applyFont="1" applyBorder="1" applyAlignment="1">
      <alignment vertical="top"/>
    </xf>
    <xf numFmtId="9" fontId="24" fillId="0" borderId="36" xfId="0" applyNumberFormat="1" applyFont="1" applyBorder="1" applyAlignment="1">
      <alignment vertical="top"/>
    </xf>
    <xf numFmtId="0" fontId="24" fillId="0" borderId="29" xfId="0" applyFont="1" applyBorder="1" applyAlignment="1">
      <alignment/>
    </xf>
    <xf numFmtId="9" fontId="24" fillId="0" borderId="29" xfId="0" applyNumberFormat="1" applyFont="1" applyBorder="1" applyAlignment="1">
      <alignment/>
    </xf>
    <xf numFmtId="9" fontId="24" fillId="0" borderId="37" xfId="0" applyNumberFormat="1" applyFont="1" applyBorder="1" applyAlignment="1">
      <alignment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textRotation="255"/>
    </xf>
    <xf numFmtId="0" fontId="29" fillId="0" borderId="4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textRotation="255"/>
    </xf>
    <xf numFmtId="0" fontId="29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41" fontId="24" fillId="0" borderId="3" xfId="18" applyFont="1" applyBorder="1" applyAlignment="1">
      <alignment horizontal="center" vertical="center"/>
    </xf>
    <xf numFmtId="41" fontId="24" fillId="0" borderId="14" xfId="18" applyFont="1" applyBorder="1" applyAlignment="1">
      <alignment horizontal="center" vertical="center"/>
    </xf>
    <xf numFmtId="41" fontId="24" fillId="0" borderId="6" xfId="18" applyFont="1" applyBorder="1" applyAlignment="1">
      <alignment horizontal="center" vertical="center"/>
    </xf>
    <xf numFmtId="41" fontId="24" fillId="0" borderId="7" xfId="18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41" fontId="24" fillId="0" borderId="4" xfId="18" applyFont="1" applyBorder="1" applyAlignment="1">
      <alignment horizontal="center" vertical="center"/>
    </xf>
    <xf numFmtId="41" fontId="24" fillId="0" borderId="12" xfId="18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1" fontId="29" fillId="0" borderId="3" xfId="18" applyFont="1" applyBorder="1" applyAlignment="1">
      <alignment horizontal="center" vertical="center"/>
    </xf>
    <xf numFmtId="41" fontId="29" fillId="0" borderId="6" xfId="18" applyFont="1" applyBorder="1" applyAlignment="1">
      <alignment horizontal="center" vertical="center"/>
    </xf>
    <xf numFmtId="41" fontId="29" fillId="0" borderId="4" xfId="18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3" fillId="0" borderId="14" xfId="23" applyFont="1" applyBorder="1" applyAlignment="1">
      <alignment horizontal="center" vertical="center"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13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3" xfId="23" applyFont="1" applyBorder="1" applyAlignment="1">
      <alignment horizontal="center" vertical="center"/>
      <protection/>
    </xf>
    <xf numFmtId="0" fontId="3" fillId="0" borderId="38" xfId="23" applyFont="1" applyBorder="1" applyAlignment="1">
      <alignment horizontal="center" vertical="center"/>
      <protection/>
    </xf>
    <xf numFmtId="0" fontId="3" fillId="0" borderId="28" xfId="23" applyFont="1" applyBorder="1" applyAlignment="1">
      <alignment horizontal="center" vertical="center"/>
      <protection/>
    </xf>
    <xf numFmtId="0" fontId="10" fillId="0" borderId="14" xfId="23" applyFont="1" applyBorder="1" applyAlignment="1">
      <alignment horizontal="center" vertical="center"/>
      <protection/>
    </xf>
    <xf numFmtId="0" fontId="23" fillId="0" borderId="7" xfId="23" applyFont="1" applyBorder="1" applyAlignment="1">
      <alignment horizontal="center" vertical="center"/>
      <protection/>
    </xf>
    <xf numFmtId="0" fontId="10" fillId="0" borderId="13" xfId="23" applyFont="1" applyBorder="1" applyAlignment="1">
      <alignment horizontal="center" vertical="center"/>
      <protection/>
    </xf>
    <xf numFmtId="0" fontId="23" fillId="0" borderId="5" xfId="23" applyFont="1" applyBorder="1" applyAlignment="1">
      <alignment horizontal="center" vertical="center"/>
      <protection/>
    </xf>
    <xf numFmtId="0" fontId="23" fillId="0" borderId="3" xfId="23" applyFont="1" applyBorder="1" applyAlignment="1">
      <alignment horizontal="center" vertical="center"/>
      <protection/>
    </xf>
    <xf numFmtId="0" fontId="23" fillId="0" borderId="38" xfId="23" applyFont="1" applyBorder="1" applyAlignment="1">
      <alignment horizontal="center" vertical="center"/>
      <protection/>
    </xf>
    <xf numFmtId="0" fontId="23" fillId="0" borderId="28" xfId="23" applyFont="1" applyBorder="1" applyAlignment="1">
      <alignment horizontal="center" vertical="center"/>
      <protection/>
    </xf>
    <xf numFmtId="0" fontId="10" fillId="0" borderId="43" xfId="23" applyFont="1" applyBorder="1" applyAlignment="1">
      <alignment horizontal="center" vertical="center"/>
      <protection/>
    </xf>
    <xf numFmtId="0" fontId="23" fillId="0" borderId="10" xfId="23" applyFont="1" applyBorder="1" applyAlignment="1">
      <alignment horizontal="center" vertical="center"/>
      <protection/>
    </xf>
    <xf numFmtId="0" fontId="23" fillId="0" borderId="40" xfId="23" applyFont="1" applyBorder="1" applyAlignment="1">
      <alignment horizontal="center" vertical="center"/>
      <protection/>
    </xf>
    <xf numFmtId="0" fontId="23" fillId="0" borderId="11" xfId="23" applyFont="1" applyBorder="1" applyAlignment="1">
      <alignment horizontal="center" vertical="center"/>
      <protection/>
    </xf>
    <xf numFmtId="0" fontId="10" fillId="0" borderId="54" xfId="23" applyFont="1" applyBorder="1" applyAlignment="1">
      <alignment horizontal="center" vertical="center" wrapText="1"/>
      <protection/>
    </xf>
    <xf numFmtId="0" fontId="23" fillId="0" borderId="55" xfId="23" applyFont="1" applyBorder="1" applyAlignment="1">
      <alignment horizontal="center" vertical="center"/>
      <protection/>
    </xf>
    <xf numFmtId="0" fontId="23" fillId="0" borderId="36" xfId="23" applyFont="1" applyBorder="1" applyAlignment="1">
      <alignment horizontal="center" vertical="center"/>
      <protection/>
    </xf>
    <xf numFmtId="0" fontId="23" fillId="0" borderId="33" xfId="23" applyFont="1" applyBorder="1" applyAlignment="1">
      <alignment horizontal="center" vertical="center"/>
      <protection/>
    </xf>
    <xf numFmtId="0" fontId="23" fillId="0" borderId="29" xfId="23" applyFont="1" applyBorder="1" applyAlignment="1">
      <alignment horizontal="center" vertical="center"/>
      <protection/>
    </xf>
    <xf numFmtId="0" fontId="23" fillId="0" borderId="19" xfId="23" applyFont="1" applyBorder="1" applyAlignment="1">
      <alignment horizontal="center" vertical="center"/>
      <protection/>
    </xf>
    <xf numFmtId="0" fontId="23" fillId="0" borderId="39" xfId="23" applyFont="1" applyBorder="1" applyAlignment="1">
      <alignment horizontal="center" vertical="center"/>
      <protection/>
    </xf>
    <xf numFmtId="0" fontId="23" fillId="0" borderId="18" xfId="23" applyFont="1" applyBorder="1" applyAlignment="1">
      <alignment horizontal="center" vertical="center"/>
      <protection/>
    </xf>
    <xf numFmtId="0" fontId="23" fillId="0" borderId="55" xfId="23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78" fontId="23" fillId="0" borderId="38" xfId="0" applyNumberFormat="1" applyFont="1" applyBorder="1" applyAlignment="1">
      <alignment horizontal="center" vertical="center"/>
    </xf>
    <xf numFmtId="178" fontId="23" fillId="0" borderId="2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8" fontId="23" fillId="0" borderId="3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178" fontId="10" fillId="0" borderId="43" xfId="0" applyNumberFormat="1" applyFont="1" applyBorder="1" applyAlignment="1">
      <alignment horizontal="center" vertical="center"/>
    </xf>
    <xf numFmtId="178" fontId="23" fillId="0" borderId="40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9" fillId="0" borderId="0" xfId="24" applyFont="1" applyAlignment="1">
      <alignment/>
      <protection/>
    </xf>
  </cellXfs>
  <cellStyles count="17">
    <cellStyle name="Normal" xfId="0"/>
    <cellStyle name="견적부" xfId="15"/>
    <cellStyle name="Percent" xfId="16"/>
    <cellStyle name="Comma" xfId="17"/>
    <cellStyle name="Comma [0]" xfId="18"/>
    <cellStyle name="콤마 [0]_간접비변" xfId="19"/>
    <cellStyle name="콤마_간접비변" xfId="20"/>
    <cellStyle name="Currency" xfId="21"/>
    <cellStyle name="Currency [0]" xfId="22"/>
    <cellStyle name="표준_간재터널" xfId="23"/>
    <cellStyle name="표준_골재야적장" xfId="24"/>
    <cellStyle name="표준1" xfId="25"/>
    <cellStyle name="Comma [0]_laroux" xfId="26"/>
    <cellStyle name="Comma_laroux" xfId="27"/>
    <cellStyle name="Currency [0]_laroux" xfId="28"/>
    <cellStyle name="Currency_laroux" xfId="29"/>
    <cellStyle name="Normal_Certs Q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8</xdr:row>
      <xdr:rowOff>28575</xdr:rowOff>
    </xdr:from>
    <xdr:to>
      <xdr:col>17</xdr:col>
      <xdr:colOff>0</xdr:colOff>
      <xdr:row>8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3467100" y="1743075"/>
          <a:ext cx="21526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20</xdr:col>
      <xdr:colOff>9525</xdr:colOff>
      <xdr:row>14</xdr:row>
      <xdr:rowOff>28575</xdr:rowOff>
    </xdr:from>
    <xdr:to>
      <xdr:col>22</xdr:col>
      <xdr:colOff>0</xdr:colOff>
      <xdr:row>14</xdr:row>
      <xdr:rowOff>104775</xdr:rowOff>
    </xdr:to>
    <xdr:sp>
      <xdr:nvSpPr>
        <xdr:cNvPr id="2" name="Rectangle 8"/>
        <xdr:cNvSpPr>
          <a:spLocks/>
        </xdr:cNvSpPr>
      </xdr:nvSpPr>
      <xdr:spPr>
        <a:xfrm>
          <a:off x="6562725" y="3228975"/>
          <a:ext cx="6286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18</xdr:col>
      <xdr:colOff>19050</xdr:colOff>
      <xdr:row>15</xdr:row>
      <xdr:rowOff>28575</xdr:rowOff>
    </xdr:from>
    <xdr:to>
      <xdr:col>28</xdr:col>
      <xdr:colOff>0</xdr:colOff>
      <xdr:row>15</xdr:row>
      <xdr:rowOff>104775</xdr:rowOff>
    </xdr:to>
    <xdr:sp>
      <xdr:nvSpPr>
        <xdr:cNvPr id="3" name="Rectangle 9"/>
        <xdr:cNvSpPr>
          <a:spLocks/>
        </xdr:cNvSpPr>
      </xdr:nvSpPr>
      <xdr:spPr>
        <a:xfrm>
          <a:off x="5953125" y="3476625"/>
          <a:ext cx="3124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28575</xdr:rowOff>
    </xdr:from>
    <xdr:to>
      <xdr:col>27</xdr:col>
      <xdr:colOff>161925</xdr:colOff>
      <xdr:row>16</xdr:row>
      <xdr:rowOff>104775</xdr:rowOff>
    </xdr:to>
    <xdr:sp>
      <xdr:nvSpPr>
        <xdr:cNvPr id="4" name="Rectangle 10"/>
        <xdr:cNvSpPr>
          <a:spLocks/>
        </xdr:cNvSpPr>
      </xdr:nvSpPr>
      <xdr:spPr>
        <a:xfrm>
          <a:off x="7200900" y="3724275"/>
          <a:ext cx="1704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25</xdr:col>
      <xdr:colOff>9525</xdr:colOff>
      <xdr:row>17</xdr:row>
      <xdr:rowOff>28575</xdr:rowOff>
    </xdr:from>
    <xdr:to>
      <xdr:col>30</xdr:col>
      <xdr:colOff>9525</xdr:colOff>
      <xdr:row>17</xdr:row>
      <xdr:rowOff>104775</xdr:rowOff>
    </xdr:to>
    <xdr:sp>
      <xdr:nvSpPr>
        <xdr:cNvPr id="5" name="Rectangle 11"/>
        <xdr:cNvSpPr>
          <a:spLocks/>
        </xdr:cNvSpPr>
      </xdr:nvSpPr>
      <xdr:spPr>
        <a:xfrm>
          <a:off x="8143875" y="3971925"/>
          <a:ext cx="15525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38100</xdr:rowOff>
    </xdr:from>
    <xdr:to>
      <xdr:col>29</xdr:col>
      <xdr:colOff>295275</xdr:colOff>
      <xdr:row>20</xdr:row>
      <xdr:rowOff>123825</xdr:rowOff>
    </xdr:to>
    <xdr:sp>
      <xdr:nvSpPr>
        <xdr:cNvPr id="6" name="Rectangle 12"/>
        <xdr:cNvSpPr>
          <a:spLocks/>
        </xdr:cNvSpPr>
      </xdr:nvSpPr>
      <xdr:spPr>
        <a:xfrm>
          <a:off x="3171825" y="4724400"/>
          <a:ext cx="65055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38100</xdr:rowOff>
    </xdr:from>
    <xdr:to>
      <xdr:col>30</xdr:col>
      <xdr:colOff>0</xdr:colOff>
      <xdr:row>21</xdr:row>
      <xdr:rowOff>114300</xdr:rowOff>
    </xdr:to>
    <xdr:sp>
      <xdr:nvSpPr>
        <xdr:cNvPr id="7" name="Rectangle 13"/>
        <xdr:cNvSpPr>
          <a:spLocks/>
        </xdr:cNvSpPr>
      </xdr:nvSpPr>
      <xdr:spPr>
        <a:xfrm>
          <a:off x="3171825" y="4972050"/>
          <a:ext cx="6515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28575</xdr:rowOff>
    </xdr:from>
    <xdr:to>
      <xdr:col>30</xdr:col>
      <xdr:colOff>0</xdr:colOff>
      <xdr:row>18</xdr:row>
      <xdr:rowOff>114300</xdr:rowOff>
    </xdr:to>
    <xdr:sp>
      <xdr:nvSpPr>
        <xdr:cNvPr id="8" name="Rectangle 14"/>
        <xdr:cNvSpPr>
          <a:spLocks/>
        </xdr:cNvSpPr>
      </xdr:nvSpPr>
      <xdr:spPr>
        <a:xfrm>
          <a:off x="8743950" y="4219575"/>
          <a:ext cx="9429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28575</xdr:rowOff>
    </xdr:from>
    <xdr:to>
      <xdr:col>12</xdr:col>
      <xdr:colOff>95250</xdr:colOff>
      <xdr:row>18</xdr:row>
      <xdr:rowOff>95250</xdr:rowOff>
    </xdr:to>
    <xdr:sp>
      <xdr:nvSpPr>
        <xdr:cNvPr id="9" name="Rectangle 15"/>
        <xdr:cNvSpPr>
          <a:spLocks/>
        </xdr:cNvSpPr>
      </xdr:nvSpPr>
      <xdr:spPr>
        <a:xfrm>
          <a:off x="4057650" y="4219575"/>
          <a:ext cx="8572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16</xdr:col>
      <xdr:colOff>95250</xdr:colOff>
      <xdr:row>18</xdr:row>
      <xdr:rowOff>28575</xdr:rowOff>
    </xdr:from>
    <xdr:to>
      <xdr:col>16</xdr:col>
      <xdr:colOff>180975</xdr:colOff>
      <xdr:row>18</xdr:row>
      <xdr:rowOff>95250</xdr:rowOff>
    </xdr:to>
    <xdr:sp>
      <xdr:nvSpPr>
        <xdr:cNvPr id="10" name="Rectangle 16"/>
        <xdr:cNvSpPr>
          <a:spLocks/>
        </xdr:cNvSpPr>
      </xdr:nvSpPr>
      <xdr:spPr>
        <a:xfrm>
          <a:off x="5400675" y="4219575"/>
          <a:ext cx="8572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10</xdr:col>
      <xdr:colOff>247650</xdr:colOff>
      <xdr:row>7</xdr:row>
      <xdr:rowOff>104775</xdr:rowOff>
    </xdr:to>
    <xdr:sp>
      <xdr:nvSpPr>
        <xdr:cNvPr id="11" name="Rectangle 21"/>
        <xdr:cNvSpPr>
          <a:spLocks/>
        </xdr:cNvSpPr>
      </xdr:nvSpPr>
      <xdr:spPr>
        <a:xfrm>
          <a:off x="2867025" y="1485900"/>
          <a:ext cx="8382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28575</xdr:rowOff>
    </xdr:from>
    <xdr:to>
      <xdr:col>17</xdr:col>
      <xdr:colOff>0</xdr:colOff>
      <xdr:row>9</xdr:row>
      <xdr:rowOff>104775</xdr:rowOff>
    </xdr:to>
    <xdr:sp>
      <xdr:nvSpPr>
        <xdr:cNvPr id="12" name="Rectangle 22"/>
        <xdr:cNvSpPr>
          <a:spLocks/>
        </xdr:cNvSpPr>
      </xdr:nvSpPr>
      <xdr:spPr>
        <a:xfrm>
          <a:off x="3467100" y="1990725"/>
          <a:ext cx="21526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28575</xdr:rowOff>
    </xdr:from>
    <xdr:to>
      <xdr:col>17</xdr:col>
      <xdr:colOff>0</xdr:colOff>
      <xdr:row>10</xdr:row>
      <xdr:rowOff>104775</xdr:rowOff>
    </xdr:to>
    <xdr:sp>
      <xdr:nvSpPr>
        <xdr:cNvPr id="13" name="Rectangle 23"/>
        <xdr:cNvSpPr>
          <a:spLocks/>
        </xdr:cNvSpPr>
      </xdr:nvSpPr>
      <xdr:spPr>
        <a:xfrm>
          <a:off x="3467100" y="2238375"/>
          <a:ext cx="21526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28575</xdr:rowOff>
    </xdr:from>
    <xdr:to>
      <xdr:col>16</xdr:col>
      <xdr:colOff>304800</xdr:colOff>
      <xdr:row>11</xdr:row>
      <xdr:rowOff>104775</xdr:rowOff>
    </xdr:to>
    <xdr:sp>
      <xdr:nvSpPr>
        <xdr:cNvPr id="14" name="Rectangle 24"/>
        <xdr:cNvSpPr>
          <a:spLocks/>
        </xdr:cNvSpPr>
      </xdr:nvSpPr>
      <xdr:spPr>
        <a:xfrm>
          <a:off x="3457575" y="2486025"/>
          <a:ext cx="21526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38100</xdr:rowOff>
    </xdr:from>
    <xdr:to>
      <xdr:col>17</xdr:col>
      <xdr:colOff>304800</xdr:colOff>
      <xdr:row>13</xdr:row>
      <xdr:rowOff>114300</xdr:rowOff>
    </xdr:to>
    <xdr:sp>
      <xdr:nvSpPr>
        <xdr:cNvPr id="15" name="Rectangle 26"/>
        <xdr:cNvSpPr>
          <a:spLocks/>
        </xdr:cNvSpPr>
      </xdr:nvSpPr>
      <xdr:spPr>
        <a:xfrm>
          <a:off x="5629275" y="2990850"/>
          <a:ext cx="295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28575</xdr:rowOff>
    </xdr:from>
    <xdr:to>
      <xdr:col>15</xdr:col>
      <xdr:colOff>304800</xdr:colOff>
      <xdr:row>19</xdr:row>
      <xdr:rowOff>114300</xdr:rowOff>
    </xdr:to>
    <xdr:sp>
      <xdr:nvSpPr>
        <xdr:cNvPr id="16" name="Rectangle 27"/>
        <xdr:cNvSpPr>
          <a:spLocks/>
        </xdr:cNvSpPr>
      </xdr:nvSpPr>
      <xdr:spPr>
        <a:xfrm>
          <a:off x="3171825" y="4467225"/>
          <a:ext cx="2124075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19050</xdr:rowOff>
    </xdr:from>
    <xdr:to>
      <xdr:col>14</xdr:col>
      <xdr:colOff>0</xdr:colOff>
      <xdr:row>7</xdr:row>
      <xdr:rowOff>104775</xdr:rowOff>
    </xdr:to>
    <xdr:sp>
      <xdr:nvSpPr>
        <xdr:cNvPr id="17" name="Rectangle 28"/>
        <xdr:cNvSpPr>
          <a:spLocks/>
        </xdr:cNvSpPr>
      </xdr:nvSpPr>
      <xdr:spPr>
        <a:xfrm>
          <a:off x="3762375" y="1485900"/>
          <a:ext cx="9144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7</xdr:row>
      <xdr:rowOff>0</xdr:rowOff>
    </xdr:from>
    <xdr:to>
      <xdr:col>31</xdr:col>
      <xdr:colOff>161925</xdr:colOff>
      <xdr:row>8</xdr:row>
      <xdr:rowOff>114300</xdr:rowOff>
    </xdr:to>
    <xdr:sp>
      <xdr:nvSpPr>
        <xdr:cNvPr id="18" name="Rectangle 29"/>
        <xdr:cNvSpPr>
          <a:spLocks/>
        </xdr:cNvSpPr>
      </xdr:nvSpPr>
      <xdr:spPr>
        <a:xfrm>
          <a:off x="9829800" y="1466850"/>
          <a:ext cx="857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10</xdr:row>
      <xdr:rowOff>0</xdr:rowOff>
    </xdr:from>
    <xdr:to>
      <xdr:col>31</xdr:col>
      <xdr:colOff>161925</xdr:colOff>
      <xdr:row>11</xdr:row>
      <xdr:rowOff>114300</xdr:rowOff>
    </xdr:to>
    <xdr:sp>
      <xdr:nvSpPr>
        <xdr:cNvPr id="19" name="Rectangle 31"/>
        <xdr:cNvSpPr>
          <a:spLocks/>
        </xdr:cNvSpPr>
      </xdr:nvSpPr>
      <xdr:spPr>
        <a:xfrm>
          <a:off x="9829800" y="2209800"/>
          <a:ext cx="857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13</xdr:row>
      <xdr:rowOff>0</xdr:rowOff>
    </xdr:from>
    <xdr:to>
      <xdr:col>31</xdr:col>
      <xdr:colOff>161925</xdr:colOff>
      <xdr:row>14</xdr:row>
      <xdr:rowOff>114300</xdr:rowOff>
    </xdr:to>
    <xdr:sp>
      <xdr:nvSpPr>
        <xdr:cNvPr id="20" name="Rectangle 32"/>
        <xdr:cNvSpPr>
          <a:spLocks/>
        </xdr:cNvSpPr>
      </xdr:nvSpPr>
      <xdr:spPr>
        <a:xfrm>
          <a:off x="9829800" y="2952750"/>
          <a:ext cx="857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16</xdr:row>
      <xdr:rowOff>0</xdr:rowOff>
    </xdr:from>
    <xdr:to>
      <xdr:col>31</xdr:col>
      <xdr:colOff>161925</xdr:colOff>
      <xdr:row>17</xdr:row>
      <xdr:rowOff>114300</xdr:rowOff>
    </xdr:to>
    <xdr:sp>
      <xdr:nvSpPr>
        <xdr:cNvPr id="21" name="Rectangle 33"/>
        <xdr:cNvSpPr>
          <a:spLocks/>
        </xdr:cNvSpPr>
      </xdr:nvSpPr>
      <xdr:spPr>
        <a:xfrm>
          <a:off x="9829800" y="3695700"/>
          <a:ext cx="857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19</xdr:row>
      <xdr:rowOff>0</xdr:rowOff>
    </xdr:from>
    <xdr:to>
      <xdr:col>31</xdr:col>
      <xdr:colOff>161925</xdr:colOff>
      <xdr:row>20</xdr:row>
      <xdr:rowOff>114300</xdr:rowOff>
    </xdr:to>
    <xdr:sp>
      <xdr:nvSpPr>
        <xdr:cNvPr id="22" name="Rectangle 34"/>
        <xdr:cNvSpPr>
          <a:spLocks/>
        </xdr:cNvSpPr>
      </xdr:nvSpPr>
      <xdr:spPr>
        <a:xfrm>
          <a:off x="9829800" y="4438650"/>
          <a:ext cx="8572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7</xdr:row>
      <xdr:rowOff>0</xdr:rowOff>
    </xdr:from>
    <xdr:to>
      <xdr:col>31</xdr:col>
      <xdr:colOff>247650</xdr:colOff>
      <xdr:row>8</xdr:row>
      <xdr:rowOff>114300</xdr:rowOff>
    </xdr:to>
    <xdr:sp>
      <xdr:nvSpPr>
        <xdr:cNvPr id="23" name="Rectangle 35"/>
        <xdr:cNvSpPr>
          <a:spLocks/>
        </xdr:cNvSpPr>
      </xdr:nvSpPr>
      <xdr:spPr>
        <a:xfrm>
          <a:off x="9915525" y="1466850"/>
          <a:ext cx="85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10</xdr:row>
      <xdr:rowOff>0</xdr:rowOff>
    </xdr:from>
    <xdr:to>
      <xdr:col>31</xdr:col>
      <xdr:colOff>247650</xdr:colOff>
      <xdr:row>11</xdr:row>
      <xdr:rowOff>114300</xdr:rowOff>
    </xdr:to>
    <xdr:sp>
      <xdr:nvSpPr>
        <xdr:cNvPr id="24" name="Rectangle 36"/>
        <xdr:cNvSpPr>
          <a:spLocks/>
        </xdr:cNvSpPr>
      </xdr:nvSpPr>
      <xdr:spPr>
        <a:xfrm>
          <a:off x="9915525" y="2209800"/>
          <a:ext cx="85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13</xdr:row>
      <xdr:rowOff>0</xdr:rowOff>
    </xdr:from>
    <xdr:to>
      <xdr:col>31</xdr:col>
      <xdr:colOff>247650</xdr:colOff>
      <xdr:row>14</xdr:row>
      <xdr:rowOff>114300</xdr:rowOff>
    </xdr:to>
    <xdr:sp>
      <xdr:nvSpPr>
        <xdr:cNvPr id="25" name="Rectangle 37"/>
        <xdr:cNvSpPr>
          <a:spLocks/>
        </xdr:cNvSpPr>
      </xdr:nvSpPr>
      <xdr:spPr>
        <a:xfrm>
          <a:off x="9915525" y="2952750"/>
          <a:ext cx="85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16</xdr:row>
      <xdr:rowOff>0</xdr:rowOff>
    </xdr:from>
    <xdr:to>
      <xdr:col>31</xdr:col>
      <xdr:colOff>247650</xdr:colOff>
      <xdr:row>17</xdr:row>
      <xdr:rowOff>114300</xdr:rowOff>
    </xdr:to>
    <xdr:sp>
      <xdr:nvSpPr>
        <xdr:cNvPr id="26" name="Rectangle 38"/>
        <xdr:cNvSpPr>
          <a:spLocks/>
        </xdr:cNvSpPr>
      </xdr:nvSpPr>
      <xdr:spPr>
        <a:xfrm>
          <a:off x="9915525" y="3695700"/>
          <a:ext cx="85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19</xdr:row>
      <xdr:rowOff>0</xdr:rowOff>
    </xdr:from>
    <xdr:to>
      <xdr:col>31</xdr:col>
      <xdr:colOff>247650</xdr:colOff>
      <xdr:row>20</xdr:row>
      <xdr:rowOff>114300</xdr:rowOff>
    </xdr:to>
    <xdr:sp>
      <xdr:nvSpPr>
        <xdr:cNvPr id="27" name="Rectangle 39"/>
        <xdr:cNvSpPr>
          <a:spLocks/>
        </xdr:cNvSpPr>
      </xdr:nvSpPr>
      <xdr:spPr>
        <a:xfrm>
          <a:off x="9915525" y="4438650"/>
          <a:ext cx="85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8</xdr:row>
      <xdr:rowOff>114300</xdr:rowOff>
    </xdr:from>
    <xdr:to>
      <xdr:col>31</xdr:col>
      <xdr:colOff>247650</xdr:colOff>
      <xdr:row>10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9915525" y="1828800"/>
          <a:ext cx="857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11</xdr:row>
      <xdr:rowOff>114300</xdr:rowOff>
    </xdr:from>
    <xdr:to>
      <xdr:col>31</xdr:col>
      <xdr:colOff>247650</xdr:colOff>
      <xdr:row>13</xdr:row>
      <xdr:rowOff>0</xdr:rowOff>
    </xdr:to>
    <xdr:sp>
      <xdr:nvSpPr>
        <xdr:cNvPr id="29" name="Rectangle 41"/>
        <xdr:cNvSpPr>
          <a:spLocks/>
        </xdr:cNvSpPr>
      </xdr:nvSpPr>
      <xdr:spPr>
        <a:xfrm>
          <a:off x="9915525" y="2571750"/>
          <a:ext cx="857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14</xdr:row>
      <xdr:rowOff>114300</xdr:rowOff>
    </xdr:from>
    <xdr:to>
      <xdr:col>31</xdr:col>
      <xdr:colOff>247650</xdr:colOff>
      <xdr:row>16</xdr:row>
      <xdr:rowOff>0</xdr:rowOff>
    </xdr:to>
    <xdr:sp>
      <xdr:nvSpPr>
        <xdr:cNvPr id="30" name="Rectangle 42"/>
        <xdr:cNvSpPr>
          <a:spLocks/>
        </xdr:cNvSpPr>
      </xdr:nvSpPr>
      <xdr:spPr>
        <a:xfrm>
          <a:off x="9915525" y="3314700"/>
          <a:ext cx="857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17</xdr:row>
      <xdr:rowOff>114300</xdr:rowOff>
    </xdr:from>
    <xdr:to>
      <xdr:col>31</xdr:col>
      <xdr:colOff>247650</xdr:colOff>
      <xdr:row>19</xdr:row>
      <xdr:rowOff>0</xdr:rowOff>
    </xdr:to>
    <xdr:sp>
      <xdr:nvSpPr>
        <xdr:cNvPr id="31" name="Rectangle 43"/>
        <xdr:cNvSpPr>
          <a:spLocks/>
        </xdr:cNvSpPr>
      </xdr:nvSpPr>
      <xdr:spPr>
        <a:xfrm>
          <a:off x="9915525" y="4057650"/>
          <a:ext cx="857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161925</xdr:colOff>
      <xdr:row>20</xdr:row>
      <xdr:rowOff>114300</xdr:rowOff>
    </xdr:from>
    <xdr:to>
      <xdr:col>31</xdr:col>
      <xdr:colOff>247650</xdr:colOff>
      <xdr:row>22</xdr:row>
      <xdr:rowOff>0</xdr:rowOff>
    </xdr:to>
    <xdr:sp>
      <xdr:nvSpPr>
        <xdr:cNvPr id="32" name="Rectangle 44"/>
        <xdr:cNvSpPr>
          <a:spLocks/>
        </xdr:cNvSpPr>
      </xdr:nvSpPr>
      <xdr:spPr>
        <a:xfrm>
          <a:off x="9915525" y="4800600"/>
          <a:ext cx="85725" cy="381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8</xdr:row>
      <xdr:rowOff>114300</xdr:rowOff>
    </xdr:from>
    <xdr:to>
      <xdr:col>31</xdr:col>
      <xdr:colOff>161925</xdr:colOff>
      <xdr:row>10</xdr:row>
      <xdr:rowOff>0</xdr:rowOff>
    </xdr:to>
    <xdr:sp>
      <xdr:nvSpPr>
        <xdr:cNvPr id="33" name="Rectangle 45"/>
        <xdr:cNvSpPr>
          <a:spLocks/>
        </xdr:cNvSpPr>
      </xdr:nvSpPr>
      <xdr:spPr>
        <a:xfrm>
          <a:off x="9829800" y="1828800"/>
          <a:ext cx="85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11</xdr:row>
      <xdr:rowOff>114300</xdr:rowOff>
    </xdr:from>
    <xdr:to>
      <xdr:col>31</xdr:col>
      <xdr:colOff>161925</xdr:colOff>
      <xdr:row>13</xdr:row>
      <xdr:rowOff>0</xdr:rowOff>
    </xdr:to>
    <xdr:sp>
      <xdr:nvSpPr>
        <xdr:cNvPr id="34" name="Rectangle 46"/>
        <xdr:cNvSpPr>
          <a:spLocks/>
        </xdr:cNvSpPr>
      </xdr:nvSpPr>
      <xdr:spPr>
        <a:xfrm>
          <a:off x="9829800" y="2571750"/>
          <a:ext cx="85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14</xdr:row>
      <xdr:rowOff>114300</xdr:rowOff>
    </xdr:from>
    <xdr:to>
      <xdr:col>31</xdr:col>
      <xdr:colOff>161925</xdr:colOff>
      <xdr:row>16</xdr:row>
      <xdr:rowOff>0</xdr:rowOff>
    </xdr:to>
    <xdr:sp>
      <xdr:nvSpPr>
        <xdr:cNvPr id="35" name="Rectangle 48"/>
        <xdr:cNvSpPr>
          <a:spLocks/>
        </xdr:cNvSpPr>
      </xdr:nvSpPr>
      <xdr:spPr>
        <a:xfrm>
          <a:off x="9829800" y="3314700"/>
          <a:ext cx="85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17</xdr:row>
      <xdr:rowOff>114300</xdr:rowOff>
    </xdr:from>
    <xdr:to>
      <xdr:col>31</xdr:col>
      <xdr:colOff>161925</xdr:colOff>
      <xdr:row>19</xdr:row>
      <xdr:rowOff>0</xdr:rowOff>
    </xdr:to>
    <xdr:sp>
      <xdr:nvSpPr>
        <xdr:cNvPr id="36" name="Rectangle 49"/>
        <xdr:cNvSpPr>
          <a:spLocks/>
        </xdr:cNvSpPr>
      </xdr:nvSpPr>
      <xdr:spPr>
        <a:xfrm>
          <a:off x="9829800" y="4057650"/>
          <a:ext cx="85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76200</xdr:colOff>
      <xdr:row>20</xdr:row>
      <xdr:rowOff>114300</xdr:rowOff>
    </xdr:from>
    <xdr:to>
      <xdr:col>31</xdr:col>
      <xdr:colOff>161925</xdr:colOff>
      <xdr:row>22</xdr:row>
      <xdr:rowOff>0</xdr:rowOff>
    </xdr:to>
    <xdr:sp>
      <xdr:nvSpPr>
        <xdr:cNvPr id="37" name="Rectangle 50"/>
        <xdr:cNvSpPr>
          <a:spLocks/>
        </xdr:cNvSpPr>
      </xdr:nvSpPr>
      <xdr:spPr>
        <a:xfrm>
          <a:off x="9829800" y="4800600"/>
          <a:ext cx="85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342900</xdr:colOff>
      <xdr:row>10</xdr:row>
      <xdr:rowOff>0</xdr:rowOff>
    </xdr:from>
    <xdr:to>
      <xdr:col>31</xdr:col>
      <xdr:colOff>676275</xdr:colOff>
      <xdr:row>10</xdr:row>
      <xdr:rowOff>0</xdr:rowOff>
    </xdr:to>
    <xdr:sp>
      <xdr:nvSpPr>
        <xdr:cNvPr id="38" name="Line 51"/>
        <xdr:cNvSpPr>
          <a:spLocks/>
        </xdr:cNvSpPr>
      </xdr:nvSpPr>
      <xdr:spPr>
        <a:xfrm>
          <a:off x="10096500" y="2209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342900</xdr:colOff>
      <xdr:row>13</xdr:row>
      <xdr:rowOff>0</xdr:rowOff>
    </xdr:from>
    <xdr:to>
      <xdr:col>31</xdr:col>
      <xdr:colOff>676275</xdr:colOff>
      <xdr:row>13</xdr:row>
      <xdr:rowOff>0</xdr:rowOff>
    </xdr:to>
    <xdr:sp>
      <xdr:nvSpPr>
        <xdr:cNvPr id="39" name="Line 53"/>
        <xdr:cNvSpPr>
          <a:spLocks/>
        </xdr:cNvSpPr>
      </xdr:nvSpPr>
      <xdr:spPr>
        <a:xfrm>
          <a:off x="10096500" y="2952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342900</xdr:colOff>
      <xdr:row>16</xdr:row>
      <xdr:rowOff>0</xdr:rowOff>
    </xdr:from>
    <xdr:to>
      <xdr:col>31</xdr:col>
      <xdr:colOff>676275</xdr:colOff>
      <xdr:row>16</xdr:row>
      <xdr:rowOff>0</xdr:rowOff>
    </xdr:to>
    <xdr:sp>
      <xdr:nvSpPr>
        <xdr:cNvPr id="40" name="Line 54"/>
        <xdr:cNvSpPr>
          <a:spLocks/>
        </xdr:cNvSpPr>
      </xdr:nvSpPr>
      <xdr:spPr>
        <a:xfrm>
          <a:off x="10096500" y="3695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31</xdr:col>
      <xdr:colOff>342900</xdr:colOff>
      <xdr:row>19</xdr:row>
      <xdr:rowOff>0</xdr:rowOff>
    </xdr:from>
    <xdr:to>
      <xdr:col>31</xdr:col>
      <xdr:colOff>676275</xdr:colOff>
      <xdr:row>19</xdr:row>
      <xdr:rowOff>0</xdr:rowOff>
    </xdr:to>
    <xdr:sp>
      <xdr:nvSpPr>
        <xdr:cNvPr id="41" name="Line 55"/>
        <xdr:cNvSpPr>
          <a:spLocks/>
        </xdr:cNvSpPr>
      </xdr:nvSpPr>
      <xdr:spPr>
        <a:xfrm>
          <a:off x="10096500" y="4438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38100</xdr:rowOff>
    </xdr:from>
    <xdr:to>
      <xdr:col>11</xdr:col>
      <xdr:colOff>9525</xdr:colOff>
      <xdr:row>12</xdr:row>
      <xdr:rowOff>114300</xdr:rowOff>
    </xdr:to>
    <xdr:sp>
      <xdr:nvSpPr>
        <xdr:cNvPr id="42" name="Rectangle 56"/>
        <xdr:cNvSpPr>
          <a:spLocks/>
        </xdr:cNvSpPr>
      </xdr:nvSpPr>
      <xdr:spPr>
        <a:xfrm>
          <a:off x="3467100" y="2743200"/>
          <a:ext cx="295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28575</xdr:rowOff>
    </xdr:from>
    <xdr:to>
      <xdr:col>13</xdr:col>
      <xdr:colOff>304800</xdr:colOff>
      <xdr:row>12</xdr:row>
      <xdr:rowOff>104775</xdr:rowOff>
    </xdr:to>
    <xdr:sp>
      <xdr:nvSpPr>
        <xdr:cNvPr id="43" name="Rectangle 57"/>
        <xdr:cNvSpPr>
          <a:spLocks/>
        </xdr:cNvSpPr>
      </xdr:nvSpPr>
      <xdr:spPr>
        <a:xfrm>
          <a:off x="4371975" y="2733675"/>
          <a:ext cx="295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16</xdr:col>
      <xdr:colOff>19050</xdr:colOff>
      <xdr:row>12</xdr:row>
      <xdr:rowOff>28575</xdr:rowOff>
    </xdr:from>
    <xdr:to>
      <xdr:col>17</xdr:col>
      <xdr:colOff>0</xdr:colOff>
      <xdr:row>12</xdr:row>
      <xdr:rowOff>104775</xdr:rowOff>
    </xdr:to>
    <xdr:sp>
      <xdr:nvSpPr>
        <xdr:cNvPr id="44" name="Rectangle 58"/>
        <xdr:cNvSpPr>
          <a:spLocks/>
        </xdr:cNvSpPr>
      </xdr:nvSpPr>
      <xdr:spPr>
        <a:xfrm>
          <a:off x="5324475" y="2733675"/>
          <a:ext cx="295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38100</xdr:rowOff>
    </xdr:from>
    <xdr:to>
      <xdr:col>10</xdr:col>
      <xdr:colOff>0</xdr:colOff>
      <xdr:row>22</xdr:row>
      <xdr:rowOff>0</xdr:rowOff>
    </xdr:to>
    <xdr:sp>
      <xdr:nvSpPr>
        <xdr:cNvPr id="45" name="Line 59"/>
        <xdr:cNvSpPr>
          <a:spLocks/>
        </xdr:cNvSpPr>
      </xdr:nvSpPr>
      <xdr:spPr>
        <a:xfrm flipV="1">
          <a:off x="2867025" y="4972050"/>
          <a:ext cx="590550" cy="2095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276225</xdr:colOff>
      <xdr:row>21</xdr:row>
      <xdr:rowOff>38100</xdr:rowOff>
    </xdr:to>
    <xdr:sp>
      <xdr:nvSpPr>
        <xdr:cNvPr id="46" name="Line 60"/>
        <xdr:cNvSpPr>
          <a:spLocks/>
        </xdr:cNvSpPr>
      </xdr:nvSpPr>
      <xdr:spPr>
        <a:xfrm flipV="1">
          <a:off x="3457575" y="4191000"/>
          <a:ext cx="571500" cy="781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11</xdr:col>
      <xdr:colOff>266700</xdr:colOff>
      <xdr:row>15</xdr:row>
      <xdr:rowOff>47625</xdr:rowOff>
    </xdr:from>
    <xdr:to>
      <xdr:col>14</xdr:col>
      <xdr:colOff>9525</xdr:colOff>
      <xdr:row>18</xdr:row>
      <xdr:rowOff>9525</xdr:rowOff>
    </xdr:to>
    <xdr:sp>
      <xdr:nvSpPr>
        <xdr:cNvPr id="47" name="Line 61"/>
        <xdr:cNvSpPr>
          <a:spLocks/>
        </xdr:cNvSpPr>
      </xdr:nvSpPr>
      <xdr:spPr>
        <a:xfrm flipV="1">
          <a:off x="4019550" y="3495675"/>
          <a:ext cx="666750" cy="704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85725</xdr:rowOff>
    </xdr:from>
    <xdr:to>
      <xdr:col>16</xdr:col>
      <xdr:colOff>0</xdr:colOff>
      <xdr:row>15</xdr:row>
      <xdr:rowOff>47625</xdr:rowOff>
    </xdr:to>
    <xdr:sp>
      <xdr:nvSpPr>
        <xdr:cNvPr id="48" name="Line 62"/>
        <xdr:cNvSpPr>
          <a:spLocks/>
        </xdr:cNvSpPr>
      </xdr:nvSpPr>
      <xdr:spPr>
        <a:xfrm flipV="1">
          <a:off x="4676775" y="2790825"/>
          <a:ext cx="628650" cy="704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180975</xdr:rowOff>
    </xdr:from>
    <xdr:to>
      <xdr:col>18</xdr:col>
      <xdr:colOff>0</xdr:colOff>
      <xdr:row>12</xdr:row>
      <xdr:rowOff>76200</xdr:rowOff>
    </xdr:to>
    <xdr:sp>
      <xdr:nvSpPr>
        <xdr:cNvPr id="49" name="Line 63"/>
        <xdr:cNvSpPr>
          <a:spLocks/>
        </xdr:cNvSpPr>
      </xdr:nvSpPr>
      <xdr:spPr>
        <a:xfrm flipV="1">
          <a:off x="5314950" y="2390775"/>
          <a:ext cx="619125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17</xdr:col>
      <xdr:colOff>304800</xdr:colOff>
      <xdr:row>9</xdr:row>
      <xdr:rowOff>228600</xdr:rowOff>
    </xdr:from>
    <xdr:to>
      <xdr:col>20</xdr:col>
      <xdr:colOff>0</xdr:colOff>
      <xdr:row>10</xdr:row>
      <xdr:rowOff>180975</xdr:rowOff>
    </xdr:to>
    <xdr:sp>
      <xdr:nvSpPr>
        <xdr:cNvPr id="50" name="Line 64"/>
        <xdr:cNvSpPr>
          <a:spLocks/>
        </xdr:cNvSpPr>
      </xdr:nvSpPr>
      <xdr:spPr>
        <a:xfrm flipV="1">
          <a:off x="5924550" y="2190750"/>
          <a:ext cx="628650" cy="2000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20</xdr:col>
      <xdr:colOff>9525</xdr:colOff>
      <xdr:row>9</xdr:row>
      <xdr:rowOff>9525</xdr:rowOff>
    </xdr:from>
    <xdr:to>
      <xdr:col>22</xdr:col>
      <xdr:colOff>9525</xdr:colOff>
      <xdr:row>9</xdr:row>
      <xdr:rowOff>228600</xdr:rowOff>
    </xdr:to>
    <xdr:sp>
      <xdr:nvSpPr>
        <xdr:cNvPr id="51" name="Line 65"/>
        <xdr:cNvSpPr>
          <a:spLocks/>
        </xdr:cNvSpPr>
      </xdr:nvSpPr>
      <xdr:spPr>
        <a:xfrm flipV="1">
          <a:off x="6562725" y="1971675"/>
          <a:ext cx="638175" cy="219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22</xdr:col>
      <xdr:colOff>9525</xdr:colOff>
      <xdr:row>8</xdr:row>
      <xdr:rowOff>133350</xdr:rowOff>
    </xdr:from>
    <xdr:to>
      <xdr:col>24</xdr:col>
      <xdr:colOff>19050</xdr:colOff>
      <xdr:row>9</xdr:row>
      <xdr:rowOff>9525</xdr:rowOff>
    </xdr:to>
    <xdr:sp>
      <xdr:nvSpPr>
        <xdr:cNvPr id="52" name="Line 66"/>
        <xdr:cNvSpPr>
          <a:spLocks/>
        </xdr:cNvSpPr>
      </xdr:nvSpPr>
      <xdr:spPr>
        <a:xfrm flipV="1">
          <a:off x="7200900" y="1847850"/>
          <a:ext cx="619125" cy="1238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38100</xdr:rowOff>
    </xdr:from>
    <xdr:to>
      <xdr:col>26</xdr:col>
      <xdr:colOff>9525</xdr:colOff>
      <xdr:row>8</xdr:row>
      <xdr:rowOff>142875</xdr:rowOff>
    </xdr:to>
    <xdr:sp>
      <xdr:nvSpPr>
        <xdr:cNvPr id="53" name="Line 67"/>
        <xdr:cNvSpPr>
          <a:spLocks/>
        </xdr:cNvSpPr>
      </xdr:nvSpPr>
      <xdr:spPr>
        <a:xfrm flipV="1">
          <a:off x="7800975" y="1752600"/>
          <a:ext cx="647700" cy="104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66675</xdr:rowOff>
    </xdr:from>
    <xdr:to>
      <xdr:col>28</xdr:col>
      <xdr:colOff>0</xdr:colOff>
      <xdr:row>8</xdr:row>
      <xdr:rowOff>47625</xdr:rowOff>
    </xdr:to>
    <xdr:sp>
      <xdr:nvSpPr>
        <xdr:cNvPr id="54" name="Line 68"/>
        <xdr:cNvSpPr>
          <a:spLocks/>
        </xdr:cNvSpPr>
      </xdr:nvSpPr>
      <xdr:spPr>
        <a:xfrm flipV="1">
          <a:off x="8439150" y="1533525"/>
          <a:ext cx="638175" cy="2286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9525</xdr:rowOff>
    </xdr:from>
    <xdr:to>
      <xdr:col>29</xdr:col>
      <xdr:colOff>295275</xdr:colOff>
      <xdr:row>7</xdr:row>
      <xdr:rowOff>76200</xdr:rowOff>
    </xdr:to>
    <xdr:sp>
      <xdr:nvSpPr>
        <xdr:cNvPr id="55" name="Line 69"/>
        <xdr:cNvSpPr>
          <a:spLocks/>
        </xdr:cNvSpPr>
      </xdr:nvSpPr>
      <xdr:spPr>
        <a:xfrm flipV="1">
          <a:off x="9077325" y="1476375"/>
          <a:ext cx="600075" cy="666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26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32397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26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>
          <a:off x="4953000" y="13239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00" y="13239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6</xdr:col>
      <xdr:colOff>57150</xdr:colOff>
      <xdr:row>18</xdr:row>
      <xdr:rowOff>9525</xdr:rowOff>
    </xdr:to>
    <xdr:sp>
      <xdr:nvSpPr>
        <xdr:cNvPr id="4" name="Line 4"/>
        <xdr:cNvSpPr>
          <a:spLocks/>
        </xdr:cNvSpPr>
      </xdr:nvSpPr>
      <xdr:spPr>
        <a:xfrm>
          <a:off x="1009650" y="13811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57150</xdr:rowOff>
    </xdr:from>
    <xdr:to>
      <xdr:col>25</xdr:col>
      <xdr:colOff>142875</xdr:colOff>
      <xdr:row>18</xdr:row>
      <xdr:rowOff>9525</xdr:rowOff>
    </xdr:to>
    <xdr:sp>
      <xdr:nvSpPr>
        <xdr:cNvPr id="5" name="Line 5"/>
        <xdr:cNvSpPr>
          <a:spLocks/>
        </xdr:cNvSpPr>
      </xdr:nvSpPr>
      <xdr:spPr>
        <a:xfrm>
          <a:off x="4895850" y="13811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15</xdr:col>
      <xdr:colOff>161925</xdr:colOff>
      <xdr:row>8</xdr:row>
      <xdr:rowOff>66675</xdr:rowOff>
    </xdr:from>
    <xdr:to>
      <xdr:col>15</xdr:col>
      <xdr:colOff>161925</xdr:colOff>
      <xdr:row>18</xdr:row>
      <xdr:rowOff>19050</xdr:rowOff>
    </xdr:to>
    <xdr:sp>
      <xdr:nvSpPr>
        <xdr:cNvPr id="6" name="Line 6"/>
        <xdr:cNvSpPr>
          <a:spLocks/>
        </xdr:cNvSpPr>
      </xdr:nvSpPr>
      <xdr:spPr>
        <a:xfrm>
          <a:off x="2914650" y="13906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66675</xdr:rowOff>
    </xdr:from>
    <xdr:to>
      <xdr:col>16</xdr:col>
      <xdr:colOff>38100</xdr:colOff>
      <xdr:row>18</xdr:row>
      <xdr:rowOff>19050</xdr:rowOff>
    </xdr:to>
    <xdr:sp>
      <xdr:nvSpPr>
        <xdr:cNvPr id="7" name="Line 7"/>
        <xdr:cNvSpPr>
          <a:spLocks/>
        </xdr:cNvSpPr>
      </xdr:nvSpPr>
      <xdr:spPr>
        <a:xfrm>
          <a:off x="2990850" y="13906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57150</xdr:rowOff>
    </xdr:from>
    <xdr:to>
      <xdr:col>15</xdr:col>
      <xdr:colOff>161925</xdr:colOff>
      <xdr:row>8</xdr:row>
      <xdr:rowOff>57150</xdr:rowOff>
    </xdr:to>
    <xdr:sp>
      <xdr:nvSpPr>
        <xdr:cNvPr id="8" name="Line 8"/>
        <xdr:cNvSpPr>
          <a:spLocks/>
        </xdr:cNvSpPr>
      </xdr:nvSpPr>
      <xdr:spPr>
        <a:xfrm>
          <a:off x="1009650" y="1381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57150</xdr:rowOff>
    </xdr:from>
    <xdr:to>
      <xdr:col>25</xdr:col>
      <xdr:colOff>142875</xdr:colOff>
      <xdr:row>8</xdr:row>
      <xdr:rowOff>57150</xdr:rowOff>
    </xdr:to>
    <xdr:sp>
      <xdr:nvSpPr>
        <xdr:cNvPr id="9" name="Line 9"/>
        <xdr:cNvSpPr>
          <a:spLocks/>
        </xdr:cNvSpPr>
      </xdr:nvSpPr>
      <xdr:spPr>
        <a:xfrm>
          <a:off x="2990850" y="1381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57150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30384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15</xdr:col>
      <xdr:colOff>180975</xdr:colOff>
      <xdr:row>18</xdr:row>
      <xdr:rowOff>9525</xdr:rowOff>
    </xdr:from>
    <xdr:to>
      <xdr:col>16</xdr:col>
      <xdr:colOff>38100</xdr:colOff>
      <xdr:row>18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933700" y="30480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25</xdr:col>
      <xdr:colOff>142875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4895850" y="30384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66675</xdr:colOff>
      <xdr:row>17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0025" y="1495425"/>
          <a:ext cx="2667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7.2m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47625</xdr:colOff>
      <xdr:row>21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0025" y="3038475"/>
          <a:ext cx="323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2.0m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52525" y="3552825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7.2m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25</xdr:col>
      <xdr:colOff>0</xdr:colOff>
      <xdr:row>22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152775" y="3552825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7.2m</a:t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13</xdr:col>
      <xdr:colOff>9525</xdr:colOff>
      <xdr:row>12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52575" y="18288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바탕체"/>
              <a:ea typeface="바탕체"/>
              <a:cs typeface="바탕체"/>
            </a:rPr>
            <a:t>자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바탕체"/>
              <a:ea typeface="바탕체"/>
              <a:cs typeface="바탕체"/>
            </a:rPr>
            <a:t>갈</a:t>
          </a:r>
        </a:p>
      </xdr:txBody>
    </xdr:sp>
    <xdr:clientData/>
  </xdr:twoCellAnchor>
  <xdr:twoCellAnchor>
    <xdr:from>
      <xdr:col>19</xdr:col>
      <xdr:colOff>0</xdr:colOff>
      <xdr:row>11</xdr:row>
      <xdr:rowOff>0</xdr:rowOff>
    </xdr:from>
    <xdr:to>
      <xdr:col>23</xdr:col>
      <xdr:colOff>9525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552825" y="1838325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바탕체"/>
              <a:ea typeface="바탕체"/>
              <a:cs typeface="바탕체"/>
            </a:rPr>
            <a:t>모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바탕체"/>
              <a:ea typeface="바탕체"/>
              <a:cs typeface="바탕체"/>
            </a:rPr>
            <a:t>래</a:t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23</xdr:col>
      <xdr:colOff>0</xdr:colOff>
      <xdr:row>20</xdr:row>
      <xdr:rowOff>19050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2650" y="3200400"/>
          <a:ext cx="2200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바탕체"/>
              <a:ea typeface="바탕체"/>
              <a:cs typeface="바탕체"/>
            </a:rPr>
            <a:t>바닥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con'c,  t=10cm</a:t>
          </a:r>
        </a:p>
      </xdr:txBody>
    </xdr:sp>
    <xdr:clientData/>
  </xdr:twoCellAnchor>
  <xdr:twoCellAnchor>
    <xdr:from>
      <xdr:col>9</xdr:col>
      <xdr:colOff>0</xdr:colOff>
      <xdr:row>30</xdr:row>
      <xdr:rowOff>9525</xdr:rowOff>
    </xdr:from>
    <xdr:to>
      <xdr:col>21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552575" y="4867275"/>
          <a:ext cx="2400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57150</xdr:rowOff>
    </xdr:from>
    <xdr:to>
      <xdr:col>21</xdr:col>
      <xdr:colOff>0</xdr:colOff>
      <xdr:row>32</xdr:row>
      <xdr:rowOff>57150</xdr:rowOff>
    </xdr:to>
    <xdr:sp>
      <xdr:nvSpPr>
        <xdr:cNvPr id="21" name="Line 21"/>
        <xdr:cNvSpPr>
          <a:spLocks/>
        </xdr:cNvSpPr>
      </xdr:nvSpPr>
      <xdr:spPr>
        <a:xfrm flipV="1">
          <a:off x="1552575" y="4914900"/>
          <a:ext cx="2400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0</xdr:colOff>
      <xdr:row>30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3952875" y="48577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0</xdr:rowOff>
    </xdr:from>
    <xdr:to>
      <xdr:col>9</xdr:col>
      <xdr:colOff>9525</xdr:colOff>
      <xdr:row>32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1562100" y="52006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47625</xdr:rowOff>
    </xdr:from>
    <xdr:to>
      <xdr:col>9</xdr:col>
      <xdr:colOff>104775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1657350" y="52482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20</xdr:col>
      <xdr:colOff>104775</xdr:colOff>
      <xdr:row>30</xdr:row>
      <xdr:rowOff>76200</xdr:rowOff>
    </xdr:from>
    <xdr:to>
      <xdr:col>20</xdr:col>
      <xdr:colOff>104775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3857625" y="49339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104775</xdr:colOff>
      <xdr:row>39</xdr:row>
      <xdr:rowOff>0</xdr:rowOff>
    </xdr:from>
    <xdr:to>
      <xdr:col>23</xdr:col>
      <xdr:colOff>0</xdr:colOff>
      <xdr:row>39</xdr:row>
      <xdr:rowOff>0</xdr:rowOff>
    </xdr:to>
    <xdr:sp>
      <xdr:nvSpPr>
        <xdr:cNvPr id="26" name="Line 26"/>
        <xdr:cNvSpPr>
          <a:spLocks/>
        </xdr:cNvSpPr>
      </xdr:nvSpPr>
      <xdr:spPr>
        <a:xfrm>
          <a:off x="1657350" y="64008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104775</xdr:colOff>
      <xdr:row>38</xdr:row>
      <xdr:rowOff>114300</xdr:rowOff>
    </xdr:from>
    <xdr:to>
      <xdr:col>20</xdr:col>
      <xdr:colOff>104775</xdr:colOff>
      <xdr:row>38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1657350" y="63436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114300</xdr:colOff>
      <xdr:row>33</xdr:row>
      <xdr:rowOff>114300</xdr:rowOff>
    </xdr:from>
    <xdr:to>
      <xdr:col>20</xdr:col>
      <xdr:colOff>114300</xdr:colOff>
      <xdr:row>33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1666875" y="54864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57150</xdr:rowOff>
    </xdr:from>
    <xdr:to>
      <xdr:col>15</xdr:col>
      <xdr:colOff>0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>
          <a:off x="2752725" y="50863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57150</xdr:rowOff>
    </xdr:from>
    <xdr:to>
      <xdr:col>15</xdr:col>
      <xdr:colOff>38100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>
          <a:off x="2790825" y="50863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17</xdr:col>
      <xdr:colOff>133350</xdr:colOff>
      <xdr:row>30</xdr:row>
      <xdr:rowOff>152400</xdr:rowOff>
    </xdr:from>
    <xdr:to>
      <xdr:col>17</xdr:col>
      <xdr:colOff>133350</xdr:colOff>
      <xdr:row>35</xdr:row>
      <xdr:rowOff>9525</xdr:rowOff>
    </xdr:to>
    <xdr:sp>
      <xdr:nvSpPr>
        <xdr:cNvPr id="31" name="Line 31"/>
        <xdr:cNvSpPr>
          <a:spLocks/>
        </xdr:cNvSpPr>
      </xdr:nvSpPr>
      <xdr:spPr>
        <a:xfrm>
          <a:off x="3286125" y="5010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142875</xdr:rowOff>
    </xdr:from>
    <xdr:to>
      <xdr:col>17</xdr:col>
      <xdr:colOff>161925</xdr:colOff>
      <xdr:row>35</xdr:row>
      <xdr:rowOff>9525</xdr:rowOff>
    </xdr:to>
    <xdr:sp>
      <xdr:nvSpPr>
        <xdr:cNvPr id="32" name="Line 32"/>
        <xdr:cNvSpPr>
          <a:spLocks/>
        </xdr:cNvSpPr>
      </xdr:nvSpPr>
      <xdr:spPr>
        <a:xfrm>
          <a:off x="3314700" y="50006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12</xdr:col>
      <xdr:colOff>38100</xdr:colOff>
      <xdr:row>31</xdr:row>
      <xdr:rowOff>142875</xdr:rowOff>
    </xdr:from>
    <xdr:to>
      <xdr:col>12</xdr:col>
      <xdr:colOff>38100</xdr:colOff>
      <xdr:row>35</xdr:row>
      <xdr:rowOff>9525</xdr:rowOff>
    </xdr:to>
    <xdr:sp>
      <xdr:nvSpPr>
        <xdr:cNvPr id="33" name="Line 33"/>
        <xdr:cNvSpPr>
          <a:spLocks/>
        </xdr:cNvSpPr>
      </xdr:nvSpPr>
      <xdr:spPr>
        <a:xfrm>
          <a:off x="2190750" y="51720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12</xdr:col>
      <xdr:colOff>76200</xdr:colOff>
      <xdr:row>31</xdr:row>
      <xdr:rowOff>142875</xdr:rowOff>
    </xdr:from>
    <xdr:to>
      <xdr:col>12</xdr:col>
      <xdr:colOff>76200</xdr:colOff>
      <xdr:row>35</xdr:row>
      <xdr:rowOff>0</xdr:rowOff>
    </xdr:to>
    <xdr:sp>
      <xdr:nvSpPr>
        <xdr:cNvPr id="34" name="Line 34"/>
        <xdr:cNvSpPr>
          <a:spLocks/>
        </xdr:cNvSpPr>
      </xdr:nvSpPr>
      <xdr:spPr>
        <a:xfrm>
          <a:off x="2228850" y="51720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114300</xdr:rowOff>
    </xdr:from>
    <xdr:to>
      <xdr:col>20</xdr:col>
      <xdr:colOff>104775</xdr:colOff>
      <xdr:row>38</xdr:row>
      <xdr:rowOff>114300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657350" y="5486400"/>
          <a:ext cx="22002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BLOCK </a:t>
          </a:r>
          <a:r>
            <a:rPr lang="en-US" cap="none" sz="1100" b="0" i="0" u="none" baseline="0">
              <a:latin typeface="바탕체"/>
              <a:ea typeface="바탕체"/>
              <a:cs typeface="바탕체"/>
            </a:rPr>
            <a:t>후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바탕체"/>
              <a:ea typeface="바탕체"/>
              <a:cs typeface="바탕체"/>
            </a:rPr>
            <a:t>뒷채움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latin typeface="바탕체"/>
              <a:ea typeface="바탕체"/>
              <a:cs typeface="바탕체"/>
            </a:rPr>
            <a:t>또는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CON'C</a:t>
          </a:r>
          <a:r>
            <a:rPr lang="en-US" cap="none" sz="1100" b="0" i="0" u="none" baseline="0">
              <a:latin typeface="바탕체"/>
              <a:ea typeface="바탕체"/>
              <a:cs typeface="바탕체"/>
            </a:rPr>
            <a:t>옹벽</a:t>
          </a:r>
        </a:p>
      </xdr:txBody>
    </xdr:sp>
    <xdr:clientData/>
  </xdr:twoCellAnchor>
  <xdr:twoCellAnchor>
    <xdr:from>
      <xdr:col>5</xdr:col>
      <xdr:colOff>0</xdr:colOff>
      <xdr:row>31</xdr:row>
      <xdr:rowOff>66675</xdr:rowOff>
    </xdr:from>
    <xdr:to>
      <xdr:col>7</xdr:col>
      <xdr:colOff>38100</xdr:colOff>
      <xdr:row>34</xdr:row>
      <xdr:rowOff>95250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52475" y="5095875"/>
          <a:ext cx="438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0.7m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7</xdr:col>
      <xdr:colOff>57150</xdr:colOff>
      <xdr:row>38</xdr:row>
      <xdr:rowOff>161925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52475" y="5543550"/>
          <a:ext cx="457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2.3m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23</xdr:col>
      <xdr:colOff>104775</xdr:colOff>
      <xdr:row>38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152900" y="4857750"/>
          <a:ext cx="3048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5.0m</a:t>
          </a:r>
        </a:p>
      </xdr:txBody>
    </xdr:sp>
    <xdr:clientData/>
  </xdr:twoCellAnchor>
  <xdr:twoCellAnchor>
    <xdr:from>
      <xdr:col>20</xdr:col>
      <xdr:colOff>104775</xdr:colOff>
      <xdr:row>38</xdr:row>
      <xdr:rowOff>114300</xdr:rowOff>
    </xdr:from>
    <xdr:to>
      <xdr:col>23</xdr:col>
      <xdr:colOff>0</xdr:colOff>
      <xdr:row>38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3857625" y="6343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114300</xdr:rowOff>
    </xdr:from>
    <xdr:to>
      <xdr:col>23</xdr:col>
      <xdr:colOff>0</xdr:colOff>
      <xdr:row>38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4352925" y="63436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104775</xdr:colOff>
      <xdr:row>41</xdr:row>
      <xdr:rowOff>0</xdr:rowOff>
    </xdr:from>
    <xdr:to>
      <xdr:col>9</xdr:col>
      <xdr:colOff>104775</xdr:colOff>
      <xdr:row>42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1657350" y="6734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20</xdr:col>
      <xdr:colOff>104775</xdr:colOff>
      <xdr:row>41</xdr:row>
      <xdr:rowOff>0</xdr:rowOff>
    </xdr:from>
    <xdr:to>
      <xdr:col>20</xdr:col>
      <xdr:colOff>104775</xdr:colOff>
      <xdr:row>43</xdr:row>
      <xdr:rowOff>0</xdr:rowOff>
    </xdr:to>
    <xdr:sp>
      <xdr:nvSpPr>
        <xdr:cNvPr id="42" name="Line 42"/>
        <xdr:cNvSpPr>
          <a:spLocks/>
        </xdr:cNvSpPr>
      </xdr:nvSpPr>
      <xdr:spPr>
        <a:xfrm>
          <a:off x="3857625" y="6734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23</xdr:col>
      <xdr:colOff>9525</xdr:colOff>
      <xdr:row>41</xdr:row>
      <xdr:rowOff>0</xdr:rowOff>
    </xdr:from>
    <xdr:to>
      <xdr:col>23</xdr:col>
      <xdr:colOff>9525</xdr:colOff>
      <xdr:row>43</xdr:row>
      <xdr:rowOff>9525</xdr:rowOff>
    </xdr:to>
    <xdr:sp>
      <xdr:nvSpPr>
        <xdr:cNvPr id="43" name="Line 43"/>
        <xdr:cNvSpPr>
          <a:spLocks/>
        </xdr:cNvSpPr>
      </xdr:nvSpPr>
      <xdr:spPr>
        <a:xfrm>
          <a:off x="4362450" y="6734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9</xdr:col>
      <xdr:colOff>104775</xdr:colOff>
      <xdr:row>42</xdr:row>
      <xdr:rowOff>0</xdr:rowOff>
    </xdr:from>
    <xdr:to>
      <xdr:col>23</xdr:col>
      <xdr:colOff>9525</xdr:colOff>
      <xdr:row>42</xdr:row>
      <xdr:rowOff>0</xdr:rowOff>
    </xdr:to>
    <xdr:sp>
      <xdr:nvSpPr>
        <xdr:cNvPr id="44" name="Line 44"/>
        <xdr:cNvSpPr>
          <a:spLocks/>
        </xdr:cNvSpPr>
      </xdr:nvSpPr>
      <xdr:spPr>
        <a:xfrm>
          <a:off x="1657350" y="682942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23</xdr:col>
      <xdr:colOff>38100</xdr:colOff>
      <xdr:row>30</xdr:row>
      <xdr:rowOff>0</xdr:rowOff>
    </xdr:from>
    <xdr:to>
      <xdr:col>23</xdr:col>
      <xdr:colOff>152400</xdr:colOff>
      <xdr:row>30</xdr:row>
      <xdr:rowOff>0</xdr:rowOff>
    </xdr:to>
    <xdr:sp>
      <xdr:nvSpPr>
        <xdr:cNvPr id="45" name="Line 45"/>
        <xdr:cNvSpPr>
          <a:spLocks/>
        </xdr:cNvSpPr>
      </xdr:nvSpPr>
      <xdr:spPr>
        <a:xfrm>
          <a:off x="4391025" y="4857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23</xdr:col>
      <xdr:colOff>85725</xdr:colOff>
      <xdr:row>30</xdr:row>
      <xdr:rowOff>0</xdr:rowOff>
    </xdr:from>
    <xdr:to>
      <xdr:col>23</xdr:col>
      <xdr:colOff>85725</xdr:colOff>
      <xdr:row>39</xdr:row>
      <xdr:rowOff>0</xdr:rowOff>
    </xdr:to>
    <xdr:sp>
      <xdr:nvSpPr>
        <xdr:cNvPr id="46" name="Line 46"/>
        <xdr:cNvSpPr>
          <a:spLocks/>
        </xdr:cNvSpPr>
      </xdr:nvSpPr>
      <xdr:spPr>
        <a:xfrm>
          <a:off x="4438650" y="48577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23</xdr:col>
      <xdr:colOff>38100</xdr:colOff>
      <xdr:row>39</xdr:row>
      <xdr:rowOff>0</xdr:rowOff>
    </xdr:from>
    <xdr:to>
      <xdr:col>23</xdr:col>
      <xdr:colOff>171450</xdr:colOff>
      <xdr:row>39</xdr:row>
      <xdr:rowOff>0</xdr:rowOff>
    </xdr:to>
    <xdr:sp>
      <xdr:nvSpPr>
        <xdr:cNvPr id="47" name="Line 47"/>
        <xdr:cNvSpPr>
          <a:spLocks/>
        </xdr:cNvSpPr>
      </xdr:nvSpPr>
      <xdr:spPr>
        <a:xfrm>
          <a:off x="4391025" y="640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휴먼세엑스포"/>
              <a:ea typeface="휴먼세엑스포"/>
              <a:cs typeface="휴먼세엑스포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9525</xdr:rowOff>
    </xdr:from>
    <xdr:to>
      <xdr:col>19</xdr:col>
      <xdr:colOff>190500</xdr:colOff>
      <xdr:row>41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752600" y="6581775"/>
          <a:ext cx="1990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7.2m</a:t>
          </a:r>
        </a:p>
      </xdr:txBody>
    </xdr:sp>
    <xdr:clientData/>
  </xdr:twoCellAnchor>
  <xdr:twoCellAnchor>
    <xdr:from>
      <xdr:col>20</xdr:col>
      <xdr:colOff>104775</xdr:colOff>
      <xdr:row>39</xdr:row>
      <xdr:rowOff>161925</xdr:rowOff>
    </xdr:from>
    <xdr:to>
      <xdr:col>23</xdr:col>
      <xdr:colOff>76200</xdr:colOff>
      <xdr:row>41</xdr:row>
      <xdr:rowOff>19050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857625" y="656272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2.0m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277;&#49324;&#44552;&#505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51652;&#46020;&#54788;&#51109;\&#44256;&#44400;&#49892;&#54665;&#45236;&#506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금액"/>
    </sheetNames>
    <sheetDataSet>
      <sheetData sheetId="0">
        <row r="9">
          <cell r="E9">
            <v>63916</v>
          </cell>
        </row>
        <row r="10">
          <cell r="E10">
            <v>50676</v>
          </cell>
        </row>
        <row r="11">
          <cell r="E11">
            <v>25328</v>
          </cell>
        </row>
        <row r="26">
          <cell r="E26">
            <v>27655</v>
          </cell>
        </row>
        <row r="27">
          <cell r="E27">
            <v>33800</v>
          </cell>
        </row>
        <row r="28">
          <cell r="E28">
            <v>18602</v>
          </cell>
        </row>
        <row r="29">
          <cell r="E29">
            <v>3294</v>
          </cell>
        </row>
        <row r="30">
          <cell r="E30">
            <v>2981</v>
          </cell>
        </row>
        <row r="31">
          <cell r="E31">
            <v>1673</v>
          </cell>
        </row>
        <row r="32">
          <cell r="E32">
            <v>1502</v>
          </cell>
        </row>
        <row r="33">
          <cell r="E33">
            <v>3346</v>
          </cell>
        </row>
        <row r="34">
          <cell r="E34">
            <v>3003</v>
          </cell>
        </row>
        <row r="36">
          <cell r="E36">
            <v>28486</v>
          </cell>
        </row>
        <row r="37">
          <cell r="E37">
            <v>34817</v>
          </cell>
        </row>
        <row r="38">
          <cell r="E38">
            <v>19439</v>
          </cell>
        </row>
        <row r="39">
          <cell r="E39">
            <v>3559</v>
          </cell>
        </row>
        <row r="40">
          <cell r="E40">
            <v>3091</v>
          </cell>
        </row>
        <row r="41">
          <cell r="E41">
            <v>1806</v>
          </cell>
        </row>
        <row r="42">
          <cell r="E42">
            <v>1557</v>
          </cell>
        </row>
        <row r="43">
          <cell r="E43">
            <v>3613</v>
          </cell>
        </row>
        <row r="44">
          <cell r="E44">
            <v>3113</v>
          </cell>
        </row>
        <row r="45">
          <cell r="E45">
            <v>618</v>
          </cell>
        </row>
        <row r="47">
          <cell r="E47">
            <v>962</v>
          </cell>
        </row>
        <row r="48">
          <cell r="E48">
            <v>1176</v>
          </cell>
        </row>
        <row r="49">
          <cell r="E49">
            <v>1001</v>
          </cell>
        </row>
        <row r="50">
          <cell r="E50">
            <v>477</v>
          </cell>
        </row>
        <row r="51">
          <cell r="E51">
            <v>283</v>
          </cell>
        </row>
        <row r="52">
          <cell r="E52">
            <v>566</v>
          </cell>
        </row>
        <row r="53">
          <cell r="E53">
            <v>103</v>
          </cell>
        </row>
        <row r="55">
          <cell r="E55">
            <v>240</v>
          </cell>
        </row>
        <row r="56">
          <cell r="E56">
            <v>240</v>
          </cell>
        </row>
        <row r="57">
          <cell r="E57">
            <v>1247</v>
          </cell>
        </row>
        <row r="58">
          <cell r="E58">
            <v>293</v>
          </cell>
        </row>
        <row r="59">
          <cell r="E59">
            <v>1020</v>
          </cell>
        </row>
        <row r="60">
          <cell r="E60">
            <v>720</v>
          </cell>
        </row>
        <row r="61">
          <cell r="E61">
            <v>453</v>
          </cell>
        </row>
        <row r="62">
          <cell r="E62">
            <v>320</v>
          </cell>
        </row>
        <row r="63">
          <cell r="E63">
            <v>283</v>
          </cell>
        </row>
        <row r="64">
          <cell r="E64">
            <v>200</v>
          </cell>
        </row>
        <row r="65">
          <cell r="E65">
            <v>567</v>
          </cell>
        </row>
        <row r="66">
          <cell r="E66">
            <v>400</v>
          </cell>
        </row>
        <row r="67">
          <cell r="E67">
            <v>366</v>
          </cell>
        </row>
        <row r="70">
          <cell r="E70">
            <v>53</v>
          </cell>
        </row>
        <row r="71">
          <cell r="E71">
            <v>33</v>
          </cell>
        </row>
        <row r="72">
          <cell r="E72">
            <v>133</v>
          </cell>
        </row>
        <row r="73">
          <cell r="E73">
            <v>8</v>
          </cell>
        </row>
        <row r="79">
          <cell r="E79">
            <v>27295</v>
          </cell>
        </row>
        <row r="80">
          <cell r="F80">
            <v>391094200</v>
          </cell>
        </row>
        <row r="85">
          <cell r="E85">
            <v>2898</v>
          </cell>
        </row>
        <row r="90">
          <cell r="F90">
            <v>420882400</v>
          </cell>
        </row>
        <row r="91">
          <cell r="E91">
            <v>9237</v>
          </cell>
        </row>
        <row r="92">
          <cell r="E92">
            <v>705</v>
          </cell>
        </row>
        <row r="96">
          <cell r="F96">
            <v>542278080</v>
          </cell>
        </row>
        <row r="100">
          <cell r="E100">
            <v>126</v>
          </cell>
        </row>
        <row r="101">
          <cell r="E101">
            <v>6816</v>
          </cell>
        </row>
        <row r="111">
          <cell r="F111">
            <v>231572000</v>
          </cell>
        </row>
        <row r="116">
          <cell r="F116">
            <v>248100000</v>
          </cell>
        </row>
        <row r="123">
          <cell r="F123">
            <v>276000000</v>
          </cell>
        </row>
        <row r="131">
          <cell r="F131">
            <v>707618080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주요공사"/>
      <sheetName val="Sheet2"/>
      <sheetName val="Sheet3"/>
    </sheetNames>
    <sheetDataSet>
      <sheetData sheetId="0">
        <row r="5">
          <cell r="F5">
            <v>901623467</v>
          </cell>
        </row>
        <row r="36">
          <cell r="F36">
            <v>2037770000</v>
          </cell>
        </row>
        <row r="46">
          <cell r="F46">
            <v>550235500</v>
          </cell>
        </row>
        <row r="57">
          <cell r="F57">
            <v>1315100000</v>
          </cell>
        </row>
        <row r="65">
          <cell r="F65">
            <v>818960000</v>
          </cell>
        </row>
        <row r="80">
          <cell r="F80">
            <v>145480000</v>
          </cell>
        </row>
        <row r="86">
          <cell r="F86">
            <v>372337000</v>
          </cell>
        </row>
        <row r="137">
          <cell r="O137">
            <v>80</v>
          </cell>
          <cell r="R137">
            <v>204</v>
          </cell>
          <cell r="U137">
            <v>1091</v>
          </cell>
          <cell r="X137">
            <v>721</v>
          </cell>
          <cell r="AA137">
            <v>732</v>
          </cell>
          <cell r="AD137">
            <v>783</v>
          </cell>
          <cell r="AG137">
            <v>741</v>
          </cell>
          <cell r="AJ137">
            <v>799</v>
          </cell>
          <cell r="AM137">
            <v>610</v>
          </cell>
          <cell r="AP137">
            <v>179</v>
          </cell>
          <cell r="AS137">
            <v>203</v>
          </cell>
          <cell r="AV137">
            <v>203</v>
          </cell>
          <cell r="AY137">
            <v>290</v>
          </cell>
          <cell r="BB137">
            <v>290</v>
          </cell>
          <cell r="BE137">
            <v>75</v>
          </cell>
          <cell r="BH137">
            <v>75</v>
          </cell>
          <cell r="BK137">
            <v>45</v>
          </cell>
          <cell r="BN137">
            <v>234</v>
          </cell>
          <cell r="BQ137">
            <v>237</v>
          </cell>
          <cell r="BT137">
            <v>211</v>
          </cell>
          <cell r="BW137">
            <v>124</v>
          </cell>
          <cell r="BZ137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:B7"/>
    </sheetView>
  </sheetViews>
  <sheetFormatPr defaultColWidth="9.00390625" defaultRowHeight="12.75"/>
  <cols>
    <col min="1" max="1" width="5.25390625" style="60" customWidth="1"/>
    <col min="2" max="2" width="10.75390625" style="60" customWidth="1"/>
    <col min="3" max="3" width="3.375" style="60" customWidth="1"/>
    <col min="4" max="4" width="6.375" style="60" customWidth="1"/>
    <col min="5" max="5" width="11.00390625" style="60" hidden="1" customWidth="1"/>
    <col min="6" max="6" width="4.125" style="60" customWidth="1"/>
    <col min="7" max="12" width="3.875" style="60" customWidth="1"/>
    <col min="13" max="19" width="4.125" style="60" customWidth="1"/>
    <col min="20" max="21" width="4.00390625" style="60" customWidth="1"/>
    <col min="22" max="22" width="4.375" style="60" customWidth="1"/>
    <col min="23" max="24" width="4.00390625" style="60" customWidth="1"/>
    <col min="25" max="25" width="4.375" style="60" customWidth="1"/>
    <col min="26" max="27" width="4.00390625" style="60" customWidth="1"/>
    <col min="28" max="28" width="4.375" style="60" customWidth="1"/>
    <col min="29" max="30" width="4.00390625" style="60" customWidth="1"/>
    <col min="31" max="31" width="0.875" style="60" customWidth="1"/>
    <col min="32" max="32" width="8.875" style="60" customWidth="1"/>
    <col min="33" max="16384" width="9.00390625" style="60" customWidth="1"/>
  </cols>
  <sheetData>
    <row r="1" s="58" customFormat="1" ht="21">
      <c r="A1" s="57" t="s">
        <v>80</v>
      </c>
    </row>
    <row r="3" spans="1:5" ht="15">
      <c r="A3" s="59" t="s">
        <v>293</v>
      </c>
      <c r="E3" s="61">
        <f>SUM(E8:E22)</f>
        <v>8959050727</v>
      </c>
    </row>
    <row r="4" spans="1:5" ht="15">
      <c r="A4" s="62"/>
      <c r="E4" s="61"/>
    </row>
    <row r="5" spans="1:33" ht="12.75">
      <c r="A5" s="49" t="s">
        <v>292</v>
      </c>
      <c r="B5" s="260" t="s">
        <v>313</v>
      </c>
      <c r="T5" s="63"/>
      <c r="AF5" s="50"/>
      <c r="AG5" s="50" t="s">
        <v>291</v>
      </c>
    </row>
    <row r="6" spans="1:33" s="64" customFormat="1" ht="19.5" customHeight="1">
      <c r="A6" s="272" t="s">
        <v>81</v>
      </c>
      <c r="B6" s="273"/>
      <c r="C6" s="280" t="s">
        <v>77</v>
      </c>
      <c r="D6" s="280" t="s">
        <v>82</v>
      </c>
      <c r="E6" s="280" t="s">
        <v>83</v>
      </c>
      <c r="F6" s="282" t="s">
        <v>84</v>
      </c>
      <c r="G6" s="276" t="s">
        <v>85</v>
      </c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8"/>
      <c r="S6" s="279" t="s">
        <v>86</v>
      </c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8"/>
      <c r="AE6" s="218"/>
      <c r="AF6" s="266" t="s">
        <v>306</v>
      </c>
      <c r="AG6" s="259" t="s">
        <v>307</v>
      </c>
    </row>
    <row r="7" spans="1:33" s="64" customFormat="1" ht="19.5" customHeight="1">
      <c r="A7" s="274"/>
      <c r="B7" s="275"/>
      <c r="C7" s="281"/>
      <c r="D7" s="281"/>
      <c r="E7" s="281"/>
      <c r="F7" s="283"/>
      <c r="G7" s="66" t="s">
        <v>87</v>
      </c>
      <c r="H7" s="65" t="s">
        <v>88</v>
      </c>
      <c r="I7" s="65" t="s">
        <v>89</v>
      </c>
      <c r="J7" s="65" t="s">
        <v>90</v>
      </c>
      <c r="K7" s="65" t="s">
        <v>91</v>
      </c>
      <c r="L7" s="65" t="s">
        <v>92</v>
      </c>
      <c r="M7" s="65" t="s">
        <v>93</v>
      </c>
      <c r="N7" s="65" t="s">
        <v>94</v>
      </c>
      <c r="O7" s="65" t="s">
        <v>95</v>
      </c>
      <c r="P7" s="65" t="s">
        <v>96</v>
      </c>
      <c r="Q7" s="65" t="s">
        <v>97</v>
      </c>
      <c r="R7" s="65" t="s">
        <v>98</v>
      </c>
      <c r="S7" s="65" t="s">
        <v>87</v>
      </c>
      <c r="T7" s="65" t="s">
        <v>88</v>
      </c>
      <c r="U7" s="65" t="s">
        <v>89</v>
      </c>
      <c r="V7" s="65" t="s">
        <v>90</v>
      </c>
      <c r="W7" s="65" t="s">
        <v>91</v>
      </c>
      <c r="X7" s="65" t="s">
        <v>92</v>
      </c>
      <c r="Y7" s="65" t="s">
        <v>93</v>
      </c>
      <c r="Z7" s="65" t="s">
        <v>94</v>
      </c>
      <c r="AA7" s="65" t="s">
        <v>95</v>
      </c>
      <c r="AB7" s="65" t="s">
        <v>96</v>
      </c>
      <c r="AC7" s="65" t="s">
        <v>97</v>
      </c>
      <c r="AD7" s="65" t="s">
        <v>98</v>
      </c>
      <c r="AE7" s="219"/>
      <c r="AF7" s="267"/>
      <c r="AG7" s="251"/>
    </row>
    <row r="8" spans="1:33" s="64" customFormat="1" ht="19.5" customHeight="1">
      <c r="A8" s="51" t="s">
        <v>78</v>
      </c>
      <c r="B8" s="52" t="s">
        <v>99</v>
      </c>
      <c r="C8" s="53" t="s">
        <v>79</v>
      </c>
      <c r="D8" s="67">
        <f>SUM('[1]공사금액'!E9:E11)</f>
        <v>139920</v>
      </c>
      <c r="E8" s="206">
        <f>'[2]주요공사'!$F$5</f>
        <v>901623467</v>
      </c>
      <c r="F8" s="68">
        <f>E8/$E$3*100</f>
        <v>10.063828127267618</v>
      </c>
      <c r="G8" s="224"/>
      <c r="H8" s="224"/>
      <c r="I8" s="225" t="s">
        <v>294</v>
      </c>
      <c r="J8" s="225"/>
      <c r="K8" s="225"/>
      <c r="L8" s="225"/>
      <c r="M8" s="225"/>
      <c r="N8" s="225"/>
      <c r="O8" s="242"/>
      <c r="P8" s="225"/>
      <c r="Q8" s="225"/>
      <c r="R8" s="225"/>
      <c r="S8" s="225"/>
      <c r="T8" s="226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7"/>
      <c r="AF8" s="243">
        <v>1</v>
      </c>
      <c r="AG8" s="214" t="s">
        <v>311</v>
      </c>
    </row>
    <row r="9" spans="1:33" s="64" customFormat="1" ht="19.5" customHeight="1">
      <c r="A9" s="252" t="s">
        <v>287</v>
      </c>
      <c r="B9" s="54" t="s">
        <v>100</v>
      </c>
      <c r="C9" s="55" t="s">
        <v>101</v>
      </c>
      <c r="D9" s="69">
        <f>SUM('[1]공사금액'!E26:E34)</f>
        <v>95856</v>
      </c>
      <c r="E9" s="207">
        <f>'[2]주요공사'!$F$36</f>
        <v>2037770000</v>
      </c>
      <c r="F9" s="70">
        <v>24</v>
      </c>
      <c r="G9" s="228"/>
      <c r="H9" s="228"/>
      <c r="I9" s="229"/>
      <c r="J9" s="229"/>
      <c r="K9" s="229" t="s">
        <v>295</v>
      </c>
      <c r="L9" s="229"/>
      <c r="M9" s="229"/>
      <c r="N9" s="229"/>
      <c r="O9" s="229"/>
      <c r="P9" s="229"/>
      <c r="Q9" s="229"/>
      <c r="R9" s="229"/>
      <c r="S9" s="229"/>
      <c r="T9" s="230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7"/>
      <c r="AF9" s="244"/>
      <c r="AG9" s="71"/>
    </row>
    <row r="10" spans="1:33" s="64" customFormat="1" ht="19.5" customHeight="1">
      <c r="A10" s="253"/>
      <c r="B10" s="56" t="s">
        <v>102</v>
      </c>
      <c r="C10" s="55" t="s">
        <v>101</v>
      </c>
      <c r="D10" s="69">
        <f>SUM('[1]공사금액'!E36:E45)</f>
        <v>100099</v>
      </c>
      <c r="E10" s="207">
        <f>'[2]주요공사'!$F$46</f>
        <v>550235500</v>
      </c>
      <c r="F10" s="70">
        <f aca="true" t="shared" si="0" ref="F10:F22">E10/$E$3*100</f>
        <v>6.141671888761033</v>
      </c>
      <c r="G10" s="228"/>
      <c r="H10" s="228"/>
      <c r="I10" s="229"/>
      <c r="J10" s="229"/>
      <c r="K10" s="234" t="s">
        <v>296</v>
      </c>
      <c r="L10" s="229"/>
      <c r="M10" s="229"/>
      <c r="N10" s="229"/>
      <c r="O10" s="229"/>
      <c r="P10" s="229"/>
      <c r="Q10" s="229"/>
      <c r="R10" s="229"/>
      <c r="S10" s="229"/>
      <c r="T10" s="230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7"/>
      <c r="AF10" s="245">
        <v>0.8</v>
      </c>
      <c r="AG10" s="71"/>
    </row>
    <row r="11" spans="1:33" s="64" customFormat="1" ht="19.5" customHeight="1">
      <c r="A11" s="253"/>
      <c r="B11" s="72" t="s">
        <v>103</v>
      </c>
      <c r="C11" s="55" t="s">
        <v>101</v>
      </c>
      <c r="D11" s="69">
        <f>SUM('[1]공사금액'!E47:E53)</f>
        <v>4568</v>
      </c>
      <c r="E11" s="207">
        <f>'[2]주요공사'!$F$57</f>
        <v>1315100000</v>
      </c>
      <c r="F11" s="70">
        <f t="shared" si="0"/>
        <v>14.679010534415966</v>
      </c>
      <c r="G11" s="228"/>
      <c r="H11" s="228"/>
      <c r="I11" s="229"/>
      <c r="J11" s="229"/>
      <c r="K11" s="234" t="s">
        <v>296</v>
      </c>
      <c r="L11" s="229"/>
      <c r="M11" s="229"/>
      <c r="N11" s="229"/>
      <c r="O11" s="229"/>
      <c r="P11" s="229"/>
      <c r="Q11" s="229"/>
      <c r="R11" s="229"/>
      <c r="S11" s="229"/>
      <c r="T11" s="230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7"/>
      <c r="AF11" s="244"/>
      <c r="AG11" s="71"/>
    </row>
    <row r="12" spans="1:33" s="64" customFormat="1" ht="19.5" customHeight="1">
      <c r="A12" s="253"/>
      <c r="B12" s="73" t="s">
        <v>104</v>
      </c>
      <c r="C12" s="73" t="s">
        <v>105</v>
      </c>
      <c r="D12" s="69">
        <f>SUM('[1]공사금액'!E55:E67)</f>
        <v>6349</v>
      </c>
      <c r="E12" s="207">
        <f>'[2]주요공사'!$F$65</f>
        <v>818960000</v>
      </c>
      <c r="F12" s="70">
        <f t="shared" si="0"/>
        <v>9.14114703616858</v>
      </c>
      <c r="G12" s="228"/>
      <c r="H12" s="228"/>
      <c r="I12" s="229"/>
      <c r="J12" s="229"/>
      <c r="K12" s="234" t="s">
        <v>296</v>
      </c>
      <c r="L12" s="229"/>
      <c r="M12" s="229"/>
      <c r="N12" s="229"/>
      <c r="O12" s="229"/>
      <c r="P12" s="229"/>
      <c r="Q12" s="229"/>
      <c r="R12" s="229"/>
      <c r="S12" s="229"/>
      <c r="T12" s="230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7"/>
      <c r="AF12" s="244"/>
      <c r="AG12" s="71"/>
    </row>
    <row r="13" spans="1:33" s="64" customFormat="1" ht="19.5" customHeight="1">
      <c r="A13" s="253"/>
      <c r="B13" s="55" t="s">
        <v>106</v>
      </c>
      <c r="C13" s="73" t="s">
        <v>107</v>
      </c>
      <c r="D13" s="69">
        <f>SUM('[1]공사금액'!E70:E73)</f>
        <v>227</v>
      </c>
      <c r="E13" s="207">
        <f>'[2]주요공사'!$F$80</f>
        <v>145480000</v>
      </c>
      <c r="F13" s="70">
        <f t="shared" si="0"/>
        <v>1.623832752297798</v>
      </c>
      <c r="G13" s="228"/>
      <c r="H13" s="228"/>
      <c r="I13" s="229"/>
      <c r="J13" s="229"/>
      <c r="K13" s="234" t="s">
        <v>296</v>
      </c>
      <c r="L13" s="229"/>
      <c r="M13" s="229"/>
      <c r="N13" s="229"/>
      <c r="O13" s="229"/>
      <c r="P13" s="229"/>
      <c r="Q13" s="229"/>
      <c r="R13" s="229"/>
      <c r="S13" s="229"/>
      <c r="T13" s="230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7"/>
      <c r="AF13" s="245">
        <v>0.6</v>
      </c>
      <c r="AG13" s="71"/>
    </row>
    <row r="14" spans="1:33" s="64" customFormat="1" ht="19.5" customHeight="1">
      <c r="A14" s="253"/>
      <c r="B14" s="55" t="s">
        <v>288</v>
      </c>
      <c r="C14" s="73" t="s">
        <v>289</v>
      </c>
      <c r="D14" s="69">
        <v>1</v>
      </c>
      <c r="E14" s="207">
        <v>0</v>
      </c>
      <c r="F14" s="70">
        <v>0</v>
      </c>
      <c r="G14" s="228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34" t="s">
        <v>296</v>
      </c>
      <c r="S14" s="229"/>
      <c r="T14" s="230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7"/>
      <c r="AF14" s="244"/>
      <c r="AG14" s="71"/>
    </row>
    <row r="15" spans="1:33" s="64" customFormat="1" ht="19.5" customHeight="1">
      <c r="A15" s="253"/>
      <c r="B15" s="55" t="s">
        <v>108</v>
      </c>
      <c r="C15" s="55" t="s">
        <v>109</v>
      </c>
      <c r="D15" s="69">
        <f>'[1]공사금액'!E79</f>
        <v>27295</v>
      </c>
      <c r="E15" s="207">
        <f>'[2]주요공사'!$F$86</f>
        <v>372337000</v>
      </c>
      <c r="F15" s="70">
        <f t="shared" si="0"/>
        <v>4.155987183752442</v>
      </c>
      <c r="G15" s="228"/>
      <c r="H15" s="228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30"/>
      <c r="U15" s="234" t="s">
        <v>297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7"/>
      <c r="AF15" s="244"/>
      <c r="AG15" s="71" t="s">
        <v>308</v>
      </c>
    </row>
    <row r="16" spans="1:33" s="64" customFormat="1" ht="19.5" customHeight="1">
      <c r="A16" s="253"/>
      <c r="B16" s="55" t="s">
        <v>110</v>
      </c>
      <c r="C16" s="55" t="s">
        <v>101</v>
      </c>
      <c r="D16" s="69">
        <f>'[1]공사금액'!E85</f>
        <v>2898</v>
      </c>
      <c r="E16" s="207">
        <f>'[1]공사금액'!F80</f>
        <v>391094200</v>
      </c>
      <c r="F16" s="70">
        <f t="shared" si="0"/>
        <v>4.3653531151615725</v>
      </c>
      <c r="G16" s="228"/>
      <c r="H16" s="228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34" t="s">
        <v>298</v>
      </c>
      <c r="T16" s="230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7"/>
      <c r="AF16" s="245">
        <v>0.4</v>
      </c>
      <c r="AG16" s="71" t="s">
        <v>309</v>
      </c>
    </row>
    <row r="17" spans="1:33" s="64" customFormat="1" ht="19.5" customHeight="1">
      <c r="A17" s="253"/>
      <c r="B17" s="74" t="s">
        <v>111</v>
      </c>
      <c r="C17" s="55" t="s">
        <v>101</v>
      </c>
      <c r="D17" s="69">
        <f>SUM('[1]공사금액'!E91:E92)</f>
        <v>9942</v>
      </c>
      <c r="E17" s="207">
        <f>'[1]공사금액'!F90</f>
        <v>420882400</v>
      </c>
      <c r="F17" s="70">
        <f t="shared" si="0"/>
        <v>4.69784593061385</v>
      </c>
      <c r="G17" s="228"/>
      <c r="H17" s="228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229"/>
      <c r="V17" s="229"/>
      <c r="W17" s="234" t="s">
        <v>299</v>
      </c>
      <c r="X17" s="229"/>
      <c r="Y17" s="229"/>
      <c r="Z17" s="229"/>
      <c r="AA17" s="229"/>
      <c r="AB17" s="229"/>
      <c r="AC17" s="229"/>
      <c r="AD17" s="229"/>
      <c r="AE17" s="227"/>
      <c r="AF17" s="244"/>
      <c r="AG17" s="71" t="s">
        <v>309</v>
      </c>
    </row>
    <row r="18" spans="1:33" s="64" customFormat="1" ht="19.5" customHeight="1">
      <c r="A18" s="253"/>
      <c r="B18" s="55" t="s">
        <v>112</v>
      </c>
      <c r="C18" s="55" t="s">
        <v>113</v>
      </c>
      <c r="D18" s="69">
        <f>SUM('[1]공사금액'!E100:E101)</f>
        <v>6942</v>
      </c>
      <c r="E18" s="207">
        <f>'[1]공사금액'!F96</f>
        <v>542278080</v>
      </c>
      <c r="F18" s="70">
        <f t="shared" si="0"/>
        <v>6.052851987607682</v>
      </c>
      <c r="G18" s="228"/>
      <c r="H18" s="228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229"/>
      <c r="V18" s="229"/>
      <c r="W18" s="229"/>
      <c r="X18" s="229"/>
      <c r="Y18" s="229"/>
      <c r="Z18" s="234" t="s">
        <v>300</v>
      </c>
      <c r="AA18" s="229"/>
      <c r="AB18" s="229"/>
      <c r="AC18" s="229"/>
      <c r="AD18" s="229"/>
      <c r="AE18" s="227"/>
      <c r="AF18" s="244"/>
      <c r="AG18" s="71" t="s">
        <v>310</v>
      </c>
    </row>
    <row r="19" spans="1:33" s="64" customFormat="1" ht="19.5" customHeight="1">
      <c r="A19" s="253"/>
      <c r="B19" s="55" t="s">
        <v>114</v>
      </c>
      <c r="C19" s="73" t="s">
        <v>115</v>
      </c>
      <c r="D19" s="69">
        <v>1</v>
      </c>
      <c r="E19" s="207">
        <f>'[1]공사금액'!F111</f>
        <v>231572000</v>
      </c>
      <c r="F19" s="70">
        <f t="shared" si="0"/>
        <v>2.584782775055717</v>
      </c>
      <c r="G19" s="228"/>
      <c r="H19" s="228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30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7"/>
      <c r="AF19" s="245">
        <v>0.2</v>
      </c>
      <c r="AG19" s="71"/>
    </row>
    <row r="20" spans="1:33" s="64" customFormat="1" ht="19.5" customHeight="1">
      <c r="A20" s="253"/>
      <c r="B20" s="55" t="s">
        <v>116</v>
      </c>
      <c r="C20" s="73" t="s">
        <v>115</v>
      </c>
      <c r="D20" s="69">
        <v>1</v>
      </c>
      <c r="E20" s="207">
        <f>'[1]공사금액'!F116</f>
        <v>248100000</v>
      </c>
      <c r="F20" s="70">
        <f t="shared" si="0"/>
        <v>2.7692666060288955</v>
      </c>
      <c r="G20" s="228"/>
      <c r="H20" s="228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7"/>
      <c r="AF20" s="244"/>
      <c r="AG20" s="71"/>
    </row>
    <row r="21" spans="1:33" s="64" customFormat="1" ht="19.5" customHeight="1">
      <c r="A21" s="265"/>
      <c r="B21" s="55" t="s">
        <v>117</v>
      </c>
      <c r="C21" s="73" t="s">
        <v>115</v>
      </c>
      <c r="D21" s="69">
        <v>1</v>
      </c>
      <c r="E21" s="207">
        <f>'[1]공사금액'!F123</f>
        <v>276000000</v>
      </c>
      <c r="F21" s="70">
        <f t="shared" si="0"/>
        <v>3.0806835278676954</v>
      </c>
      <c r="G21" s="228"/>
      <c r="H21" s="228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30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7"/>
      <c r="AF21" s="244"/>
      <c r="AG21" s="71"/>
    </row>
    <row r="22" spans="1:33" s="64" customFormat="1" ht="19.5" customHeight="1">
      <c r="A22" s="286" t="s">
        <v>118</v>
      </c>
      <c r="B22" s="287"/>
      <c r="C22" s="208" t="s">
        <v>115</v>
      </c>
      <c r="D22" s="209">
        <v>1</v>
      </c>
      <c r="E22" s="210">
        <f>'[1]공사금액'!F131</f>
        <v>707618080</v>
      </c>
      <c r="F22" s="211">
        <f t="shared" si="0"/>
        <v>7.898360011149872</v>
      </c>
      <c r="G22" s="231"/>
      <c r="H22" s="231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3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27"/>
      <c r="AF22" s="246">
        <v>0</v>
      </c>
      <c r="AG22" s="81"/>
    </row>
    <row r="23" spans="1:33" s="64" customFormat="1" ht="19.5" customHeight="1">
      <c r="A23" s="288" t="s">
        <v>119</v>
      </c>
      <c r="B23" s="289"/>
      <c r="C23" s="296" t="s">
        <v>120</v>
      </c>
      <c r="D23" s="268"/>
      <c r="E23" s="268"/>
      <c r="F23" s="269"/>
      <c r="G23" s="212"/>
      <c r="H23" s="212"/>
      <c r="I23" s="213">
        <f>ROUND(I25/$AD$26*100,1)</f>
        <v>1</v>
      </c>
      <c r="J23" s="213">
        <f aca="true" t="shared" si="1" ref="J23:AD23">ROUND(J25/$AD$26*100,1)</f>
        <v>2.5</v>
      </c>
      <c r="K23" s="213">
        <f t="shared" si="1"/>
        <v>13.6</v>
      </c>
      <c r="L23" s="213">
        <v>9</v>
      </c>
      <c r="M23" s="213">
        <v>9.1</v>
      </c>
      <c r="N23" s="213">
        <f t="shared" si="1"/>
        <v>9.7</v>
      </c>
      <c r="O23" s="213">
        <f t="shared" si="1"/>
        <v>9.2</v>
      </c>
      <c r="P23" s="213">
        <f t="shared" si="1"/>
        <v>9.9</v>
      </c>
      <c r="Q23" s="213">
        <f t="shared" si="1"/>
        <v>7.6</v>
      </c>
      <c r="R23" s="213">
        <f t="shared" si="1"/>
        <v>2.2</v>
      </c>
      <c r="S23" s="213">
        <f t="shared" si="1"/>
        <v>2.5</v>
      </c>
      <c r="T23" s="213">
        <f t="shared" si="1"/>
        <v>2.5</v>
      </c>
      <c r="U23" s="213">
        <f t="shared" si="1"/>
        <v>3.6</v>
      </c>
      <c r="V23" s="213">
        <f t="shared" si="1"/>
        <v>3.6</v>
      </c>
      <c r="W23" s="213">
        <f t="shared" si="1"/>
        <v>0.9</v>
      </c>
      <c r="X23" s="213">
        <f t="shared" si="1"/>
        <v>0.9</v>
      </c>
      <c r="Y23" s="213">
        <f t="shared" si="1"/>
        <v>0.6</v>
      </c>
      <c r="Z23" s="213">
        <f t="shared" si="1"/>
        <v>2.9</v>
      </c>
      <c r="AA23" s="213">
        <f t="shared" si="1"/>
        <v>2.9</v>
      </c>
      <c r="AB23" s="213">
        <f t="shared" si="1"/>
        <v>2.6</v>
      </c>
      <c r="AC23" s="213">
        <f t="shared" si="1"/>
        <v>1.5</v>
      </c>
      <c r="AD23" s="213">
        <f t="shared" si="1"/>
        <v>1.5</v>
      </c>
      <c r="AE23" s="220"/>
      <c r="AF23" s="247"/>
      <c r="AG23" s="250"/>
    </row>
    <row r="24" spans="1:33" s="64" customFormat="1" ht="19.5" customHeight="1">
      <c r="A24" s="290"/>
      <c r="B24" s="291"/>
      <c r="C24" s="297" t="s">
        <v>121</v>
      </c>
      <c r="D24" s="270"/>
      <c r="E24" s="270"/>
      <c r="F24" s="271"/>
      <c r="G24" s="75"/>
      <c r="H24" s="75"/>
      <c r="I24" s="76">
        <f>I23</f>
        <v>1</v>
      </c>
      <c r="J24" s="76">
        <f>I24+J23</f>
        <v>3.5</v>
      </c>
      <c r="K24" s="76">
        <f aca="true" t="shared" si="2" ref="K24:AD24">J24+K23</f>
        <v>17.1</v>
      </c>
      <c r="L24" s="76">
        <f t="shared" si="2"/>
        <v>26.1</v>
      </c>
      <c r="M24" s="76">
        <f t="shared" si="2"/>
        <v>35.2</v>
      </c>
      <c r="N24" s="76">
        <f t="shared" si="2"/>
        <v>44.900000000000006</v>
      </c>
      <c r="O24" s="76">
        <f t="shared" si="2"/>
        <v>54.10000000000001</v>
      </c>
      <c r="P24" s="76">
        <f t="shared" si="2"/>
        <v>64.00000000000001</v>
      </c>
      <c r="Q24" s="76">
        <f t="shared" si="2"/>
        <v>71.60000000000001</v>
      </c>
      <c r="R24" s="76">
        <f t="shared" si="2"/>
        <v>73.80000000000001</v>
      </c>
      <c r="S24" s="76">
        <f t="shared" si="2"/>
        <v>76.30000000000001</v>
      </c>
      <c r="T24" s="76">
        <f t="shared" si="2"/>
        <v>78.80000000000001</v>
      </c>
      <c r="U24" s="76">
        <f t="shared" si="2"/>
        <v>82.4</v>
      </c>
      <c r="V24" s="76">
        <f t="shared" si="2"/>
        <v>86</v>
      </c>
      <c r="W24" s="76">
        <f t="shared" si="2"/>
        <v>86.9</v>
      </c>
      <c r="X24" s="76">
        <f t="shared" si="2"/>
        <v>87.80000000000001</v>
      </c>
      <c r="Y24" s="76">
        <f t="shared" si="2"/>
        <v>88.4</v>
      </c>
      <c r="Z24" s="76">
        <f t="shared" si="2"/>
        <v>91.30000000000001</v>
      </c>
      <c r="AA24" s="76">
        <f t="shared" si="2"/>
        <v>94.20000000000002</v>
      </c>
      <c r="AB24" s="76">
        <f t="shared" si="2"/>
        <v>96.80000000000001</v>
      </c>
      <c r="AC24" s="76">
        <f t="shared" si="2"/>
        <v>98.30000000000001</v>
      </c>
      <c r="AD24" s="76">
        <f t="shared" si="2"/>
        <v>99.80000000000001</v>
      </c>
      <c r="AE24" s="221"/>
      <c r="AF24" s="217"/>
      <c r="AG24" s="250"/>
    </row>
    <row r="25" spans="1:33" s="64" customFormat="1" ht="19.5" customHeight="1">
      <c r="A25" s="292" t="s">
        <v>122</v>
      </c>
      <c r="B25" s="293"/>
      <c r="C25" s="297" t="s">
        <v>120</v>
      </c>
      <c r="D25" s="270"/>
      <c r="E25" s="270"/>
      <c r="F25" s="271"/>
      <c r="G25" s="77"/>
      <c r="H25" s="77"/>
      <c r="I25" s="78">
        <f>'[2]주요공사'!$O$137</f>
        <v>80</v>
      </c>
      <c r="J25" s="78">
        <f>'[2]주요공사'!$R$137</f>
        <v>204</v>
      </c>
      <c r="K25" s="78">
        <f>'[2]주요공사'!$U$137</f>
        <v>1091</v>
      </c>
      <c r="L25" s="78">
        <f>'[2]주요공사'!$X$137</f>
        <v>721</v>
      </c>
      <c r="M25" s="78">
        <f>'[2]주요공사'!$AA$137</f>
        <v>732</v>
      </c>
      <c r="N25" s="78">
        <f>'[2]주요공사'!$AD$137</f>
        <v>783</v>
      </c>
      <c r="O25" s="78">
        <f>'[2]주요공사'!$AG$137</f>
        <v>741</v>
      </c>
      <c r="P25" s="78">
        <f>'[2]주요공사'!$AJ$137</f>
        <v>799</v>
      </c>
      <c r="Q25" s="78">
        <f>'[2]주요공사'!$AM$137</f>
        <v>610</v>
      </c>
      <c r="R25" s="78">
        <f>'[2]주요공사'!$AP$137</f>
        <v>179</v>
      </c>
      <c r="S25" s="78">
        <f>'[2]주요공사'!$AS$137</f>
        <v>203</v>
      </c>
      <c r="T25" s="78">
        <f>'[2]주요공사'!$AV$137</f>
        <v>203</v>
      </c>
      <c r="U25" s="78">
        <f>'[2]주요공사'!$AY$137</f>
        <v>290</v>
      </c>
      <c r="V25" s="78">
        <f>'[2]주요공사'!$BB$137</f>
        <v>290</v>
      </c>
      <c r="W25" s="78">
        <f>'[2]주요공사'!$BE$137</f>
        <v>75</v>
      </c>
      <c r="X25" s="78">
        <f>'[2]주요공사'!$BH$137</f>
        <v>75</v>
      </c>
      <c r="Y25" s="78">
        <f>'[2]주요공사'!$BK$137</f>
        <v>45</v>
      </c>
      <c r="Z25" s="78">
        <f>'[2]주요공사'!$BN$137</f>
        <v>234</v>
      </c>
      <c r="AA25" s="78">
        <f>'[2]주요공사'!$BQ$137</f>
        <v>237</v>
      </c>
      <c r="AB25" s="78">
        <f>'[2]주요공사'!$BT$137</f>
        <v>211</v>
      </c>
      <c r="AC25" s="78">
        <f>'[2]주요공사'!$BW$137</f>
        <v>124</v>
      </c>
      <c r="AD25" s="78">
        <f>'[2]주요공사'!$BZ$137</f>
        <v>122</v>
      </c>
      <c r="AE25" s="222"/>
      <c r="AF25" s="217"/>
      <c r="AG25" s="250"/>
    </row>
    <row r="26" spans="1:33" s="64" customFormat="1" ht="19.5" customHeight="1">
      <c r="A26" s="294"/>
      <c r="B26" s="295"/>
      <c r="C26" s="298" t="s">
        <v>121</v>
      </c>
      <c r="D26" s="284"/>
      <c r="E26" s="284"/>
      <c r="F26" s="285"/>
      <c r="G26" s="79"/>
      <c r="H26" s="79"/>
      <c r="I26" s="80">
        <f>I25</f>
        <v>80</v>
      </c>
      <c r="J26" s="80">
        <f>I26+J25</f>
        <v>284</v>
      </c>
      <c r="K26" s="80">
        <f aca="true" t="shared" si="3" ref="K26:AD26">J26+K25</f>
        <v>1375</v>
      </c>
      <c r="L26" s="80">
        <f t="shared" si="3"/>
        <v>2096</v>
      </c>
      <c r="M26" s="80">
        <f t="shared" si="3"/>
        <v>2828</v>
      </c>
      <c r="N26" s="80">
        <f t="shared" si="3"/>
        <v>3611</v>
      </c>
      <c r="O26" s="80">
        <f t="shared" si="3"/>
        <v>4352</v>
      </c>
      <c r="P26" s="80">
        <f t="shared" si="3"/>
        <v>5151</v>
      </c>
      <c r="Q26" s="80">
        <f t="shared" si="3"/>
        <v>5761</v>
      </c>
      <c r="R26" s="80">
        <f t="shared" si="3"/>
        <v>5940</v>
      </c>
      <c r="S26" s="80">
        <f t="shared" si="3"/>
        <v>6143</v>
      </c>
      <c r="T26" s="80">
        <f t="shared" si="3"/>
        <v>6346</v>
      </c>
      <c r="U26" s="80">
        <f t="shared" si="3"/>
        <v>6636</v>
      </c>
      <c r="V26" s="80">
        <f t="shared" si="3"/>
        <v>6926</v>
      </c>
      <c r="W26" s="80">
        <f t="shared" si="3"/>
        <v>7001</v>
      </c>
      <c r="X26" s="80">
        <f t="shared" si="3"/>
        <v>7076</v>
      </c>
      <c r="Y26" s="80">
        <f t="shared" si="3"/>
        <v>7121</v>
      </c>
      <c r="Z26" s="80">
        <f t="shared" si="3"/>
        <v>7355</v>
      </c>
      <c r="AA26" s="80">
        <f t="shared" si="3"/>
        <v>7592</v>
      </c>
      <c r="AB26" s="80">
        <f t="shared" si="3"/>
        <v>7803</v>
      </c>
      <c r="AC26" s="80">
        <f t="shared" si="3"/>
        <v>7927</v>
      </c>
      <c r="AD26" s="80">
        <f t="shared" si="3"/>
        <v>8049</v>
      </c>
      <c r="AE26" s="223"/>
      <c r="AF26" s="248"/>
      <c r="AG26" s="249"/>
    </row>
    <row r="27" s="64" customFormat="1" ht="5.25" customHeight="1"/>
    <row r="28" spans="1:33" s="64" customFormat="1" ht="14.25" customHeight="1">
      <c r="A28" s="261" t="s">
        <v>301</v>
      </c>
      <c r="B28" s="262"/>
      <c r="C28" s="262"/>
      <c r="D28" s="262"/>
      <c r="E28" s="262"/>
      <c r="F28" s="263"/>
      <c r="G28" s="235" t="s">
        <v>312</v>
      </c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6"/>
    </row>
    <row r="29" spans="1:33" s="64" customFormat="1" ht="21" customHeight="1">
      <c r="A29" s="264"/>
      <c r="B29" s="254"/>
      <c r="C29" s="254"/>
      <c r="D29" s="254"/>
      <c r="E29" s="254"/>
      <c r="F29" s="255"/>
      <c r="G29" s="237"/>
      <c r="H29" s="241" t="s">
        <v>302</v>
      </c>
      <c r="I29" s="237"/>
      <c r="J29" s="237" t="s">
        <v>305</v>
      </c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8"/>
    </row>
    <row r="30" spans="1:33" s="64" customFormat="1" ht="14.25" customHeight="1">
      <c r="A30" s="264"/>
      <c r="B30" s="254"/>
      <c r="C30" s="254"/>
      <c r="D30" s="254"/>
      <c r="E30" s="254"/>
      <c r="F30" s="255"/>
      <c r="G30" s="237"/>
      <c r="H30" s="241" t="s">
        <v>303</v>
      </c>
      <c r="I30" s="237"/>
      <c r="J30" s="237" t="s">
        <v>304</v>
      </c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8"/>
    </row>
    <row r="31" spans="1:33" s="64" customFormat="1" ht="5.25" customHeight="1">
      <c r="A31" s="256"/>
      <c r="B31" s="257"/>
      <c r="C31" s="257"/>
      <c r="D31" s="257"/>
      <c r="E31" s="257"/>
      <c r="F31" s="258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40"/>
    </row>
  </sheetData>
  <mergeCells count="22">
    <mergeCell ref="E26:F26"/>
    <mergeCell ref="A22:B22"/>
    <mergeCell ref="A23:B24"/>
    <mergeCell ref="A25:B26"/>
    <mergeCell ref="C23:D23"/>
    <mergeCell ref="C24:D24"/>
    <mergeCell ref="C25:D25"/>
    <mergeCell ref="C26:D26"/>
    <mergeCell ref="F6:F7"/>
    <mergeCell ref="C6:C7"/>
    <mergeCell ref="D6:D7"/>
    <mergeCell ref="E25:F25"/>
    <mergeCell ref="A28:F31"/>
    <mergeCell ref="AG6:AG7"/>
    <mergeCell ref="A9:A21"/>
    <mergeCell ref="AF6:AF7"/>
    <mergeCell ref="E23:F23"/>
    <mergeCell ref="E24:F24"/>
    <mergeCell ref="A6:B7"/>
    <mergeCell ref="G6:R6"/>
    <mergeCell ref="S6:AD6"/>
    <mergeCell ref="E6:E7"/>
  </mergeCells>
  <printOptions horizontalCentered="1"/>
  <pageMargins left="0.3937007874015748" right="0.3937007874015748" top="0.984251968503937" bottom="0.62" header="0.5118110236220472" footer="0.5118110236220472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L1">
      <selection activeCell="T8" sqref="T8"/>
    </sheetView>
  </sheetViews>
  <sheetFormatPr defaultColWidth="9.00390625" defaultRowHeight="12.75"/>
  <cols>
    <col min="1" max="1" width="4.00390625" style="87" customWidth="1"/>
    <col min="2" max="2" width="8.625" style="87" customWidth="1"/>
    <col min="3" max="3" width="4.00390625" style="87" customWidth="1"/>
    <col min="4" max="4" width="8.25390625" style="87" customWidth="1"/>
    <col min="5" max="5" width="9.125" style="87" bestFit="1" customWidth="1"/>
    <col min="6" max="6" width="9.125" style="87" customWidth="1"/>
    <col min="7" max="7" width="9.125" style="87" bestFit="1" customWidth="1"/>
    <col min="8" max="8" width="9.125" style="87" customWidth="1"/>
    <col min="9" max="9" width="9.125" style="87" bestFit="1" customWidth="1"/>
    <col min="10" max="10" width="9.125" style="87" customWidth="1"/>
    <col min="11" max="16" width="9.125" style="87" bestFit="1" customWidth="1"/>
    <col min="17" max="17" width="10.00390625" style="87" bestFit="1" customWidth="1"/>
    <col min="18" max="18" width="10.375" style="87" bestFit="1" customWidth="1"/>
    <col min="19" max="16384" width="9.00390625" style="87" customWidth="1"/>
  </cols>
  <sheetData>
    <row r="1" spans="1:4" ht="18">
      <c r="A1" s="159" t="s">
        <v>257</v>
      </c>
      <c r="B1" s="146"/>
      <c r="C1" s="146"/>
      <c r="D1" s="146"/>
    </row>
    <row r="3" spans="1:4" ht="20.25" customHeight="1">
      <c r="A3" s="147" t="s">
        <v>207</v>
      </c>
      <c r="B3" s="147"/>
      <c r="C3" s="147"/>
      <c r="D3" s="147"/>
    </row>
    <row r="4" spans="1:17" s="148" customFormat="1" ht="20.25" customHeight="1">
      <c r="A4" s="358" t="s">
        <v>208</v>
      </c>
      <c r="B4" s="359"/>
      <c r="C4" s="359"/>
      <c r="D4" s="371"/>
      <c r="E4" s="345" t="s">
        <v>209</v>
      </c>
      <c r="F4" s="346"/>
      <c r="G4" s="345" t="s">
        <v>0</v>
      </c>
      <c r="H4" s="346"/>
      <c r="I4" s="345" t="s">
        <v>1</v>
      </c>
      <c r="J4" s="346"/>
      <c r="K4" s="302" t="s">
        <v>2</v>
      </c>
      <c r="L4" s="302"/>
      <c r="M4" s="302" t="s">
        <v>3</v>
      </c>
      <c r="N4" s="302"/>
      <c r="O4" s="302" t="s">
        <v>4</v>
      </c>
      <c r="P4" s="302"/>
      <c r="Q4" s="369" t="s">
        <v>210</v>
      </c>
    </row>
    <row r="5" spans="1:17" s="148" customFormat="1" ht="20.25" customHeight="1">
      <c r="A5" s="360"/>
      <c r="B5" s="361"/>
      <c r="C5" s="361"/>
      <c r="D5" s="356"/>
      <c r="E5" s="83" t="s">
        <v>211</v>
      </c>
      <c r="F5" s="83" t="s">
        <v>212</v>
      </c>
      <c r="G5" s="83" t="s">
        <v>211</v>
      </c>
      <c r="H5" s="83" t="s">
        <v>212</v>
      </c>
      <c r="I5" s="83" t="s">
        <v>211</v>
      </c>
      <c r="J5" s="83" t="s">
        <v>212</v>
      </c>
      <c r="K5" s="83" t="s">
        <v>211</v>
      </c>
      <c r="L5" s="83" t="s">
        <v>212</v>
      </c>
      <c r="M5" s="83" t="s">
        <v>211</v>
      </c>
      <c r="N5" s="83" t="s">
        <v>212</v>
      </c>
      <c r="O5" s="83" t="s">
        <v>211</v>
      </c>
      <c r="P5" s="83" t="s">
        <v>212</v>
      </c>
      <c r="Q5" s="370"/>
    </row>
    <row r="6" spans="1:17" ht="20.25" customHeight="1">
      <c r="A6" s="364" t="s">
        <v>213</v>
      </c>
      <c r="B6" s="365"/>
      <c r="C6" s="365"/>
      <c r="D6" s="346"/>
      <c r="E6" s="160">
        <v>40.038</v>
      </c>
      <c r="F6" s="160">
        <v>36.781</v>
      </c>
      <c r="G6" s="160">
        <v>40.038</v>
      </c>
      <c r="H6" s="160">
        <v>36.781</v>
      </c>
      <c r="I6" s="160">
        <v>40.522</v>
      </c>
      <c r="J6" s="160">
        <v>36.986</v>
      </c>
      <c r="K6" s="160">
        <v>41.17</v>
      </c>
      <c r="L6" s="160">
        <v>37.264</v>
      </c>
      <c r="M6" s="160">
        <v>41.82</v>
      </c>
      <c r="N6" s="160">
        <v>37.539</v>
      </c>
      <c r="O6" s="160">
        <v>41.82</v>
      </c>
      <c r="P6" s="160">
        <v>37.539</v>
      </c>
      <c r="Q6" s="92"/>
    </row>
    <row r="7" spans="1:17" ht="20.25" customHeight="1">
      <c r="A7" s="366" t="s">
        <v>214</v>
      </c>
      <c r="B7" s="367"/>
      <c r="C7" s="367"/>
      <c r="D7" s="368"/>
      <c r="E7" s="161">
        <v>1.62</v>
      </c>
      <c r="F7" s="161">
        <v>0.69</v>
      </c>
      <c r="G7" s="161">
        <v>1.62</v>
      </c>
      <c r="H7" s="161">
        <v>0.69</v>
      </c>
      <c r="I7" s="161">
        <v>2.454</v>
      </c>
      <c r="J7" s="161">
        <v>1.035</v>
      </c>
      <c r="K7" s="161">
        <v>3.314</v>
      </c>
      <c r="L7" s="161">
        <v>1.378</v>
      </c>
      <c r="M7" s="161">
        <v>3.342</v>
      </c>
      <c r="N7" s="161">
        <v>1.378</v>
      </c>
      <c r="O7" s="161">
        <v>3.342</v>
      </c>
      <c r="P7" s="161">
        <v>1.378</v>
      </c>
      <c r="Q7" s="95"/>
    </row>
    <row r="8" spans="1:17" ht="20.25" customHeight="1">
      <c r="A8" s="299" t="s">
        <v>215</v>
      </c>
      <c r="B8" s="357"/>
      <c r="C8" s="357"/>
      <c r="D8" s="300"/>
      <c r="E8" s="162">
        <f aca="true" t="shared" si="0" ref="E8:P8">SUM(E6:E7)</f>
        <v>41.657999999999994</v>
      </c>
      <c r="F8" s="162">
        <f t="shared" si="0"/>
        <v>37.471</v>
      </c>
      <c r="G8" s="162">
        <f t="shared" si="0"/>
        <v>41.657999999999994</v>
      </c>
      <c r="H8" s="162">
        <f t="shared" si="0"/>
        <v>37.471</v>
      </c>
      <c r="I8" s="162">
        <f t="shared" si="0"/>
        <v>42.976</v>
      </c>
      <c r="J8" s="162">
        <f t="shared" si="0"/>
        <v>38.020999999999994</v>
      </c>
      <c r="K8" s="162">
        <f t="shared" si="0"/>
        <v>44.484</v>
      </c>
      <c r="L8" s="162">
        <f t="shared" si="0"/>
        <v>38.642</v>
      </c>
      <c r="M8" s="162">
        <f t="shared" si="0"/>
        <v>45.162</v>
      </c>
      <c r="N8" s="162">
        <f t="shared" si="0"/>
        <v>38.917</v>
      </c>
      <c r="O8" s="162">
        <f t="shared" si="0"/>
        <v>45.162</v>
      </c>
      <c r="P8" s="162">
        <f t="shared" si="0"/>
        <v>38.917</v>
      </c>
      <c r="Q8" s="97"/>
    </row>
    <row r="9" ht="20.25" customHeight="1"/>
    <row r="10" spans="1:4" ht="20.25" customHeight="1">
      <c r="A10" s="147" t="s">
        <v>216</v>
      </c>
      <c r="B10" s="147"/>
      <c r="C10" s="147"/>
      <c r="D10" s="147"/>
    </row>
    <row r="11" spans="1:17" ht="20.25" customHeight="1">
      <c r="A11" s="358" t="s">
        <v>208</v>
      </c>
      <c r="B11" s="359"/>
      <c r="C11" s="359"/>
      <c r="D11" s="371"/>
      <c r="E11" s="345" t="s">
        <v>209</v>
      </c>
      <c r="F11" s="346"/>
      <c r="G11" s="345" t="s">
        <v>0</v>
      </c>
      <c r="H11" s="346"/>
      <c r="I11" s="345" t="s">
        <v>1</v>
      </c>
      <c r="J11" s="346"/>
      <c r="K11" s="302" t="s">
        <v>2</v>
      </c>
      <c r="L11" s="302"/>
      <c r="M11" s="302" t="s">
        <v>3</v>
      </c>
      <c r="N11" s="302"/>
      <c r="O11" s="302" t="s">
        <v>4</v>
      </c>
      <c r="P11" s="302"/>
      <c r="Q11" s="369" t="s">
        <v>210</v>
      </c>
    </row>
    <row r="12" spans="1:17" ht="20.25" customHeight="1">
      <c r="A12" s="360"/>
      <c r="B12" s="361"/>
      <c r="C12" s="361"/>
      <c r="D12" s="356"/>
      <c r="E12" s="83" t="s">
        <v>211</v>
      </c>
      <c r="F12" s="83" t="s">
        <v>212</v>
      </c>
      <c r="G12" s="83" t="s">
        <v>211</v>
      </c>
      <c r="H12" s="83" t="s">
        <v>212</v>
      </c>
      <c r="I12" s="83" t="s">
        <v>211</v>
      </c>
      <c r="J12" s="83" t="s">
        <v>212</v>
      </c>
      <c r="K12" s="83" t="s">
        <v>211</v>
      </c>
      <c r="L12" s="83" t="s">
        <v>212</v>
      </c>
      <c r="M12" s="83" t="s">
        <v>211</v>
      </c>
      <c r="N12" s="83" t="s">
        <v>212</v>
      </c>
      <c r="O12" s="83" t="s">
        <v>211</v>
      </c>
      <c r="P12" s="83" t="s">
        <v>212</v>
      </c>
      <c r="Q12" s="370"/>
    </row>
    <row r="13" spans="1:17" ht="20.25" customHeight="1">
      <c r="A13" s="364" t="s">
        <v>217</v>
      </c>
      <c r="B13" s="365"/>
      <c r="C13" s="365"/>
      <c r="D13" s="346"/>
      <c r="E13" s="163">
        <v>3.3</v>
      </c>
      <c r="F13" s="163">
        <v>3.35</v>
      </c>
      <c r="G13" s="163">
        <v>3.3</v>
      </c>
      <c r="H13" s="163">
        <v>3.35</v>
      </c>
      <c r="I13" s="163">
        <v>2.8</v>
      </c>
      <c r="J13" s="163">
        <v>3.3</v>
      </c>
      <c r="K13" s="163">
        <v>1.65</v>
      </c>
      <c r="L13" s="163">
        <v>1.65</v>
      </c>
      <c r="M13" s="163">
        <v>1.3</v>
      </c>
      <c r="N13" s="163">
        <v>1.3</v>
      </c>
      <c r="O13" s="163">
        <v>1.3</v>
      </c>
      <c r="P13" s="163">
        <v>1.3</v>
      </c>
      <c r="Q13" s="164"/>
    </row>
    <row r="14" spans="1:17" ht="20.25" customHeight="1">
      <c r="A14" s="366" t="s">
        <v>218</v>
      </c>
      <c r="B14" s="367"/>
      <c r="C14" s="367"/>
      <c r="D14" s="368"/>
      <c r="E14" s="165">
        <v>3</v>
      </c>
      <c r="F14" s="165">
        <v>3.5</v>
      </c>
      <c r="G14" s="165">
        <v>3</v>
      </c>
      <c r="H14" s="165">
        <v>3.5</v>
      </c>
      <c r="I14" s="165">
        <v>2.5</v>
      </c>
      <c r="J14" s="165">
        <v>3</v>
      </c>
      <c r="K14" s="165">
        <v>1.5</v>
      </c>
      <c r="L14" s="165">
        <v>1.5</v>
      </c>
      <c r="M14" s="165">
        <v>1.2</v>
      </c>
      <c r="N14" s="165">
        <v>1.2</v>
      </c>
      <c r="O14" s="165">
        <v>1.2</v>
      </c>
      <c r="P14" s="165">
        <v>1.2</v>
      </c>
      <c r="Q14" s="166"/>
    </row>
    <row r="15" spans="1:17" ht="20.25" customHeight="1">
      <c r="A15" s="366" t="s">
        <v>219</v>
      </c>
      <c r="B15" s="367"/>
      <c r="C15" s="367"/>
      <c r="D15" s="368"/>
      <c r="E15" s="165">
        <f aca="true" t="shared" si="1" ref="E15:P15">ROUND(E6*E$14,3)</f>
        <v>120.114</v>
      </c>
      <c r="F15" s="165">
        <f t="shared" si="1"/>
        <v>128.734</v>
      </c>
      <c r="G15" s="165">
        <f t="shared" si="1"/>
        <v>120.114</v>
      </c>
      <c r="H15" s="165">
        <f t="shared" si="1"/>
        <v>128.734</v>
      </c>
      <c r="I15" s="165">
        <f t="shared" si="1"/>
        <v>101.305</v>
      </c>
      <c r="J15" s="165">
        <f t="shared" si="1"/>
        <v>110.958</v>
      </c>
      <c r="K15" s="165">
        <f t="shared" si="1"/>
        <v>61.755</v>
      </c>
      <c r="L15" s="165">
        <f t="shared" si="1"/>
        <v>55.896</v>
      </c>
      <c r="M15" s="165">
        <f t="shared" si="1"/>
        <v>50.184</v>
      </c>
      <c r="N15" s="165">
        <f t="shared" si="1"/>
        <v>45.047</v>
      </c>
      <c r="O15" s="165">
        <f t="shared" si="1"/>
        <v>50.184</v>
      </c>
      <c r="P15" s="165">
        <f t="shared" si="1"/>
        <v>45.047</v>
      </c>
      <c r="Q15" s="166"/>
    </row>
    <row r="16" spans="1:17" ht="20.25" customHeight="1">
      <c r="A16" s="366" t="s">
        <v>220</v>
      </c>
      <c r="B16" s="367"/>
      <c r="C16" s="367"/>
      <c r="D16" s="368"/>
      <c r="E16" s="165">
        <f aca="true" t="shared" si="2" ref="E16:P16">ROUND(E7*E$14,3)</f>
        <v>4.86</v>
      </c>
      <c r="F16" s="165">
        <f t="shared" si="2"/>
        <v>2.415</v>
      </c>
      <c r="G16" s="165">
        <f t="shared" si="2"/>
        <v>4.86</v>
      </c>
      <c r="H16" s="165">
        <f t="shared" si="2"/>
        <v>2.415</v>
      </c>
      <c r="I16" s="165">
        <f t="shared" si="2"/>
        <v>6.135</v>
      </c>
      <c r="J16" s="165">
        <f t="shared" si="2"/>
        <v>3.105</v>
      </c>
      <c r="K16" s="165">
        <f t="shared" si="2"/>
        <v>4.971</v>
      </c>
      <c r="L16" s="165">
        <f t="shared" si="2"/>
        <v>2.067</v>
      </c>
      <c r="M16" s="165">
        <f t="shared" si="2"/>
        <v>4.01</v>
      </c>
      <c r="N16" s="165">
        <f t="shared" si="2"/>
        <v>1.654</v>
      </c>
      <c r="O16" s="165">
        <f t="shared" si="2"/>
        <v>4.01</v>
      </c>
      <c r="P16" s="165">
        <f t="shared" si="2"/>
        <v>1.654</v>
      </c>
      <c r="Q16" s="166"/>
    </row>
    <row r="17" spans="1:17" ht="20.25" customHeight="1">
      <c r="A17" s="299" t="s">
        <v>215</v>
      </c>
      <c r="B17" s="357"/>
      <c r="C17" s="357"/>
      <c r="D17" s="300"/>
      <c r="E17" s="167">
        <f aca="true" t="shared" si="3" ref="E17:P17">ROUND(E8*E$14,3)</f>
        <v>124.974</v>
      </c>
      <c r="F17" s="167">
        <f t="shared" si="3"/>
        <v>131.149</v>
      </c>
      <c r="G17" s="167">
        <f t="shared" si="3"/>
        <v>124.974</v>
      </c>
      <c r="H17" s="167">
        <f t="shared" si="3"/>
        <v>131.149</v>
      </c>
      <c r="I17" s="167">
        <f t="shared" si="3"/>
        <v>107.44</v>
      </c>
      <c r="J17" s="167">
        <f t="shared" si="3"/>
        <v>114.063</v>
      </c>
      <c r="K17" s="167">
        <f t="shared" si="3"/>
        <v>66.726</v>
      </c>
      <c r="L17" s="167">
        <f t="shared" si="3"/>
        <v>57.963</v>
      </c>
      <c r="M17" s="167">
        <f t="shared" si="3"/>
        <v>54.194</v>
      </c>
      <c r="N17" s="167">
        <f t="shared" si="3"/>
        <v>46.7</v>
      </c>
      <c r="O17" s="167">
        <f t="shared" si="3"/>
        <v>54.194</v>
      </c>
      <c r="P17" s="167">
        <f t="shared" si="3"/>
        <v>46.7</v>
      </c>
      <c r="Q17" s="168"/>
    </row>
    <row r="18" spans="1:17" ht="20.25" customHeight="1">
      <c r="A18" s="186"/>
      <c r="B18" s="187"/>
      <c r="C18" s="187"/>
      <c r="D18" s="187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0" ht="18" customHeight="1">
      <c r="A19" s="147" t="s">
        <v>221</v>
      </c>
      <c r="E19" s="150"/>
      <c r="J19" s="150"/>
    </row>
    <row r="20" spans="1:17" s="148" customFormat="1" ht="20.25" customHeight="1">
      <c r="A20" s="358" t="s">
        <v>222</v>
      </c>
      <c r="B20" s="359"/>
      <c r="C20" s="362" t="s">
        <v>223</v>
      </c>
      <c r="D20" s="355" t="s">
        <v>224</v>
      </c>
      <c r="E20" s="345" t="s">
        <v>209</v>
      </c>
      <c r="F20" s="346"/>
      <c r="G20" s="345" t="s">
        <v>0</v>
      </c>
      <c r="H20" s="346"/>
      <c r="I20" s="345" t="s">
        <v>1</v>
      </c>
      <c r="J20" s="346"/>
      <c r="K20" s="302" t="s">
        <v>2</v>
      </c>
      <c r="L20" s="302"/>
      <c r="M20" s="302" t="s">
        <v>3</v>
      </c>
      <c r="N20" s="302"/>
      <c r="O20" s="302" t="s">
        <v>4</v>
      </c>
      <c r="P20" s="302"/>
      <c r="Q20" s="369" t="s">
        <v>210</v>
      </c>
    </row>
    <row r="21" spans="1:17" s="148" customFormat="1" ht="20.25" customHeight="1">
      <c r="A21" s="360"/>
      <c r="B21" s="361"/>
      <c r="C21" s="361"/>
      <c r="D21" s="356"/>
      <c r="E21" s="83" t="s">
        <v>211</v>
      </c>
      <c r="F21" s="83" t="s">
        <v>212</v>
      </c>
      <c r="G21" s="83" t="s">
        <v>211</v>
      </c>
      <c r="H21" s="83" t="s">
        <v>212</v>
      </c>
      <c r="I21" s="83" t="s">
        <v>211</v>
      </c>
      <c r="J21" s="83" t="s">
        <v>212</v>
      </c>
      <c r="K21" s="83" t="s">
        <v>211</v>
      </c>
      <c r="L21" s="83" t="s">
        <v>212</v>
      </c>
      <c r="M21" s="83" t="s">
        <v>211</v>
      </c>
      <c r="N21" s="83" t="s">
        <v>212</v>
      </c>
      <c r="O21" s="83" t="s">
        <v>211</v>
      </c>
      <c r="P21" s="83" t="s">
        <v>212</v>
      </c>
      <c r="Q21" s="370"/>
    </row>
    <row r="22" spans="1:17" ht="20.25" customHeight="1">
      <c r="A22" s="307" t="s">
        <v>225</v>
      </c>
      <c r="B22" s="302"/>
      <c r="C22" s="88" t="s">
        <v>226</v>
      </c>
      <c r="D22" s="149"/>
      <c r="E22" s="169">
        <v>360</v>
      </c>
      <c r="F22" s="169">
        <v>360</v>
      </c>
      <c r="G22" s="169">
        <v>440</v>
      </c>
      <c r="H22" s="169">
        <v>440</v>
      </c>
      <c r="I22" s="169">
        <v>240</v>
      </c>
      <c r="J22" s="169">
        <v>240</v>
      </c>
      <c r="K22" s="169">
        <v>80</v>
      </c>
      <c r="L22" s="169">
        <v>80</v>
      </c>
      <c r="M22" s="169">
        <v>40</v>
      </c>
      <c r="N22" s="169">
        <v>40</v>
      </c>
      <c r="O22" s="169">
        <v>80</v>
      </c>
      <c r="P22" s="169">
        <v>80</v>
      </c>
      <c r="Q22" s="176"/>
    </row>
    <row r="23" spans="1:17" ht="20.25" customHeight="1">
      <c r="A23" s="301" t="s">
        <v>227</v>
      </c>
      <c r="B23" s="353"/>
      <c r="C23" s="94" t="s">
        <v>226</v>
      </c>
      <c r="D23" s="93"/>
      <c r="E23" s="173">
        <v>3</v>
      </c>
      <c r="F23" s="173">
        <f>F14</f>
        <v>3.5</v>
      </c>
      <c r="G23" s="173">
        <v>3</v>
      </c>
      <c r="H23" s="173">
        <f>H14</f>
        <v>3.5</v>
      </c>
      <c r="I23" s="173">
        <v>2.5</v>
      </c>
      <c r="J23" s="173">
        <f>J14</f>
        <v>3</v>
      </c>
      <c r="K23" s="173">
        <v>1.5</v>
      </c>
      <c r="L23" s="173">
        <v>1.5</v>
      </c>
      <c r="M23" s="173">
        <v>1.2</v>
      </c>
      <c r="N23" s="173">
        <v>1.2</v>
      </c>
      <c r="O23" s="173">
        <v>1.2</v>
      </c>
      <c r="P23" s="173">
        <v>1.2</v>
      </c>
      <c r="Q23" s="178"/>
    </row>
    <row r="24" spans="1:17" ht="20.25" customHeight="1">
      <c r="A24" s="301" t="s">
        <v>228</v>
      </c>
      <c r="B24" s="353"/>
      <c r="C24" s="94" t="s">
        <v>226</v>
      </c>
      <c r="D24" s="93"/>
      <c r="E24" s="174">
        <v>3.3</v>
      </c>
      <c r="F24" s="174">
        <f>F13</f>
        <v>3.35</v>
      </c>
      <c r="G24" s="174">
        <v>3.3</v>
      </c>
      <c r="H24" s="174">
        <f>H13</f>
        <v>3.35</v>
      </c>
      <c r="I24" s="174">
        <v>2.8</v>
      </c>
      <c r="J24" s="174">
        <f>J13</f>
        <v>3.3</v>
      </c>
      <c r="K24" s="174">
        <v>1.65</v>
      </c>
      <c r="L24" s="174">
        <v>1.65</v>
      </c>
      <c r="M24" s="174">
        <v>1.3</v>
      </c>
      <c r="N24" s="174">
        <v>1.3</v>
      </c>
      <c r="O24" s="174">
        <v>1.3</v>
      </c>
      <c r="P24" s="174">
        <v>1.3</v>
      </c>
      <c r="Q24" s="178"/>
    </row>
    <row r="25" spans="1:17" ht="20.25" customHeight="1">
      <c r="A25" s="301" t="s">
        <v>229</v>
      </c>
      <c r="B25" s="353"/>
      <c r="C25" s="85" t="s">
        <v>230</v>
      </c>
      <c r="D25" s="93"/>
      <c r="E25" s="170">
        <f aca="true" t="shared" si="4" ref="E25:P25">ROUND(E22/E23,0)</f>
        <v>120</v>
      </c>
      <c r="F25" s="170">
        <f t="shared" si="4"/>
        <v>103</v>
      </c>
      <c r="G25" s="170">
        <f t="shared" si="4"/>
        <v>147</v>
      </c>
      <c r="H25" s="170">
        <f t="shared" si="4"/>
        <v>126</v>
      </c>
      <c r="I25" s="170">
        <f t="shared" si="4"/>
        <v>96</v>
      </c>
      <c r="J25" s="170">
        <f t="shared" si="4"/>
        <v>80</v>
      </c>
      <c r="K25" s="170">
        <f t="shared" si="4"/>
        <v>53</v>
      </c>
      <c r="L25" s="170">
        <f t="shared" si="4"/>
        <v>53</v>
      </c>
      <c r="M25" s="170">
        <f t="shared" si="4"/>
        <v>33</v>
      </c>
      <c r="N25" s="170">
        <f t="shared" si="4"/>
        <v>33</v>
      </c>
      <c r="O25" s="170">
        <f t="shared" si="4"/>
        <v>67</v>
      </c>
      <c r="P25" s="170">
        <f t="shared" si="4"/>
        <v>67</v>
      </c>
      <c r="Q25" s="178">
        <f>SUM(E25:P25)</f>
        <v>978</v>
      </c>
    </row>
    <row r="26" spans="1:17" ht="20.25" customHeight="1">
      <c r="A26" s="354" t="s">
        <v>231</v>
      </c>
      <c r="B26" s="353"/>
      <c r="C26" s="352" t="s">
        <v>232</v>
      </c>
      <c r="D26" s="94" t="s">
        <v>233</v>
      </c>
      <c r="E26" s="170">
        <v>93</v>
      </c>
      <c r="F26" s="170">
        <v>64</v>
      </c>
      <c r="G26" s="170">
        <v>93</v>
      </c>
      <c r="H26" s="170">
        <v>64</v>
      </c>
      <c r="I26" s="170">
        <v>93</v>
      </c>
      <c r="J26" s="170">
        <v>64</v>
      </c>
      <c r="K26" s="170">
        <v>92</v>
      </c>
      <c r="L26" s="170">
        <v>63</v>
      </c>
      <c r="M26" s="170">
        <v>92</v>
      </c>
      <c r="N26" s="170">
        <v>63</v>
      </c>
      <c r="O26" s="170">
        <v>92</v>
      </c>
      <c r="P26" s="170">
        <v>63</v>
      </c>
      <c r="Q26" s="178"/>
    </row>
    <row r="27" spans="1:17" ht="20.25" customHeight="1">
      <c r="A27" s="301"/>
      <c r="B27" s="353"/>
      <c r="C27" s="353"/>
      <c r="D27" s="85" t="s">
        <v>234</v>
      </c>
      <c r="E27" s="170">
        <f aca="true" t="shared" si="5" ref="E27:P27">ROUND(E$25*E26,0)</f>
        <v>11160</v>
      </c>
      <c r="F27" s="170">
        <f t="shared" si="5"/>
        <v>6592</v>
      </c>
      <c r="G27" s="170">
        <f t="shared" si="5"/>
        <v>13671</v>
      </c>
      <c r="H27" s="170">
        <f t="shared" si="5"/>
        <v>8064</v>
      </c>
      <c r="I27" s="170">
        <f t="shared" si="5"/>
        <v>8928</v>
      </c>
      <c r="J27" s="170">
        <f t="shared" si="5"/>
        <v>5120</v>
      </c>
      <c r="K27" s="170">
        <f t="shared" si="5"/>
        <v>4876</v>
      </c>
      <c r="L27" s="170">
        <f t="shared" si="5"/>
        <v>3339</v>
      </c>
      <c r="M27" s="170">
        <f t="shared" si="5"/>
        <v>3036</v>
      </c>
      <c r="N27" s="170">
        <f t="shared" si="5"/>
        <v>2079</v>
      </c>
      <c r="O27" s="170">
        <f t="shared" si="5"/>
        <v>6164</v>
      </c>
      <c r="P27" s="170">
        <f t="shared" si="5"/>
        <v>4221</v>
      </c>
      <c r="Q27" s="178"/>
    </row>
    <row r="28" spans="1:17" ht="20.25" customHeight="1">
      <c r="A28" s="354" t="s">
        <v>235</v>
      </c>
      <c r="B28" s="353"/>
      <c r="C28" s="353" t="s">
        <v>226</v>
      </c>
      <c r="D28" s="94" t="s">
        <v>233</v>
      </c>
      <c r="E28" s="174">
        <f aca="true" t="shared" si="6" ref="E28:K28">E24*E26</f>
        <v>306.9</v>
      </c>
      <c r="F28" s="174">
        <f t="shared" si="6"/>
        <v>214.4</v>
      </c>
      <c r="G28" s="174">
        <f t="shared" si="6"/>
        <v>306.9</v>
      </c>
      <c r="H28" s="174">
        <f t="shared" si="6"/>
        <v>214.4</v>
      </c>
      <c r="I28" s="174">
        <f t="shared" si="6"/>
        <v>260.4</v>
      </c>
      <c r="J28" s="174">
        <f t="shared" si="6"/>
        <v>211.2</v>
      </c>
      <c r="K28" s="174">
        <f t="shared" si="6"/>
        <v>151.79999999999998</v>
      </c>
      <c r="L28" s="174">
        <v>103.95</v>
      </c>
      <c r="M28" s="174">
        <v>119.6</v>
      </c>
      <c r="N28" s="174">
        <v>81.9</v>
      </c>
      <c r="O28" s="174">
        <v>119.6</v>
      </c>
      <c r="P28" s="174">
        <v>81.9</v>
      </c>
      <c r="Q28" s="178"/>
    </row>
    <row r="29" spans="1:17" ht="20.25" customHeight="1">
      <c r="A29" s="301"/>
      <c r="B29" s="353"/>
      <c r="C29" s="353"/>
      <c r="D29" s="85" t="s">
        <v>234</v>
      </c>
      <c r="E29" s="174">
        <f aca="true" t="shared" si="7" ref="E29:P29">ROUND(E$25*E28,3)</f>
        <v>36828</v>
      </c>
      <c r="F29" s="174">
        <f t="shared" si="7"/>
        <v>22083.2</v>
      </c>
      <c r="G29" s="174">
        <f t="shared" si="7"/>
        <v>45114.3</v>
      </c>
      <c r="H29" s="174">
        <f t="shared" si="7"/>
        <v>27014.4</v>
      </c>
      <c r="I29" s="174">
        <f t="shared" si="7"/>
        <v>24998.4</v>
      </c>
      <c r="J29" s="174">
        <f t="shared" si="7"/>
        <v>16896</v>
      </c>
      <c r="K29" s="174">
        <f t="shared" si="7"/>
        <v>8045.4</v>
      </c>
      <c r="L29" s="174">
        <f t="shared" si="7"/>
        <v>5509.35</v>
      </c>
      <c r="M29" s="174">
        <f t="shared" si="7"/>
        <v>3946.8</v>
      </c>
      <c r="N29" s="174">
        <f t="shared" si="7"/>
        <v>2702.7</v>
      </c>
      <c r="O29" s="174">
        <f t="shared" si="7"/>
        <v>8013.2</v>
      </c>
      <c r="P29" s="174">
        <f t="shared" si="7"/>
        <v>5487.3</v>
      </c>
      <c r="Q29" s="178"/>
    </row>
    <row r="30" spans="1:18" ht="20.25" customHeight="1">
      <c r="A30" s="349" t="s">
        <v>236</v>
      </c>
      <c r="B30" s="353" t="s">
        <v>237</v>
      </c>
      <c r="C30" s="353" t="s">
        <v>238</v>
      </c>
      <c r="D30" s="94" t="s">
        <v>233</v>
      </c>
      <c r="E30" s="177">
        <v>132.75</v>
      </c>
      <c r="F30" s="177">
        <f>235*0.375</f>
        <v>88.125</v>
      </c>
      <c r="G30" s="177">
        <v>132.75</v>
      </c>
      <c r="H30" s="177">
        <f>235*0.375</f>
        <v>88.125</v>
      </c>
      <c r="I30" s="177">
        <v>132.75</v>
      </c>
      <c r="J30" s="177">
        <f>235*0.375</f>
        <v>88.125</v>
      </c>
      <c r="K30" s="177">
        <v>72.375</v>
      </c>
      <c r="L30" s="177">
        <v>64.688</v>
      </c>
      <c r="M30" s="177">
        <v>58.5</v>
      </c>
      <c r="N30" s="177">
        <v>47.063</v>
      </c>
      <c r="O30" s="177">
        <v>58.5</v>
      </c>
      <c r="P30" s="177">
        <v>47.063</v>
      </c>
      <c r="Q30" s="178"/>
      <c r="R30" s="150">
        <f>SUM(R31:R41)</f>
        <v>448806363.12000006</v>
      </c>
    </row>
    <row r="31" spans="1:18" ht="20.25" customHeight="1">
      <c r="A31" s="350"/>
      <c r="B31" s="353"/>
      <c r="C31" s="353"/>
      <c r="D31" s="85" t="s">
        <v>234</v>
      </c>
      <c r="E31" s="177">
        <f aca="true" t="shared" si="8" ref="E31:P31">ROUND(E$25*E30,3)</f>
        <v>15930</v>
      </c>
      <c r="F31" s="177">
        <f t="shared" si="8"/>
        <v>9076.875</v>
      </c>
      <c r="G31" s="177">
        <f t="shared" si="8"/>
        <v>19514.25</v>
      </c>
      <c r="H31" s="177">
        <f t="shared" si="8"/>
        <v>11103.75</v>
      </c>
      <c r="I31" s="177">
        <f t="shared" si="8"/>
        <v>12744</v>
      </c>
      <c r="J31" s="177">
        <f t="shared" si="8"/>
        <v>7050</v>
      </c>
      <c r="K31" s="177">
        <f t="shared" si="8"/>
        <v>3835.875</v>
      </c>
      <c r="L31" s="177">
        <f t="shared" si="8"/>
        <v>3428.464</v>
      </c>
      <c r="M31" s="177">
        <f t="shared" si="8"/>
        <v>1930.5</v>
      </c>
      <c r="N31" s="177">
        <f t="shared" si="8"/>
        <v>1553.079</v>
      </c>
      <c r="O31" s="177">
        <f t="shared" si="8"/>
        <v>3919.5</v>
      </c>
      <c r="P31" s="177">
        <f t="shared" si="8"/>
        <v>3153.221</v>
      </c>
      <c r="Q31" s="178">
        <f>SUM(E31:P31)</f>
        <v>93239.51400000001</v>
      </c>
      <c r="R31" s="150">
        <f>Q31/22.5*56800</f>
        <v>235377973.12000006</v>
      </c>
    </row>
    <row r="32" spans="1:18" ht="20.25" customHeight="1">
      <c r="A32" s="350"/>
      <c r="B32" s="353" t="s">
        <v>239</v>
      </c>
      <c r="C32" s="353" t="s">
        <v>238</v>
      </c>
      <c r="D32" s="94" t="s">
        <v>233</v>
      </c>
      <c r="E32" s="177">
        <v>16.359</v>
      </c>
      <c r="F32" s="177">
        <v>7.55</v>
      </c>
      <c r="G32" s="177">
        <v>16.359</v>
      </c>
      <c r="H32" s="177">
        <v>7.55</v>
      </c>
      <c r="I32" s="177">
        <v>16.359</v>
      </c>
      <c r="J32" s="177">
        <v>7.55</v>
      </c>
      <c r="K32" s="177">
        <v>9.142</v>
      </c>
      <c r="L32" s="177">
        <v>4.219</v>
      </c>
      <c r="M32" s="177">
        <v>4.571</v>
      </c>
      <c r="N32" s="177">
        <v>2.11</v>
      </c>
      <c r="O32" s="177">
        <v>4.571</v>
      </c>
      <c r="P32" s="177">
        <v>2.11</v>
      </c>
      <c r="Q32" s="178"/>
      <c r="R32" s="150"/>
    </row>
    <row r="33" spans="1:18" ht="20.25" customHeight="1">
      <c r="A33" s="350"/>
      <c r="B33" s="353"/>
      <c r="C33" s="353"/>
      <c r="D33" s="85" t="s">
        <v>234</v>
      </c>
      <c r="E33" s="177">
        <f aca="true" t="shared" si="9" ref="E33:P33">ROUND(E$25*E32,3)</f>
        <v>1963.08</v>
      </c>
      <c r="F33" s="177">
        <f>ROUND(F$25*F32,3)</f>
        <v>777.65</v>
      </c>
      <c r="G33" s="177">
        <f>ROUND(G$25*G32,3)</f>
        <v>2404.773</v>
      </c>
      <c r="H33" s="177">
        <f>ROUND(H$25*H32,3)</f>
        <v>951.3</v>
      </c>
      <c r="I33" s="177">
        <f>ROUND(I$25*I32,3)</f>
        <v>1570.464</v>
      </c>
      <c r="J33" s="177">
        <f>ROUND(J$25*J32,3)</f>
        <v>604</v>
      </c>
      <c r="K33" s="177">
        <f t="shared" si="9"/>
        <v>484.526</v>
      </c>
      <c r="L33" s="177">
        <f t="shared" si="9"/>
        <v>223.607</v>
      </c>
      <c r="M33" s="177">
        <f t="shared" si="9"/>
        <v>150.843</v>
      </c>
      <c r="N33" s="177">
        <f t="shared" si="9"/>
        <v>69.63</v>
      </c>
      <c r="O33" s="177">
        <f t="shared" si="9"/>
        <v>306.257</v>
      </c>
      <c r="P33" s="177">
        <f t="shared" si="9"/>
        <v>141.37</v>
      </c>
      <c r="Q33" s="178">
        <f>SUM(E33:P33)</f>
        <v>9647.5</v>
      </c>
      <c r="R33" s="150">
        <f>Q33/25*125000</f>
        <v>48237500</v>
      </c>
    </row>
    <row r="34" spans="1:18" ht="20.25" customHeight="1">
      <c r="A34" s="350"/>
      <c r="B34" s="353" t="s">
        <v>240</v>
      </c>
      <c r="C34" s="353" t="s">
        <v>238</v>
      </c>
      <c r="D34" s="94" t="s">
        <v>233</v>
      </c>
      <c r="E34" s="174">
        <v>21.95</v>
      </c>
      <c r="F34" s="174">
        <v>7.09</v>
      </c>
      <c r="G34" s="174">
        <v>21.95</v>
      </c>
      <c r="H34" s="174">
        <v>7.09</v>
      </c>
      <c r="I34" s="174">
        <v>21.95</v>
      </c>
      <c r="J34" s="174">
        <v>7.09</v>
      </c>
      <c r="K34" s="174">
        <v>6.82</v>
      </c>
      <c r="L34" s="174">
        <v>2.2</v>
      </c>
      <c r="M34" s="174">
        <v>6.82</v>
      </c>
      <c r="N34" s="174">
        <v>2.2</v>
      </c>
      <c r="O34" s="174">
        <v>6.82</v>
      </c>
      <c r="P34" s="174">
        <v>2.2</v>
      </c>
      <c r="Q34" s="178"/>
      <c r="R34" s="150"/>
    </row>
    <row r="35" spans="1:18" ht="20.25" customHeight="1">
      <c r="A35" s="350"/>
      <c r="B35" s="353"/>
      <c r="C35" s="353"/>
      <c r="D35" s="85" t="s">
        <v>234</v>
      </c>
      <c r="E35" s="177">
        <f aca="true" t="shared" si="10" ref="E35:P35">ROUND(E$25*E34,3)</f>
        <v>2634</v>
      </c>
      <c r="F35" s="177">
        <f t="shared" si="10"/>
        <v>730.27</v>
      </c>
      <c r="G35" s="177">
        <f t="shared" si="10"/>
        <v>3226.65</v>
      </c>
      <c r="H35" s="177">
        <f t="shared" si="10"/>
        <v>893.34</v>
      </c>
      <c r="I35" s="177">
        <f t="shared" si="10"/>
        <v>2107.2</v>
      </c>
      <c r="J35" s="177">
        <f t="shared" si="10"/>
        <v>567.2</v>
      </c>
      <c r="K35" s="177">
        <f t="shared" si="10"/>
        <v>361.46</v>
      </c>
      <c r="L35" s="177">
        <f t="shared" si="10"/>
        <v>116.6</v>
      </c>
      <c r="M35" s="177">
        <f t="shared" si="10"/>
        <v>225.06</v>
      </c>
      <c r="N35" s="177">
        <f t="shared" si="10"/>
        <v>72.6</v>
      </c>
      <c r="O35" s="177">
        <f t="shared" si="10"/>
        <v>456.94</v>
      </c>
      <c r="P35" s="177">
        <f t="shared" si="10"/>
        <v>147.4</v>
      </c>
      <c r="Q35" s="178">
        <f>SUM(E35:P35)</f>
        <v>11538.72</v>
      </c>
      <c r="R35" s="150">
        <f>Q35/25*125000</f>
        <v>57693600</v>
      </c>
    </row>
    <row r="36" spans="1:18" ht="20.25" customHeight="1">
      <c r="A36" s="350"/>
      <c r="B36" s="353" t="s">
        <v>241</v>
      </c>
      <c r="C36" s="353" t="s">
        <v>238</v>
      </c>
      <c r="D36" s="94" t="s">
        <v>233</v>
      </c>
      <c r="E36" s="177">
        <f aca="true" t="shared" si="11" ref="E36:P36">SUM(E30,E32,E34)</f>
        <v>171.059</v>
      </c>
      <c r="F36" s="177">
        <f t="shared" si="11"/>
        <v>102.765</v>
      </c>
      <c r="G36" s="177">
        <f t="shared" si="11"/>
        <v>171.059</v>
      </c>
      <c r="H36" s="177">
        <f t="shared" si="11"/>
        <v>102.765</v>
      </c>
      <c r="I36" s="177">
        <f t="shared" si="11"/>
        <v>171.059</v>
      </c>
      <c r="J36" s="177">
        <f t="shared" si="11"/>
        <v>102.765</v>
      </c>
      <c r="K36" s="177">
        <f t="shared" si="11"/>
        <v>88.33699999999999</v>
      </c>
      <c r="L36" s="177">
        <f t="shared" si="11"/>
        <v>71.107</v>
      </c>
      <c r="M36" s="177">
        <f t="shared" si="11"/>
        <v>69.89099999999999</v>
      </c>
      <c r="N36" s="177">
        <f t="shared" si="11"/>
        <v>51.373000000000005</v>
      </c>
      <c r="O36" s="177">
        <f t="shared" si="11"/>
        <v>69.89099999999999</v>
      </c>
      <c r="P36" s="177">
        <f t="shared" si="11"/>
        <v>51.373000000000005</v>
      </c>
      <c r="Q36" s="178"/>
      <c r="R36" s="150"/>
    </row>
    <row r="37" spans="1:18" ht="20.25" customHeight="1">
      <c r="A37" s="350"/>
      <c r="B37" s="353"/>
      <c r="C37" s="353"/>
      <c r="D37" s="85" t="s">
        <v>234</v>
      </c>
      <c r="E37" s="177">
        <f aca="true" t="shared" si="12" ref="E37:P37">ROUND(E$25*E36,3)</f>
        <v>20527.08</v>
      </c>
      <c r="F37" s="177">
        <f>ROUND(F$25*F36,3)</f>
        <v>10584.795</v>
      </c>
      <c r="G37" s="177">
        <f>ROUND(G$25*G36,3)</f>
        <v>25145.673</v>
      </c>
      <c r="H37" s="177">
        <f>ROUND(H$25*H36,3)</f>
        <v>12948.39</v>
      </c>
      <c r="I37" s="177">
        <f>ROUND(I$25*I36,3)</f>
        <v>16421.664</v>
      </c>
      <c r="J37" s="177">
        <f>ROUND(J$25*J36,3)</f>
        <v>8221.2</v>
      </c>
      <c r="K37" s="177">
        <f t="shared" si="12"/>
        <v>4681.861</v>
      </c>
      <c r="L37" s="177">
        <f t="shared" si="12"/>
        <v>3768.671</v>
      </c>
      <c r="M37" s="177">
        <f t="shared" si="12"/>
        <v>2306.403</v>
      </c>
      <c r="N37" s="177">
        <f t="shared" si="12"/>
        <v>1695.309</v>
      </c>
      <c r="O37" s="177">
        <f t="shared" si="12"/>
        <v>4682.697</v>
      </c>
      <c r="P37" s="177">
        <f t="shared" si="12"/>
        <v>3441.991</v>
      </c>
      <c r="Q37" s="178">
        <f>SUM(E37:P37)</f>
        <v>114425.734</v>
      </c>
      <c r="R37" s="150"/>
    </row>
    <row r="38" spans="1:18" ht="20.25" customHeight="1">
      <c r="A38" s="349" t="s">
        <v>242</v>
      </c>
      <c r="B38" s="353" t="s">
        <v>243</v>
      </c>
      <c r="C38" s="353" t="s">
        <v>244</v>
      </c>
      <c r="D38" s="94" t="s">
        <v>233</v>
      </c>
      <c r="E38" s="170">
        <v>32</v>
      </c>
      <c r="F38" s="170">
        <v>21</v>
      </c>
      <c r="G38" s="170">
        <v>32</v>
      </c>
      <c r="H38" s="170">
        <v>21</v>
      </c>
      <c r="I38" s="170">
        <v>32</v>
      </c>
      <c r="J38" s="170">
        <v>21</v>
      </c>
      <c r="K38" s="170">
        <v>32</v>
      </c>
      <c r="L38" s="170"/>
      <c r="M38" s="170">
        <v>32</v>
      </c>
      <c r="N38" s="170"/>
      <c r="O38" s="170">
        <v>32</v>
      </c>
      <c r="P38" s="170"/>
      <c r="Q38" s="171"/>
      <c r="R38" s="150"/>
    </row>
    <row r="39" spans="1:18" ht="20.25" customHeight="1">
      <c r="A39" s="350"/>
      <c r="B39" s="353"/>
      <c r="C39" s="353"/>
      <c r="D39" s="85" t="s">
        <v>234</v>
      </c>
      <c r="E39" s="177">
        <f aca="true" t="shared" si="13" ref="E39:P39">ROUND(E$25*E38,3)</f>
        <v>3840</v>
      </c>
      <c r="F39" s="177">
        <f>ROUND(F$25*F38,3)</f>
        <v>2163</v>
      </c>
      <c r="G39" s="177">
        <f>ROUND(G$25*G38,3)</f>
        <v>4704</v>
      </c>
      <c r="H39" s="177">
        <f>ROUND(H$25*H38,3)</f>
        <v>2646</v>
      </c>
      <c r="I39" s="177">
        <f>ROUND(I$25*I38,3)</f>
        <v>3072</v>
      </c>
      <c r="J39" s="177">
        <f>ROUND(J$25*J38,3)</f>
        <v>1680</v>
      </c>
      <c r="K39" s="177">
        <f t="shared" si="13"/>
        <v>1696</v>
      </c>
      <c r="L39" s="177">
        <f t="shared" si="13"/>
        <v>0</v>
      </c>
      <c r="M39" s="177">
        <f t="shared" si="13"/>
        <v>1056</v>
      </c>
      <c r="N39" s="177">
        <f t="shared" si="13"/>
        <v>0</v>
      </c>
      <c r="O39" s="177">
        <f t="shared" si="13"/>
        <v>2144</v>
      </c>
      <c r="P39" s="177">
        <f t="shared" si="13"/>
        <v>0</v>
      </c>
      <c r="Q39" s="178">
        <f>SUM(E39:P39)</f>
        <v>23001</v>
      </c>
      <c r="R39" s="150">
        <f>Q39*1700</f>
        <v>39101700</v>
      </c>
    </row>
    <row r="40" spans="1:18" ht="20.25" customHeight="1">
      <c r="A40" s="350"/>
      <c r="B40" s="353" t="s">
        <v>245</v>
      </c>
      <c r="C40" s="353" t="s">
        <v>244</v>
      </c>
      <c r="D40" s="94" t="s">
        <v>233</v>
      </c>
      <c r="E40" s="170">
        <v>33</v>
      </c>
      <c r="F40" s="170">
        <v>45</v>
      </c>
      <c r="G40" s="170">
        <v>33</v>
      </c>
      <c r="H40" s="170">
        <v>45</v>
      </c>
      <c r="I40" s="170">
        <v>33</v>
      </c>
      <c r="J40" s="170">
        <v>45</v>
      </c>
      <c r="K40" s="170">
        <v>60</v>
      </c>
      <c r="L40" s="170">
        <v>63</v>
      </c>
      <c r="M40" s="170">
        <v>60</v>
      </c>
      <c r="N40" s="170">
        <v>63</v>
      </c>
      <c r="O40" s="170">
        <v>60</v>
      </c>
      <c r="P40" s="170">
        <v>63</v>
      </c>
      <c r="Q40" s="178"/>
      <c r="R40" s="150"/>
    </row>
    <row r="41" spans="1:18" ht="20.25" customHeight="1">
      <c r="A41" s="351"/>
      <c r="B41" s="303"/>
      <c r="C41" s="303"/>
      <c r="D41" s="83" t="s">
        <v>234</v>
      </c>
      <c r="E41" s="179">
        <f aca="true" t="shared" si="14" ref="E41:P41">ROUND(E$25*E40,3)</f>
        <v>3960</v>
      </c>
      <c r="F41" s="179">
        <f>ROUND(F$25*F40,3)</f>
        <v>4635</v>
      </c>
      <c r="G41" s="179">
        <f>ROUND(G$25*G40,3)</f>
        <v>4851</v>
      </c>
      <c r="H41" s="179">
        <f>ROUND(H$25*H40,3)</f>
        <v>5670</v>
      </c>
      <c r="I41" s="179">
        <f>ROUND(I$25*I40,3)</f>
        <v>3168</v>
      </c>
      <c r="J41" s="179">
        <f>ROUND(J$25*J40,3)</f>
        <v>3600</v>
      </c>
      <c r="K41" s="179">
        <f t="shared" si="14"/>
        <v>3180</v>
      </c>
      <c r="L41" s="179">
        <f t="shared" si="14"/>
        <v>3339</v>
      </c>
      <c r="M41" s="179">
        <f t="shared" si="14"/>
        <v>1980</v>
      </c>
      <c r="N41" s="179">
        <f t="shared" si="14"/>
        <v>2079</v>
      </c>
      <c r="O41" s="179">
        <f t="shared" si="14"/>
        <v>4020</v>
      </c>
      <c r="P41" s="179">
        <f t="shared" si="14"/>
        <v>4221</v>
      </c>
      <c r="Q41" s="180">
        <f>SUM(E41:P41)</f>
        <v>44703</v>
      </c>
      <c r="R41" s="150">
        <f>Q41*1530</f>
        <v>68395590</v>
      </c>
    </row>
    <row r="42" spans="1:18" ht="20.25" customHeight="1">
      <c r="A42" s="215"/>
      <c r="B42" s="187"/>
      <c r="C42" s="187"/>
      <c r="D42" s="18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150"/>
    </row>
    <row r="43" spans="1:18" ht="20.25" customHeight="1">
      <c r="A43" s="215"/>
      <c r="B43" s="187"/>
      <c r="C43" s="187"/>
      <c r="D43" s="18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150"/>
    </row>
    <row r="44" spans="1:17" ht="18" customHeight="1">
      <c r="A44" s="147" t="s">
        <v>246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s="148" customFormat="1" ht="20.25" customHeight="1">
      <c r="A45" s="358" t="s">
        <v>222</v>
      </c>
      <c r="B45" s="359"/>
      <c r="C45" s="362" t="s">
        <v>223</v>
      </c>
      <c r="D45" s="355" t="s">
        <v>224</v>
      </c>
      <c r="E45" s="347" t="s">
        <v>209</v>
      </c>
      <c r="F45" s="348"/>
      <c r="G45" s="347" t="s">
        <v>0</v>
      </c>
      <c r="H45" s="348"/>
      <c r="I45" s="347" t="s">
        <v>1</v>
      </c>
      <c r="J45" s="348"/>
      <c r="K45" s="363" t="s">
        <v>2</v>
      </c>
      <c r="L45" s="363"/>
      <c r="M45" s="363" t="s">
        <v>3</v>
      </c>
      <c r="N45" s="363"/>
      <c r="O45" s="363" t="s">
        <v>4</v>
      </c>
      <c r="P45" s="363"/>
      <c r="Q45" s="372" t="s">
        <v>210</v>
      </c>
    </row>
    <row r="46" spans="1:17" s="148" customFormat="1" ht="20.25" customHeight="1">
      <c r="A46" s="360"/>
      <c r="B46" s="361"/>
      <c r="C46" s="361"/>
      <c r="D46" s="356"/>
      <c r="E46" s="183" t="s">
        <v>211</v>
      </c>
      <c r="F46" s="183" t="s">
        <v>212</v>
      </c>
      <c r="G46" s="183" t="s">
        <v>211</v>
      </c>
      <c r="H46" s="183" t="s">
        <v>212</v>
      </c>
      <c r="I46" s="183" t="s">
        <v>211</v>
      </c>
      <c r="J46" s="183" t="s">
        <v>212</v>
      </c>
      <c r="K46" s="183" t="s">
        <v>211</v>
      </c>
      <c r="L46" s="183" t="s">
        <v>212</v>
      </c>
      <c r="M46" s="183" t="s">
        <v>211</v>
      </c>
      <c r="N46" s="183" t="s">
        <v>212</v>
      </c>
      <c r="O46" s="183" t="s">
        <v>211</v>
      </c>
      <c r="P46" s="183" t="s">
        <v>212</v>
      </c>
      <c r="Q46" s="373"/>
    </row>
    <row r="47" spans="1:17" ht="20.25" customHeight="1">
      <c r="A47" s="375" t="s">
        <v>247</v>
      </c>
      <c r="B47" s="302"/>
      <c r="C47" s="304" t="s">
        <v>248</v>
      </c>
      <c r="D47" s="82" t="s">
        <v>211</v>
      </c>
      <c r="E47" s="175">
        <f>E14*1.906</f>
        <v>5.718</v>
      </c>
      <c r="F47" s="175"/>
      <c r="G47" s="175">
        <f>G14*1.906</f>
        <v>5.718</v>
      </c>
      <c r="H47" s="175"/>
      <c r="I47" s="175">
        <f>I14*1.906</f>
        <v>4.765</v>
      </c>
      <c r="J47" s="175"/>
      <c r="K47" s="182">
        <v>6.423</v>
      </c>
      <c r="L47" s="182"/>
      <c r="M47" s="182">
        <v>6.096</v>
      </c>
      <c r="N47" s="182"/>
      <c r="O47" s="182">
        <v>6.096</v>
      </c>
      <c r="P47" s="182"/>
      <c r="Q47" s="176"/>
    </row>
    <row r="48" spans="1:17" ht="20.25" customHeight="1">
      <c r="A48" s="301"/>
      <c r="B48" s="353"/>
      <c r="C48" s="353"/>
      <c r="D48" s="85" t="s">
        <v>212</v>
      </c>
      <c r="E48" s="177"/>
      <c r="F48" s="177">
        <f>F14*0.767</f>
        <v>2.6845</v>
      </c>
      <c r="G48" s="177"/>
      <c r="H48" s="177">
        <f>H14*0.767</f>
        <v>2.6845</v>
      </c>
      <c r="I48" s="177"/>
      <c r="J48" s="177">
        <f>J14*0.767</f>
        <v>2.301</v>
      </c>
      <c r="K48" s="184"/>
      <c r="L48" s="184">
        <v>2.529</v>
      </c>
      <c r="M48" s="184"/>
      <c r="N48" s="184">
        <v>2.389</v>
      </c>
      <c r="O48" s="184"/>
      <c r="P48" s="184">
        <v>2.389</v>
      </c>
      <c r="Q48" s="178"/>
    </row>
    <row r="49" spans="1:17" s="148" customFormat="1" ht="20.25" customHeight="1">
      <c r="A49" s="301" t="s">
        <v>249</v>
      </c>
      <c r="B49" s="353"/>
      <c r="C49" s="94" t="s">
        <v>250</v>
      </c>
      <c r="D49" s="94"/>
      <c r="E49" s="172"/>
      <c r="F49" s="172"/>
      <c r="G49" s="172"/>
      <c r="H49" s="172"/>
      <c r="I49" s="172"/>
      <c r="J49" s="172"/>
      <c r="K49" s="172">
        <v>1</v>
      </c>
      <c r="L49" s="172">
        <v>1</v>
      </c>
      <c r="M49" s="172">
        <v>1</v>
      </c>
      <c r="N49" s="172">
        <v>1</v>
      </c>
      <c r="O49" s="172">
        <v>1</v>
      </c>
      <c r="P49" s="172">
        <v>1</v>
      </c>
      <c r="Q49" s="185"/>
    </row>
    <row r="50" spans="1:17" s="148" customFormat="1" ht="20.25" customHeight="1">
      <c r="A50" s="301"/>
      <c r="B50" s="353"/>
      <c r="C50" s="94" t="s">
        <v>244</v>
      </c>
      <c r="D50" s="94"/>
      <c r="E50" s="172"/>
      <c r="F50" s="172"/>
      <c r="G50" s="172"/>
      <c r="H50" s="172"/>
      <c r="I50" s="172"/>
      <c r="J50" s="172"/>
      <c r="K50" s="172">
        <v>1</v>
      </c>
      <c r="L50" s="172">
        <v>1</v>
      </c>
      <c r="M50" s="172">
        <v>1</v>
      </c>
      <c r="N50" s="172">
        <v>1</v>
      </c>
      <c r="O50" s="172">
        <v>2</v>
      </c>
      <c r="P50" s="172">
        <v>2</v>
      </c>
      <c r="Q50" s="185"/>
    </row>
    <row r="51" spans="1:17" ht="20.25" customHeight="1">
      <c r="A51" s="301" t="s">
        <v>251</v>
      </c>
      <c r="B51" s="353"/>
      <c r="C51" s="353" t="s">
        <v>244</v>
      </c>
      <c r="D51" s="85" t="s">
        <v>252</v>
      </c>
      <c r="E51" s="184" t="s">
        <v>253</v>
      </c>
      <c r="F51" s="184"/>
      <c r="G51" s="184" t="s">
        <v>253</v>
      </c>
      <c r="H51" s="184"/>
      <c r="I51" s="184" t="s">
        <v>254</v>
      </c>
      <c r="J51" s="184"/>
      <c r="K51" s="184" t="s">
        <v>254</v>
      </c>
      <c r="L51" s="184" t="s">
        <v>254</v>
      </c>
      <c r="M51" s="184" t="s">
        <v>254</v>
      </c>
      <c r="N51" s="184" t="s">
        <v>254</v>
      </c>
      <c r="O51" s="184" t="s">
        <v>254</v>
      </c>
      <c r="P51" s="184" t="s">
        <v>254</v>
      </c>
      <c r="Q51" s="178"/>
    </row>
    <row r="52" spans="1:17" ht="20.25" customHeight="1">
      <c r="A52" s="301"/>
      <c r="B52" s="353"/>
      <c r="C52" s="353"/>
      <c r="D52" s="85" t="s">
        <v>211</v>
      </c>
      <c r="E52" s="99">
        <v>2</v>
      </c>
      <c r="F52" s="99"/>
      <c r="G52" s="99">
        <v>8.5</v>
      </c>
      <c r="H52" s="99"/>
      <c r="I52" s="99">
        <v>10.5</v>
      </c>
      <c r="J52" s="99"/>
      <c r="K52" s="99">
        <v>8.5</v>
      </c>
      <c r="L52" s="99"/>
      <c r="M52" s="99">
        <v>8.5</v>
      </c>
      <c r="N52" s="99"/>
      <c r="O52" s="99">
        <v>8.5</v>
      </c>
      <c r="P52" s="99"/>
      <c r="Q52" s="178"/>
    </row>
    <row r="53" spans="1:17" ht="20.25" customHeight="1">
      <c r="A53" s="301"/>
      <c r="B53" s="353"/>
      <c r="C53" s="353"/>
      <c r="D53" s="85" t="s">
        <v>212</v>
      </c>
      <c r="E53" s="99"/>
      <c r="F53" s="99">
        <v>2</v>
      </c>
      <c r="G53" s="99"/>
      <c r="H53" s="99">
        <v>2</v>
      </c>
      <c r="I53" s="99"/>
      <c r="J53" s="99">
        <v>7.5</v>
      </c>
      <c r="K53" s="99"/>
      <c r="L53" s="99">
        <v>6</v>
      </c>
      <c r="M53" s="99"/>
      <c r="N53" s="99">
        <v>6</v>
      </c>
      <c r="O53" s="99"/>
      <c r="P53" s="99">
        <v>6</v>
      </c>
      <c r="Q53" s="178"/>
    </row>
    <row r="54" spans="1:17" ht="20.25" customHeight="1">
      <c r="A54" s="374"/>
      <c r="B54" s="300"/>
      <c r="C54" s="96"/>
      <c r="D54" s="96"/>
      <c r="E54" s="183" t="s">
        <v>255</v>
      </c>
      <c r="F54" s="183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80"/>
    </row>
  </sheetData>
  <mergeCells count="72">
    <mergeCell ref="A54:B54"/>
    <mergeCell ref="A47:B48"/>
    <mergeCell ref="C47:C48"/>
    <mergeCell ref="A49:B50"/>
    <mergeCell ref="A51:B53"/>
    <mergeCell ref="C51:C53"/>
    <mergeCell ref="Q45:Q46"/>
    <mergeCell ref="O45:P45"/>
    <mergeCell ref="O4:P4"/>
    <mergeCell ref="M4:N4"/>
    <mergeCell ref="O11:P11"/>
    <mergeCell ref="O20:P20"/>
    <mergeCell ref="Q20:Q21"/>
    <mergeCell ref="K4:L4"/>
    <mergeCell ref="Q11:Q12"/>
    <mergeCell ref="Q4:Q5"/>
    <mergeCell ref="A4:D5"/>
    <mergeCell ref="A6:D6"/>
    <mergeCell ref="A7:D7"/>
    <mergeCell ref="A8:D8"/>
    <mergeCell ref="A11:D12"/>
    <mergeCell ref="K11:L11"/>
    <mergeCell ref="M11:N11"/>
    <mergeCell ref="A13:D13"/>
    <mergeCell ref="A14:D14"/>
    <mergeCell ref="A15:D15"/>
    <mergeCell ref="A16:D16"/>
    <mergeCell ref="A17:D17"/>
    <mergeCell ref="K20:L20"/>
    <mergeCell ref="M20:N20"/>
    <mergeCell ref="A45:B46"/>
    <mergeCell ref="C45:C46"/>
    <mergeCell ref="D45:D46"/>
    <mergeCell ref="K45:L45"/>
    <mergeCell ref="M45:N45"/>
    <mergeCell ref="A20:B21"/>
    <mergeCell ref="C20:C21"/>
    <mergeCell ref="D20:D21"/>
    <mergeCell ref="A22:B22"/>
    <mergeCell ref="A23:B23"/>
    <mergeCell ref="A24:B24"/>
    <mergeCell ref="A25:B25"/>
    <mergeCell ref="B38:B39"/>
    <mergeCell ref="B40:B41"/>
    <mergeCell ref="A28:B29"/>
    <mergeCell ref="A26:B27"/>
    <mergeCell ref="A30:A37"/>
    <mergeCell ref="B30:B31"/>
    <mergeCell ref="B32:B33"/>
    <mergeCell ref="B34:B35"/>
    <mergeCell ref="B36:B37"/>
    <mergeCell ref="A38:A41"/>
    <mergeCell ref="C26:C27"/>
    <mergeCell ref="C28:C29"/>
    <mergeCell ref="C30:C31"/>
    <mergeCell ref="C32:C33"/>
    <mergeCell ref="C34:C35"/>
    <mergeCell ref="C36:C37"/>
    <mergeCell ref="C38:C39"/>
    <mergeCell ref="C40:C41"/>
    <mergeCell ref="E4:F4"/>
    <mergeCell ref="G4:H4"/>
    <mergeCell ref="I4:J4"/>
    <mergeCell ref="E11:F11"/>
    <mergeCell ref="G11:H11"/>
    <mergeCell ref="I11:J11"/>
    <mergeCell ref="E20:F20"/>
    <mergeCell ref="G20:H20"/>
    <mergeCell ref="I20:J20"/>
    <mergeCell ref="E45:F45"/>
    <mergeCell ref="G45:H45"/>
    <mergeCell ref="I45:J45"/>
  </mergeCells>
  <printOptions/>
  <pageMargins left="0.54" right="0.34" top="0.984251968503937" bottom="0.8267716535433072" header="0.5118110236220472" footer="0.5118110236220472"/>
  <pageSetup horizontalDpi="300" verticalDpi="300" orientation="landscape" paperSize="9" scale="95" r:id="rId1"/>
  <rowBreaks count="1" manualBreakCount="1">
    <brk id="1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6"/>
  <sheetViews>
    <sheetView workbookViewId="0" topLeftCell="A1">
      <selection activeCell="X14" sqref="X14"/>
    </sheetView>
  </sheetViews>
  <sheetFormatPr defaultColWidth="9.00390625" defaultRowHeight="12.75"/>
  <cols>
    <col min="1" max="2" width="2.625" style="151" customWidth="1"/>
    <col min="3" max="4" width="1.00390625" style="151" customWidth="1"/>
    <col min="5" max="31" width="2.625" style="151" customWidth="1"/>
    <col min="32" max="16384" width="10.00390625" style="151" customWidth="1"/>
  </cols>
  <sheetData>
    <row r="1" spans="1:28" ht="13.5">
      <c r="A1" s="376" t="s">
        <v>44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</row>
    <row r="6" ht="13.5">
      <c r="E6" s="152" t="s">
        <v>45</v>
      </c>
    </row>
    <row r="8" spans="3:4" ht="13.5">
      <c r="C8" s="153"/>
      <c r="D8" s="153"/>
    </row>
    <row r="9" ht="13.5">
      <c r="C9" s="154"/>
    </row>
    <row r="10" ht="13.5">
      <c r="C10" s="155"/>
    </row>
    <row r="11" ht="13.5">
      <c r="C11" s="155"/>
    </row>
    <row r="12" ht="13.5">
      <c r="C12" s="155"/>
    </row>
    <row r="13" ht="13.5">
      <c r="C13" s="155"/>
    </row>
    <row r="14" ht="13.5">
      <c r="C14" s="155"/>
    </row>
    <row r="15" ht="13.5">
      <c r="C15" s="155"/>
    </row>
    <row r="16" ht="13.5">
      <c r="C16" s="155"/>
    </row>
    <row r="17" ht="13.5">
      <c r="C17" s="155"/>
    </row>
    <row r="18" spans="3:4" ht="13.5">
      <c r="C18" s="156"/>
      <c r="D18" s="153"/>
    </row>
    <row r="19" spans="3:26" ht="13.5">
      <c r="C19" s="154"/>
      <c r="F19" s="155"/>
      <c r="P19" s="155"/>
      <c r="Z19" s="155"/>
    </row>
    <row r="20" spans="3:26" ht="13.5">
      <c r="C20" s="155"/>
      <c r="F20" s="155"/>
      <c r="P20" s="155"/>
      <c r="Z20" s="155"/>
    </row>
    <row r="21" spans="3:26" ht="13.5">
      <c r="C21" s="156"/>
      <c r="D21" s="153"/>
      <c r="F21" s="155"/>
      <c r="G21" s="157"/>
      <c r="H21" s="153"/>
      <c r="I21" s="153"/>
      <c r="J21" s="153"/>
      <c r="K21" s="153"/>
      <c r="L21" s="153"/>
      <c r="M21" s="153"/>
      <c r="N21" s="153"/>
      <c r="O21" s="153"/>
      <c r="P21" s="156"/>
      <c r="Q21" s="153"/>
      <c r="R21" s="153"/>
      <c r="S21" s="153"/>
      <c r="T21" s="153"/>
      <c r="U21" s="153"/>
      <c r="V21" s="153"/>
      <c r="W21" s="153"/>
      <c r="X21" s="153"/>
      <c r="Y21" s="153"/>
      <c r="Z21" s="156"/>
    </row>
    <row r="23" spans="6:26" ht="6" customHeight="1">
      <c r="F23" s="155"/>
      <c r="G23" s="157"/>
      <c r="H23" s="153"/>
      <c r="I23" s="153"/>
      <c r="J23" s="153"/>
      <c r="K23" s="153"/>
      <c r="L23" s="153"/>
      <c r="M23" s="153"/>
      <c r="N23" s="153"/>
      <c r="O23" s="153"/>
      <c r="P23" s="156"/>
      <c r="Q23" s="153"/>
      <c r="R23" s="153"/>
      <c r="S23" s="153"/>
      <c r="T23" s="153"/>
      <c r="U23" s="153"/>
      <c r="V23" s="153"/>
      <c r="W23" s="153"/>
      <c r="X23" s="153"/>
      <c r="Y23" s="153"/>
      <c r="Z23" s="156"/>
    </row>
    <row r="24" spans="6:26" ht="6" customHeight="1">
      <c r="F24" s="155"/>
      <c r="P24" s="155"/>
      <c r="Z24" s="155"/>
    </row>
    <row r="29" ht="13.5">
      <c r="E29" s="152" t="s">
        <v>46</v>
      </c>
    </row>
    <row r="32" spans="7:8" ht="13.5">
      <c r="G32" s="153"/>
      <c r="H32" s="153"/>
    </row>
    <row r="33" ht="13.5">
      <c r="G33" s="154"/>
    </row>
    <row r="34" spans="7:8" ht="13.5">
      <c r="G34" s="156"/>
      <c r="H34" s="153"/>
    </row>
    <row r="35" ht="13.5">
      <c r="G35" s="155"/>
    </row>
    <row r="36" ht="13.5">
      <c r="G36" s="155"/>
    </row>
    <row r="37" ht="13.5">
      <c r="G37" s="155"/>
    </row>
    <row r="38" ht="13.5">
      <c r="G38" s="155"/>
    </row>
    <row r="39" spans="7:8" ht="13.5">
      <c r="G39" s="156"/>
      <c r="H39" s="153"/>
    </row>
    <row r="42" ht="7.5" customHeight="1"/>
    <row r="43" ht="7.5" customHeight="1"/>
    <row r="46" ht="13.5">
      <c r="I46" s="158" t="s">
        <v>256</v>
      </c>
    </row>
  </sheetData>
  <mergeCells count="1">
    <mergeCell ref="A1:AB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E27" sqref="E27"/>
    </sheetView>
  </sheetViews>
  <sheetFormatPr defaultColWidth="9.00390625" defaultRowHeight="12.75"/>
  <cols>
    <col min="1" max="2" width="9.00390625" style="87" customWidth="1"/>
    <col min="3" max="6" width="10.375" style="87" customWidth="1"/>
    <col min="7" max="10" width="10.75390625" style="87" customWidth="1"/>
    <col min="11" max="11" width="12.375" style="87" customWidth="1"/>
    <col min="12" max="16384" width="9.00390625" style="87" customWidth="1"/>
  </cols>
  <sheetData>
    <row r="1" ht="15">
      <c r="A1" s="86" t="s">
        <v>123</v>
      </c>
    </row>
    <row r="3" spans="1:11" ht="20.25" customHeight="1" hidden="1">
      <c r="A3" s="307" t="s">
        <v>124</v>
      </c>
      <c r="B3" s="302"/>
      <c r="C3" s="304" t="s">
        <v>125</v>
      </c>
      <c r="D3" s="304" t="s">
        <v>126</v>
      </c>
      <c r="E3" s="304" t="s">
        <v>47</v>
      </c>
      <c r="F3" s="302" t="s">
        <v>48</v>
      </c>
      <c r="G3" s="304" t="s">
        <v>49</v>
      </c>
      <c r="H3" s="302"/>
      <c r="I3" s="302"/>
      <c r="J3" s="302"/>
      <c r="K3" s="305" t="s">
        <v>127</v>
      </c>
    </row>
    <row r="4" spans="1:11" ht="20.25" customHeight="1" hidden="1">
      <c r="A4" s="308"/>
      <c r="B4" s="303"/>
      <c r="C4" s="303"/>
      <c r="D4" s="303"/>
      <c r="E4" s="303"/>
      <c r="F4" s="303"/>
      <c r="G4" s="83" t="s">
        <v>128</v>
      </c>
      <c r="H4" s="89" t="s">
        <v>51</v>
      </c>
      <c r="I4" s="89" t="s">
        <v>50</v>
      </c>
      <c r="J4" s="89" t="s">
        <v>129</v>
      </c>
      <c r="K4" s="306"/>
    </row>
    <row r="5" spans="1:11" ht="20.25" customHeight="1" hidden="1">
      <c r="A5" s="309" t="s">
        <v>9</v>
      </c>
      <c r="B5" s="84" t="s">
        <v>130</v>
      </c>
      <c r="C5" s="90">
        <v>360</v>
      </c>
      <c r="D5" s="90">
        <v>3</v>
      </c>
      <c r="E5" s="90">
        <f aca="true" t="shared" si="0" ref="E5:E16">ROUND(C5/D5,2)</f>
        <v>120</v>
      </c>
      <c r="F5" s="90">
        <f>'cycle-수정'!B15</f>
        <v>11.37</v>
      </c>
      <c r="G5" s="91">
        <f aca="true" t="shared" si="1" ref="G5:G16">ROUND(E5*F5,2)</f>
        <v>1364.4</v>
      </c>
      <c r="H5" s="91">
        <f>ROUND(G5/24,2)</f>
        <v>56.85</v>
      </c>
      <c r="I5" s="91">
        <f aca="true" t="shared" si="2" ref="I5:I16">ROUND(H5/25,2)</f>
        <v>2.27</v>
      </c>
      <c r="J5" s="91">
        <f aca="true" t="shared" si="3" ref="J5:J16">ROUND(I5/2,2)</f>
        <v>1.14</v>
      </c>
      <c r="K5" s="92"/>
    </row>
    <row r="6" spans="1:11" ht="20.25" customHeight="1" hidden="1">
      <c r="A6" s="310"/>
      <c r="B6" s="84" t="s">
        <v>131</v>
      </c>
      <c r="C6" s="90">
        <v>360</v>
      </c>
      <c r="D6" s="90">
        <v>3</v>
      </c>
      <c r="E6" s="90">
        <f>E5</f>
        <v>120</v>
      </c>
      <c r="F6" s="90">
        <f>'cycle-수정'!C15</f>
        <v>7.63</v>
      </c>
      <c r="G6" s="93">
        <f>ROUND(E6*F6,2)</f>
        <v>915.6</v>
      </c>
      <c r="H6" s="93">
        <f aca="true" t="shared" si="4" ref="H6:H16">ROUND(G6/24,2)</f>
        <v>38.15</v>
      </c>
      <c r="I6" s="93">
        <f t="shared" si="2"/>
        <v>1.53</v>
      </c>
      <c r="J6" s="93">
        <f t="shared" si="3"/>
        <v>0.77</v>
      </c>
      <c r="K6" s="92"/>
    </row>
    <row r="7" spans="1:11" ht="20.25" customHeight="1" hidden="1">
      <c r="A7" s="311" t="s">
        <v>0</v>
      </c>
      <c r="B7" s="85" t="s">
        <v>130</v>
      </c>
      <c r="C7" s="94">
        <v>440</v>
      </c>
      <c r="D7" s="94">
        <v>3</v>
      </c>
      <c r="E7" s="94">
        <f t="shared" si="0"/>
        <v>146.67</v>
      </c>
      <c r="F7" s="94">
        <f>'cycle-수정'!D15</f>
        <v>12.4</v>
      </c>
      <c r="G7" s="93">
        <f t="shared" si="1"/>
        <v>1818.71</v>
      </c>
      <c r="H7" s="93">
        <f t="shared" si="4"/>
        <v>75.78</v>
      </c>
      <c r="I7" s="93">
        <f t="shared" si="2"/>
        <v>3.03</v>
      </c>
      <c r="J7" s="93">
        <f t="shared" si="3"/>
        <v>1.52</v>
      </c>
      <c r="K7" s="95"/>
    </row>
    <row r="8" spans="1:11" ht="20.25" customHeight="1" hidden="1">
      <c r="A8" s="310"/>
      <c r="B8" s="85" t="s">
        <v>131</v>
      </c>
      <c r="C8" s="94">
        <v>440</v>
      </c>
      <c r="D8" s="94">
        <v>3</v>
      </c>
      <c r="E8" s="94">
        <f t="shared" si="0"/>
        <v>146.67</v>
      </c>
      <c r="F8" s="94">
        <f>'cycle-수정'!E15</f>
        <v>7.68</v>
      </c>
      <c r="G8" s="93">
        <f>ROUND(E8*F8,2)</f>
        <v>1126.43</v>
      </c>
      <c r="H8" s="93">
        <f t="shared" si="4"/>
        <v>46.93</v>
      </c>
      <c r="I8" s="93">
        <f t="shared" si="2"/>
        <v>1.88</v>
      </c>
      <c r="J8" s="93">
        <f t="shared" si="3"/>
        <v>0.94</v>
      </c>
      <c r="K8" s="95"/>
    </row>
    <row r="9" spans="1:11" ht="20.25" customHeight="1" hidden="1">
      <c r="A9" s="311" t="s">
        <v>1</v>
      </c>
      <c r="B9" s="85" t="s">
        <v>130</v>
      </c>
      <c r="C9" s="94">
        <v>240</v>
      </c>
      <c r="D9" s="94">
        <v>2</v>
      </c>
      <c r="E9" s="94">
        <f t="shared" si="0"/>
        <v>120</v>
      </c>
      <c r="F9" s="94">
        <f>'cycle-수정'!F15</f>
        <v>11.88</v>
      </c>
      <c r="G9" s="93">
        <f t="shared" si="1"/>
        <v>1425.6</v>
      </c>
      <c r="H9" s="93">
        <f t="shared" si="4"/>
        <v>59.4</v>
      </c>
      <c r="I9" s="93">
        <f t="shared" si="2"/>
        <v>2.38</v>
      </c>
      <c r="J9" s="93">
        <f t="shared" si="3"/>
        <v>1.19</v>
      </c>
      <c r="K9" s="95"/>
    </row>
    <row r="10" spans="1:11" ht="20.25" customHeight="1" hidden="1">
      <c r="A10" s="310"/>
      <c r="B10" s="85" t="s">
        <v>131</v>
      </c>
      <c r="C10" s="94">
        <v>240</v>
      </c>
      <c r="D10" s="94">
        <v>2</v>
      </c>
      <c r="E10" s="94">
        <f t="shared" si="0"/>
        <v>120</v>
      </c>
      <c r="F10" s="94">
        <f>'cycle-수정'!G15</f>
        <v>9.28</v>
      </c>
      <c r="G10" s="93">
        <f>ROUND(E10*F10,2)</f>
        <v>1113.6</v>
      </c>
      <c r="H10" s="93">
        <f t="shared" si="4"/>
        <v>46.4</v>
      </c>
      <c r="I10" s="93">
        <f t="shared" si="2"/>
        <v>1.86</v>
      </c>
      <c r="J10" s="93">
        <f t="shared" si="3"/>
        <v>0.93</v>
      </c>
      <c r="K10" s="95"/>
    </row>
    <row r="11" spans="1:11" ht="20.25" customHeight="1" hidden="1">
      <c r="A11" s="301" t="s">
        <v>2</v>
      </c>
      <c r="B11" s="85" t="s">
        <v>130</v>
      </c>
      <c r="C11" s="94">
        <v>80</v>
      </c>
      <c r="D11" s="94">
        <v>1.5</v>
      </c>
      <c r="E11" s="94">
        <f t="shared" si="0"/>
        <v>53.33</v>
      </c>
      <c r="F11" s="94">
        <f>'cycle-수정'!H15</f>
        <v>10.5</v>
      </c>
      <c r="G11" s="93">
        <f t="shared" si="1"/>
        <v>559.97</v>
      </c>
      <c r="H11" s="93">
        <f t="shared" si="4"/>
        <v>23.33</v>
      </c>
      <c r="I11" s="93">
        <f t="shared" si="2"/>
        <v>0.93</v>
      </c>
      <c r="J11" s="93">
        <f t="shared" si="3"/>
        <v>0.47</v>
      </c>
      <c r="K11" s="95"/>
    </row>
    <row r="12" spans="1:11" ht="20.25" customHeight="1" hidden="1">
      <c r="A12" s="301"/>
      <c r="B12" s="85" t="s">
        <v>131</v>
      </c>
      <c r="C12" s="94">
        <v>80</v>
      </c>
      <c r="D12" s="94">
        <v>1.5</v>
      </c>
      <c r="E12" s="94">
        <f t="shared" si="0"/>
        <v>53.33</v>
      </c>
      <c r="F12" s="94">
        <f>'cycle-수정'!I15</f>
        <v>6.86</v>
      </c>
      <c r="G12" s="93">
        <f t="shared" si="1"/>
        <v>365.84</v>
      </c>
      <c r="H12" s="93">
        <f t="shared" si="4"/>
        <v>15.24</v>
      </c>
      <c r="I12" s="93">
        <f t="shared" si="2"/>
        <v>0.61</v>
      </c>
      <c r="J12" s="93">
        <f t="shared" si="3"/>
        <v>0.31</v>
      </c>
      <c r="K12" s="95"/>
    </row>
    <row r="13" spans="1:11" ht="20.25" customHeight="1" hidden="1">
      <c r="A13" s="301" t="s">
        <v>3</v>
      </c>
      <c r="B13" s="85" t="s">
        <v>130</v>
      </c>
      <c r="C13" s="94">
        <v>40</v>
      </c>
      <c r="D13" s="94">
        <v>1.2</v>
      </c>
      <c r="E13" s="94">
        <f t="shared" si="0"/>
        <v>33.33</v>
      </c>
      <c r="F13" s="94">
        <f>'cycle-수정'!J15</f>
        <v>9.38</v>
      </c>
      <c r="G13" s="93">
        <f t="shared" si="1"/>
        <v>312.64</v>
      </c>
      <c r="H13" s="93">
        <f t="shared" si="4"/>
        <v>13.03</v>
      </c>
      <c r="I13" s="93">
        <f t="shared" si="2"/>
        <v>0.52</v>
      </c>
      <c r="J13" s="93">
        <f t="shared" si="3"/>
        <v>0.26</v>
      </c>
      <c r="K13" s="95"/>
    </row>
    <row r="14" spans="1:11" ht="20.25" customHeight="1" hidden="1">
      <c r="A14" s="301"/>
      <c r="B14" s="85" t="s">
        <v>131</v>
      </c>
      <c r="C14" s="94">
        <v>40</v>
      </c>
      <c r="D14" s="94">
        <v>1.2</v>
      </c>
      <c r="E14" s="94">
        <f t="shared" si="0"/>
        <v>33.33</v>
      </c>
      <c r="F14" s="94">
        <f>'cycle-수정'!K15</f>
        <v>7.02</v>
      </c>
      <c r="G14" s="93">
        <f t="shared" si="1"/>
        <v>233.98</v>
      </c>
      <c r="H14" s="93">
        <f t="shared" si="4"/>
        <v>9.75</v>
      </c>
      <c r="I14" s="93">
        <f t="shared" si="2"/>
        <v>0.39</v>
      </c>
      <c r="J14" s="93">
        <f t="shared" si="3"/>
        <v>0.2</v>
      </c>
      <c r="K14" s="95"/>
    </row>
    <row r="15" spans="1:11" ht="20.25" customHeight="1" hidden="1">
      <c r="A15" s="301" t="s">
        <v>4</v>
      </c>
      <c r="B15" s="85" t="s">
        <v>130</v>
      </c>
      <c r="C15" s="94">
        <v>80</v>
      </c>
      <c r="D15" s="94">
        <v>1.2</v>
      </c>
      <c r="E15" s="94">
        <f t="shared" si="0"/>
        <v>66.67</v>
      </c>
      <c r="F15" s="94">
        <f>'cycle-수정'!L15</f>
        <v>9.37</v>
      </c>
      <c r="G15" s="93">
        <f t="shared" si="1"/>
        <v>624.7</v>
      </c>
      <c r="H15" s="93">
        <f t="shared" si="4"/>
        <v>26.03</v>
      </c>
      <c r="I15" s="93">
        <f t="shared" si="2"/>
        <v>1.04</v>
      </c>
      <c r="J15" s="93">
        <f t="shared" si="3"/>
        <v>0.52</v>
      </c>
      <c r="K15" s="95"/>
    </row>
    <row r="16" spans="1:11" ht="20.25" customHeight="1" hidden="1">
      <c r="A16" s="301"/>
      <c r="B16" s="85" t="s">
        <v>131</v>
      </c>
      <c r="C16" s="94">
        <v>80</v>
      </c>
      <c r="D16" s="94">
        <v>1.2</v>
      </c>
      <c r="E16" s="94">
        <f t="shared" si="0"/>
        <v>66.67</v>
      </c>
      <c r="F16" s="94">
        <f>'cycle-수정'!M15</f>
        <v>7.01</v>
      </c>
      <c r="G16" s="93">
        <f t="shared" si="1"/>
        <v>467.36</v>
      </c>
      <c r="H16" s="93">
        <f t="shared" si="4"/>
        <v>19.47</v>
      </c>
      <c r="I16" s="93">
        <f t="shared" si="2"/>
        <v>0.78</v>
      </c>
      <c r="J16" s="93">
        <f t="shared" si="3"/>
        <v>0.39</v>
      </c>
      <c r="K16" s="95"/>
    </row>
    <row r="17" spans="1:11" ht="20.25" customHeight="1" hidden="1">
      <c r="A17" s="299" t="s">
        <v>132</v>
      </c>
      <c r="B17" s="300"/>
      <c r="C17" s="96"/>
      <c r="D17" s="96"/>
      <c r="E17" s="96"/>
      <c r="F17" s="96"/>
      <c r="G17" s="96">
        <f>SUM(G5:G16)</f>
        <v>10328.83</v>
      </c>
      <c r="H17" s="96">
        <f>SUM(H5:H16)</f>
        <v>430.36</v>
      </c>
      <c r="I17" s="96">
        <f>SUM(I5:I16)</f>
        <v>17.22</v>
      </c>
      <c r="J17" s="96">
        <f>SUM(J5:J16)</f>
        <v>8.639999999999999</v>
      </c>
      <c r="K17" s="97" t="s">
        <v>133</v>
      </c>
    </row>
    <row r="18" ht="12.75" hidden="1"/>
    <row r="19" ht="12.75" hidden="1"/>
    <row r="20" spans="1:11" ht="20.25" customHeight="1">
      <c r="A20" s="307" t="s">
        <v>124</v>
      </c>
      <c r="B20" s="302"/>
      <c r="C20" s="304" t="s">
        <v>125</v>
      </c>
      <c r="D20" s="312" t="s">
        <v>290</v>
      </c>
      <c r="E20" s="304" t="s">
        <v>47</v>
      </c>
      <c r="F20" s="302" t="s">
        <v>48</v>
      </c>
      <c r="G20" s="304" t="s">
        <v>49</v>
      </c>
      <c r="H20" s="302"/>
      <c r="I20" s="302"/>
      <c r="J20" s="302"/>
      <c r="K20" s="305" t="s">
        <v>127</v>
      </c>
    </row>
    <row r="21" spans="1:11" ht="20.25" customHeight="1">
      <c r="A21" s="308"/>
      <c r="B21" s="303"/>
      <c r="C21" s="303"/>
      <c r="D21" s="303"/>
      <c r="E21" s="303"/>
      <c r="F21" s="303"/>
      <c r="G21" s="83" t="s">
        <v>128</v>
      </c>
      <c r="H21" s="89" t="s">
        <v>51</v>
      </c>
      <c r="I21" s="89" t="s">
        <v>50</v>
      </c>
      <c r="J21" s="89" t="s">
        <v>129</v>
      </c>
      <c r="K21" s="306"/>
    </row>
    <row r="22" spans="1:11" ht="20.25" customHeight="1">
      <c r="A22" s="309" t="s">
        <v>9</v>
      </c>
      <c r="B22" s="84" t="s">
        <v>130</v>
      </c>
      <c r="C22" s="90">
        <v>360</v>
      </c>
      <c r="D22" s="98">
        <f>'cycle-집계'!B15*3</f>
        <v>7.41</v>
      </c>
      <c r="E22" s="205">
        <f>ROUND(C22/3,2)</f>
        <v>120</v>
      </c>
      <c r="F22" s="98">
        <f>'cycle-집계'!B14</f>
        <v>9.72</v>
      </c>
      <c r="G22" s="91">
        <f aca="true" t="shared" si="5" ref="G22:G33">ROUND(E22*F22,2)</f>
        <v>1166.4</v>
      </c>
      <c r="H22" s="91">
        <f>ROUND(G22/24,2)</f>
        <v>48.6</v>
      </c>
      <c r="I22" s="91">
        <f aca="true" t="shared" si="6" ref="I22:I33">ROUND(H22/25,2)</f>
        <v>1.94</v>
      </c>
      <c r="J22" s="91">
        <f aca="true" t="shared" si="7" ref="J22:J33">ROUND(I22/2,2)</f>
        <v>0.97</v>
      </c>
      <c r="K22" s="92"/>
    </row>
    <row r="23" spans="1:11" ht="20.25" customHeight="1">
      <c r="A23" s="310"/>
      <c r="B23" s="84" t="s">
        <v>131</v>
      </c>
      <c r="C23" s="90">
        <v>360</v>
      </c>
      <c r="D23" s="98">
        <f>'cycle-집계'!C15*3.5</f>
        <v>10.85</v>
      </c>
      <c r="E23" s="205">
        <f>ROUND(C23/3.5,2)</f>
        <v>102.86</v>
      </c>
      <c r="F23" s="98">
        <f>'cycle-집계'!C14</f>
        <v>7.75</v>
      </c>
      <c r="G23" s="93">
        <f t="shared" si="5"/>
        <v>797.17</v>
      </c>
      <c r="H23" s="93">
        <f aca="true" t="shared" si="8" ref="H23:H33">ROUND(G23/24,2)</f>
        <v>33.22</v>
      </c>
      <c r="I23" s="93">
        <f t="shared" si="6"/>
        <v>1.33</v>
      </c>
      <c r="J23" s="93">
        <f t="shared" si="7"/>
        <v>0.67</v>
      </c>
      <c r="K23" s="92"/>
    </row>
    <row r="24" spans="1:11" ht="20.25" customHeight="1">
      <c r="A24" s="311" t="s">
        <v>0</v>
      </c>
      <c r="B24" s="85" t="s">
        <v>130</v>
      </c>
      <c r="C24" s="94">
        <v>440</v>
      </c>
      <c r="D24" s="98">
        <f>'cycle-집계'!D15*3</f>
        <v>6.779999999999999</v>
      </c>
      <c r="E24" s="205">
        <f>ROUND(C24/3,2)</f>
        <v>146.67</v>
      </c>
      <c r="F24" s="99">
        <f>'cycle-집계'!D14</f>
        <v>10.61</v>
      </c>
      <c r="G24" s="93">
        <f t="shared" si="5"/>
        <v>1556.17</v>
      </c>
      <c r="H24" s="93">
        <f t="shared" si="8"/>
        <v>64.84</v>
      </c>
      <c r="I24" s="93">
        <f t="shared" si="6"/>
        <v>2.59</v>
      </c>
      <c r="J24" s="93">
        <f t="shared" si="7"/>
        <v>1.3</v>
      </c>
      <c r="K24" s="95"/>
    </row>
    <row r="25" spans="1:11" ht="20.25" customHeight="1">
      <c r="A25" s="310"/>
      <c r="B25" s="85" t="s">
        <v>131</v>
      </c>
      <c r="C25" s="94">
        <v>440</v>
      </c>
      <c r="D25" s="98">
        <f>'cycle-집계'!E15*3.5</f>
        <v>10.780000000000001</v>
      </c>
      <c r="E25" s="205">
        <f>ROUND(C25/3.5,2)</f>
        <v>125.71</v>
      </c>
      <c r="F25" s="99">
        <f>'cycle-집계'!E14</f>
        <v>7.79</v>
      </c>
      <c r="G25" s="93">
        <f t="shared" si="5"/>
        <v>979.28</v>
      </c>
      <c r="H25" s="93">
        <f t="shared" si="8"/>
        <v>40.8</v>
      </c>
      <c r="I25" s="93">
        <f t="shared" si="6"/>
        <v>1.63</v>
      </c>
      <c r="J25" s="93">
        <f t="shared" si="7"/>
        <v>0.82</v>
      </c>
      <c r="K25" s="95"/>
    </row>
    <row r="26" spans="1:11" ht="20.25" customHeight="1">
      <c r="A26" s="311" t="s">
        <v>1</v>
      </c>
      <c r="B26" s="85" t="s">
        <v>130</v>
      </c>
      <c r="C26" s="94">
        <v>240</v>
      </c>
      <c r="D26" s="98">
        <f>'cycle-집계'!F15*2.5</f>
        <v>5.875</v>
      </c>
      <c r="E26" s="205">
        <f>ROUND(C26/2.5,2)</f>
        <v>96</v>
      </c>
      <c r="F26" s="99">
        <f>'cycle-집계'!F14</f>
        <v>10.2</v>
      </c>
      <c r="G26" s="93">
        <f t="shared" si="5"/>
        <v>979.2</v>
      </c>
      <c r="H26" s="93">
        <f t="shared" si="8"/>
        <v>40.8</v>
      </c>
      <c r="I26" s="93">
        <f t="shared" si="6"/>
        <v>1.63</v>
      </c>
      <c r="J26" s="93">
        <f t="shared" si="7"/>
        <v>0.82</v>
      </c>
      <c r="K26" s="95"/>
    </row>
    <row r="27" spans="1:11" ht="20.25" customHeight="1">
      <c r="A27" s="310"/>
      <c r="B27" s="85" t="s">
        <v>131</v>
      </c>
      <c r="C27" s="94">
        <v>240</v>
      </c>
      <c r="D27" s="98">
        <f>'cycle-집계'!G15*3</f>
        <v>8.7</v>
      </c>
      <c r="E27" s="205">
        <f>ROUND(C27/3,2)</f>
        <v>80</v>
      </c>
      <c r="F27" s="99">
        <f>'cycle-집계'!G14</f>
        <v>8.28</v>
      </c>
      <c r="G27" s="93">
        <f t="shared" si="5"/>
        <v>662.4</v>
      </c>
      <c r="H27" s="93">
        <f t="shared" si="8"/>
        <v>27.6</v>
      </c>
      <c r="I27" s="93">
        <f t="shared" si="6"/>
        <v>1.1</v>
      </c>
      <c r="J27" s="93">
        <f t="shared" si="7"/>
        <v>0.55</v>
      </c>
      <c r="K27" s="95"/>
    </row>
    <row r="28" spans="1:11" ht="20.25" customHeight="1">
      <c r="A28" s="301" t="s">
        <v>2</v>
      </c>
      <c r="B28" s="85" t="s">
        <v>130</v>
      </c>
      <c r="C28" s="94">
        <v>80</v>
      </c>
      <c r="D28" s="98">
        <f>'cycle-집계'!H15*1.5</f>
        <v>4.095</v>
      </c>
      <c r="E28" s="205">
        <f>ROUND(C28/1.5,2)</f>
        <v>53.33</v>
      </c>
      <c r="F28" s="99">
        <f>'cycle-집계'!H14</f>
        <v>8.78</v>
      </c>
      <c r="G28" s="93">
        <f t="shared" si="5"/>
        <v>468.24</v>
      </c>
      <c r="H28" s="93">
        <f t="shared" si="8"/>
        <v>19.51</v>
      </c>
      <c r="I28" s="93">
        <f t="shared" si="6"/>
        <v>0.78</v>
      </c>
      <c r="J28" s="93">
        <f t="shared" si="7"/>
        <v>0.39</v>
      </c>
      <c r="K28" s="95"/>
    </row>
    <row r="29" spans="1:11" ht="20.25" customHeight="1">
      <c r="A29" s="301"/>
      <c r="B29" s="85" t="s">
        <v>131</v>
      </c>
      <c r="C29" s="94">
        <v>80</v>
      </c>
      <c r="D29" s="98">
        <f>'cycle-집계'!I15*1.5</f>
        <v>6.33</v>
      </c>
      <c r="E29" s="205">
        <f>ROUND(C29/1.5,2)</f>
        <v>53.33</v>
      </c>
      <c r="F29" s="99">
        <f>'cycle-집계'!I14</f>
        <v>5.69</v>
      </c>
      <c r="G29" s="93">
        <f t="shared" si="5"/>
        <v>303.45</v>
      </c>
      <c r="H29" s="93">
        <f t="shared" si="8"/>
        <v>12.64</v>
      </c>
      <c r="I29" s="93">
        <f t="shared" si="6"/>
        <v>0.51</v>
      </c>
      <c r="J29" s="93">
        <f t="shared" si="7"/>
        <v>0.26</v>
      </c>
      <c r="K29" s="95"/>
    </row>
    <row r="30" spans="1:11" ht="20.25" customHeight="1">
      <c r="A30" s="301" t="s">
        <v>3</v>
      </c>
      <c r="B30" s="85" t="s">
        <v>130</v>
      </c>
      <c r="C30" s="94">
        <v>40</v>
      </c>
      <c r="D30" s="98">
        <f>1.2*'cycle-집계'!J15</f>
        <v>3.7079999999999997</v>
      </c>
      <c r="E30" s="205">
        <f>ROUND(C30/1.2,2)</f>
        <v>33.33</v>
      </c>
      <c r="F30" s="99">
        <f>'cycle-집계'!J14</f>
        <v>7.76</v>
      </c>
      <c r="G30" s="93">
        <f t="shared" si="5"/>
        <v>258.64</v>
      </c>
      <c r="H30" s="93">
        <f t="shared" si="8"/>
        <v>10.78</v>
      </c>
      <c r="I30" s="93">
        <f t="shared" si="6"/>
        <v>0.43</v>
      </c>
      <c r="J30" s="93">
        <f t="shared" si="7"/>
        <v>0.22</v>
      </c>
      <c r="K30" s="95"/>
    </row>
    <row r="31" spans="1:11" ht="20.25" customHeight="1">
      <c r="A31" s="301"/>
      <c r="B31" s="85" t="s">
        <v>131</v>
      </c>
      <c r="C31" s="94">
        <v>40</v>
      </c>
      <c r="D31" s="98">
        <f>1.2*'cycle-집계'!K15</f>
        <v>4.919999999999999</v>
      </c>
      <c r="E31" s="205">
        <f>ROUND(C31/1.2,2)</f>
        <v>33.33</v>
      </c>
      <c r="F31" s="99">
        <f>'cycle-집계'!K14</f>
        <v>5.85</v>
      </c>
      <c r="G31" s="93">
        <f t="shared" si="5"/>
        <v>194.98</v>
      </c>
      <c r="H31" s="93">
        <f t="shared" si="8"/>
        <v>8.12</v>
      </c>
      <c r="I31" s="93">
        <f t="shared" si="6"/>
        <v>0.32</v>
      </c>
      <c r="J31" s="93">
        <f t="shared" si="7"/>
        <v>0.16</v>
      </c>
      <c r="K31" s="95"/>
    </row>
    <row r="32" spans="1:11" ht="20.25" customHeight="1">
      <c r="A32" s="301" t="s">
        <v>4</v>
      </c>
      <c r="B32" s="85" t="s">
        <v>130</v>
      </c>
      <c r="C32" s="94">
        <v>80</v>
      </c>
      <c r="D32" s="98">
        <f>1.2*'cycle-집계'!L15</f>
        <v>3.7079999999999997</v>
      </c>
      <c r="E32" s="205">
        <f>ROUND(C32/1.2,2)</f>
        <v>66.67</v>
      </c>
      <c r="F32" s="99">
        <f>'cycle-집계'!L14</f>
        <v>7.76</v>
      </c>
      <c r="G32" s="93">
        <f t="shared" si="5"/>
        <v>517.36</v>
      </c>
      <c r="H32" s="93">
        <f t="shared" si="8"/>
        <v>21.56</v>
      </c>
      <c r="I32" s="93">
        <f t="shared" si="6"/>
        <v>0.86</v>
      </c>
      <c r="J32" s="93">
        <f t="shared" si="7"/>
        <v>0.43</v>
      </c>
      <c r="K32" s="95"/>
    </row>
    <row r="33" spans="1:11" ht="20.25" customHeight="1">
      <c r="A33" s="301"/>
      <c r="B33" s="85" t="s">
        <v>131</v>
      </c>
      <c r="C33" s="94">
        <v>80</v>
      </c>
      <c r="D33" s="98">
        <f>1.2*'cycle-집계'!M15</f>
        <v>4.919999999999999</v>
      </c>
      <c r="E33" s="205">
        <f>ROUND(C33/1.2,2)</f>
        <v>66.67</v>
      </c>
      <c r="F33" s="99">
        <f>'cycle-집계'!M14</f>
        <v>5.85</v>
      </c>
      <c r="G33" s="93">
        <f t="shared" si="5"/>
        <v>390.02</v>
      </c>
      <c r="H33" s="93">
        <f t="shared" si="8"/>
        <v>16.25</v>
      </c>
      <c r="I33" s="93">
        <f t="shared" si="6"/>
        <v>0.65</v>
      </c>
      <c r="J33" s="93">
        <f t="shared" si="7"/>
        <v>0.33</v>
      </c>
      <c r="K33" s="95"/>
    </row>
    <row r="34" spans="1:11" ht="20.25" customHeight="1">
      <c r="A34" s="299" t="s">
        <v>132</v>
      </c>
      <c r="B34" s="300"/>
      <c r="C34" s="96"/>
      <c r="D34" s="96"/>
      <c r="E34" s="96"/>
      <c r="F34" s="96"/>
      <c r="G34" s="96">
        <f>SUM(G22:G33)</f>
        <v>8273.31</v>
      </c>
      <c r="H34" s="96">
        <f>SUM(H22:H33)</f>
        <v>344.71999999999997</v>
      </c>
      <c r="I34" s="96">
        <f>SUM(I22:I33)</f>
        <v>13.769999999999998</v>
      </c>
      <c r="J34" s="96">
        <f>SUM(J22:J33)</f>
        <v>6.919999999999999</v>
      </c>
      <c r="K34" s="97" t="s">
        <v>286</v>
      </c>
    </row>
  </sheetData>
  <mergeCells count="28">
    <mergeCell ref="A32:A33"/>
    <mergeCell ref="A34:B34"/>
    <mergeCell ref="A24:A25"/>
    <mergeCell ref="A26:A27"/>
    <mergeCell ref="A28:A29"/>
    <mergeCell ref="A30:A31"/>
    <mergeCell ref="F20:F21"/>
    <mergeCell ref="G20:J20"/>
    <mergeCell ref="K20:K21"/>
    <mergeCell ref="A22:A23"/>
    <mergeCell ref="A20:B21"/>
    <mergeCell ref="C20:C21"/>
    <mergeCell ref="D20:D21"/>
    <mergeCell ref="E20:E21"/>
    <mergeCell ref="G3:J3"/>
    <mergeCell ref="K3:K4"/>
    <mergeCell ref="A11:A12"/>
    <mergeCell ref="A3:B4"/>
    <mergeCell ref="C3:C4"/>
    <mergeCell ref="D3:D4"/>
    <mergeCell ref="E3:E4"/>
    <mergeCell ref="A5:A6"/>
    <mergeCell ref="A7:A8"/>
    <mergeCell ref="A9:A10"/>
    <mergeCell ref="A17:B17"/>
    <mergeCell ref="A13:A14"/>
    <mergeCell ref="A15:A16"/>
    <mergeCell ref="F3:F4"/>
  </mergeCells>
  <printOptions/>
  <pageMargins left="0.91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1" ySplit="5" topLeftCell="C6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M3" sqref="M3"/>
    </sheetView>
  </sheetViews>
  <sheetFormatPr defaultColWidth="9.00390625" defaultRowHeight="12.75"/>
  <cols>
    <col min="1" max="1" width="10.00390625" style="17" customWidth="1"/>
    <col min="2" max="14" width="9.00390625" style="17" customWidth="1"/>
    <col min="15" max="16384" width="10.00390625" style="17" customWidth="1"/>
  </cols>
  <sheetData>
    <row r="1" ht="14.25">
      <c r="A1" s="46" t="s">
        <v>75</v>
      </c>
    </row>
    <row r="2" s="25" customFormat="1" ht="19.5" customHeight="1">
      <c r="N2" s="47"/>
    </row>
    <row r="3" spans="1:14" s="25" customFormat="1" ht="19.5" customHeight="1">
      <c r="A3" s="48" t="s">
        <v>76</v>
      </c>
      <c r="N3" s="47" t="s">
        <v>53</v>
      </c>
    </row>
    <row r="4" spans="1:14" s="19" customFormat="1" ht="19.5" customHeight="1">
      <c r="A4" s="315" t="s">
        <v>54</v>
      </c>
      <c r="B4" s="318" t="s">
        <v>55</v>
      </c>
      <c r="C4" s="319"/>
      <c r="D4" s="318" t="s">
        <v>0</v>
      </c>
      <c r="E4" s="319"/>
      <c r="F4" s="318" t="s">
        <v>1</v>
      </c>
      <c r="G4" s="319"/>
      <c r="H4" s="317" t="s">
        <v>2</v>
      </c>
      <c r="I4" s="317"/>
      <c r="J4" s="317" t="s">
        <v>56</v>
      </c>
      <c r="K4" s="317"/>
      <c r="L4" s="317" t="s">
        <v>57</v>
      </c>
      <c r="M4" s="317"/>
      <c r="N4" s="313" t="s">
        <v>58</v>
      </c>
    </row>
    <row r="5" spans="1:14" s="19" customFormat="1" ht="19.5" customHeight="1">
      <c r="A5" s="316"/>
      <c r="B5" s="21" t="s">
        <v>59</v>
      </c>
      <c r="C5" s="21" t="s">
        <v>60</v>
      </c>
      <c r="D5" s="21" t="s">
        <v>59</v>
      </c>
      <c r="E5" s="21" t="s">
        <v>60</v>
      </c>
      <c r="F5" s="21" t="s">
        <v>59</v>
      </c>
      <c r="G5" s="21" t="s">
        <v>60</v>
      </c>
      <c r="H5" s="21" t="s">
        <v>59</v>
      </c>
      <c r="I5" s="21" t="s">
        <v>60</v>
      </c>
      <c r="J5" s="21" t="s">
        <v>59</v>
      </c>
      <c r="K5" s="21" t="s">
        <v>60</v>
      </c>
      <c r="L5" s="21" t="s">
        <v>59</v>
      </c>
      <c r="M5" s="21" t="s">
        <v>60</v>
      </c>
      <c r="N5" s="314"/>
    </row>
    <row r="6" spans="1:14" s="25" customFormat="1" ht="21" customHeight="1">
      <c r="A6" s="20" t="s">
        <v>61</v>
      </c>
      <c r="B6" s="22">
        <v>10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  <c r="J6" s="22">
        <v>10</v>
      </c>
      <c r="K6" s="22">
        <v>10</v>
      </c>
      <c r="L6" s="23">
        <v>10</v>
      </c>
      <c r="M6" s="22">
        <v>10</v>
      </c>
      <c r="N6" s="24"/>
    </row>
    <row r="7" spans="1:14" s="25" customFormat="1" ht="21" customHeight="1">
      <c r="A7" s="20" t="s">
        <v>62</v>
      </c>
      <c r="B7" s="22">
        <f>ROUND(drilling!B7*1.1,0)</f>
        <v>155</v>
      </c>
      <c r="C7" s="22">
        <f>ROUND(drilling!C7*0.9,0)</f>
        <v>92</v>
      </c>
      <c r="D7" s="22">
        <f>ROUND(drilling!D7*1.1,0)</f>
        <v>140</v>
      </c>
      <c r="E7" s="22">
        <f>ROUND(drilling!E7*0.9,0)</f>
        <v>83</v>
      </c>
      <c r="F7" s="22">
        <f>ROUND(drilling!F7*1.1,0)</f>
        <v>120</v>
      </c>
      <c r="G7" s="22">
        <f>drilling!G7</f>
        <v>91</v>
      </c>
      <c r="H7" s="22">
        <f>ROUND(drilling!F7*1.1,0)</f>
        <v>120</v>
      </c>
      <c r="I7" s="22">
        <f>drilling!I7</f>
        <v>52</v>
      </c>
      <c r="J7" s="22">
        <f>ROUND(drilling!J7*1.1,0)</f>
        <v>87</v>
      </c>
      <c r="K7" s="22">
        <f>drilling!K7</f>
        <v>59</v>
      </c>
      <c r="L7" s="23">
        <f>drilling!L7*1.1</f>
        <v>86.9</v>
      </c>
      <c r="M7" s="22">
        <f>drilling!M7</f>
        <v>59</v>
      </c>
      <c r="N7" s="24"/>
    </row>
    <row r="8" spans="1:14" s="25" customFormat="1" ht="24">
      <c r="A8" s="26" t="s">
        <v>63</v>
      </c>
      <c r="B8" s="22">
        <v>70</v>
      </c>
      <c r="C8" s="22">
        <v>50</v>
      </c>
      <c r="D8" s="22">
        <v>70</v>
      </c>
      <c r="E8" s="22">
        <v>50</v>
      </c>
      <c r="F8" s="22">
        <v>60</v>
      </c>
      <c r="G8" s="22">
        <v>50</v>
      </c>
      <c r="H8" s="22">
        <v>60</v>
      </c>
      <c r="I8" s="22">
        <v>50</v>
      </c>
      <c r="J8" s="22">
        <v>60</v>
      </c>
      <c r="K8" s="22">
        <v>50</v>
      </c>
      <c r="L8" s="23">
        <v>60</v>
      </c>
      <c r="M8" s="22">
        <v>50</v>
      </c>
      <c r="N8" s="24"/>
    </row>
    <row r="9" spans="1:14" s="25" customFormat="1" ht="21" customHeight="1">
      <c r="A9" s="20" t="s">
        <v>64</v>
      </c>
      <c r="B9" s="22">
        <v>30</v>
      </c>
      <c r="C9" s="22">
        <v>30</v>
      </c>
      <c r="D9" s="22">
        <v>30</v>
      </c>
      <c r="E9" s="22">
        <v>30</v>
      </c>
      <c r="F9" s="22">
        <v>30</v>
      </c>
      <c r="G9" s="22">
        <v>30</v>
      </c>
      <c r="H9" s="22">
        <v>30</v>
      </c>
      <c r="I9" s="22">
        <v>30</v>
      </c>
      <c r="J9" s="22">
        <v>30</v>
      </c>
      <c r="K9" s="22">
        <v>30</v>
      </c>
      <c r="L9" s="23">
        <v>30</v>
      </c>
      <c r="M9" s="22">
        <v>30</v>
      </c>
      <c r="N9" s="24"/>
    </row>
    <row r="10" spans="1:14" s="25" customFormat="1" ht="21" customHeight="1">
      <c r="A10" s="20" t="s">
        <v>65</v>
      </c>
      <c r="B10" s="22">
        <f>ROUND(mucking!B7*1.1,0)</f>
        <v>179</v>
      </c>
      <c r="C10" s="22">
        <f>ROUND(mucking!C7*0.9,0)</f>
        <v>148</v>
      </c>
      <c r="D10" s="22">
        <f>ROUND(mucking!D7*1.1,0)</f>
        <v>179</v>
      </c>
      <c r="E10" s="22">
        <f>ROUND(mucking!E7*0.9,0)</f>
        <v>148</v>
      </c>
      <c r="F10" s="22">
        <f>ROUND(mucking!F7*1.1,0)</f>
        <v>154</v>
      </c>
      <c r="G10" s="22">
        <f>mucking!G7</f>
        <v>145.6</v>
      </c>
      <c r="H10" s="22">
        <f>ROUND(mucking!H7*1.1,0)</f>
        <v>99</v>
      </c>
      <c r="I10" s="22">
        <f>ROUND(mucking!I7,0)</f>
        <v>80</v>
      </c>
      <c r="J10" s="22">
        <f>ROUND(mucking!J7*1.1,0)</f>
        <v>82</v>
      </c>
      <c r="K10" s="22">
        <f>ROUND(mucking!K7,0)</f>
        <v>66</v>
      </c>
      <c r="L10" s="23">
        <f>mucking!L7*1.1</f>
        <v>82.28000000000002</v>
      </c>
      <c r="M10" s="22">
        <f>mucking!M7</f>
        <v>65.80000000000001</v>
      </c>
      <c r="N10" s="24"/>
    </row>
    <row r="11" spans="1:14" s="25" customFormat="1" ht="19.5" customHeight="1">
      <c r="A11" s="20" t="s">
        <v>66</v>
      </c>
      <c r="B11" s="22">
        <v>60</v>
      </c>
      <c r="C11" s="22">
        <v>60</v>
      </c>
      <c r="D11" s="22">
        <v>60</v>
      </c>
      <c r="E11" s="22">
        <v>60</v>
      </c>
      <c r="F11" s="22">
        <v>60</v>
      </c>
      <c r="G11" s="22">
        <v>60</v>
      </c>
      <c r="H11" s="22">
        <v>60</v>
      </c>
      <c r="I11" s="22">
        <v>60</v>
      </c>
      <c r="J11" s="22">
        <v>60</v>
      </c>
      <c r="K11" s="22">
        <v>60</v>
      </c>
      <c r="L11" s="22">
        <v>60</v>
      </c>
      <c r="M11" s="22">
        <v>60</v>
      </c>
      <c r="N11" s="24"/>
    </row>
    <row r="12" spans="1:14" s="25" customFormat="1" ht="21" customHeight="1">
      <c r="A12" s="20" t="s">
        <v>67</v>
      </c>
      <c r="B12" s="22">
        <f>ROUND(shotcrete!B10*1.1,0)</f>
        <v>142</v>
      </c>
      <c r="C12" s="22">
        <f>shotcrete!C10</f>
        <v>67.5</v>
      </c>
      <c r="D12" s="22">
        <f>ROUND(shotcrete!D10*1.1,0)</f>
        <v>156</v>
      </c>
      <c r="E12" s="22">
        <f>shotcrete!E10</f>
        <v>80</v>
      </c>
      <c r="F12" s="22">
        <f>shotcrete!F10*1.1</f>
        <v>138.60000000000002</v>
      </c>
      <c r="G12" s="22">
        <f>shotcrete!G10</f>
        <v>73</v>
      </c>
      <c r="H12" s="22">
        <f>ROUND(shotcrete!H10*1.1,0)</f>
        <v>133</v>
      </c>
      <c r="I12" s="22">
        <f>shotcrete!I10</f>
        <v>48.5</v>
      </c>
      <c r="J12" s="22">
        <f>ROUND(shotcrete!J10*1.1,0)</f>
        <v>116</v>
      </c>
      <c r="K12" s="22">
        <f>shotcrete!K10</f>
        <v>65</v>
      </c>
      <c r="L12" s="23">
        <f>shotcrete!L10*1.1</f>
        <v>115.50000000000001</v>
      </c>
      <c r="M12" s="22">
        <f>shotcrete!M10</f>
        <v>65</v>
      </c>
      <c r="N12" s="24"/>
    </row>
    <row r="13" spans="1:14" s="25" customFormat="1" ht="21" customHeight="1">
      <c r="A13" s="20" t="s">
        <v>68</v>
      </c>
      <c r="B13" s="22">
        <f>rockbolt!B11</f>
        <v>36</v>
      </c>
      <c r="C13" s="22"/>
      <c r="D13" s="22">
        <f>ROUND(rockbolt!D11*1.1,0)</f>
        <v>99</v>
      </c>
      <c r="E13" s="22"/>
      <c r="F13" s="22">
        <f>ROUND(rockbolt!F11*1.1,0)</f>
        <v>140</v>
      </c>
      <c r="G13" s="22">
        <f>rockbolt!G11</f>
        <v>97</v>
      </c>
      <c r="H13" s="22">
        <f>ROUND(rockbolt!H11*1.1,0)</f>
        <v>118</v>
      </c>
      <c r="I13" s="22">
        <f>ROUND(rockbolt!I11,0)</f>
        <v>81</v>
      </c>
      <c r="J13" s="22">
        <f>ROUND(rockbolt!J11*1.1,0)</f>
        <v>118</v>
      </c>
      <c r="K13" s="22">
        <f>rockbolt!K11</f>
        <v>81</v>
      </c>
      <c r="L13" s="23">
        <f>rockbolt!L11*1.1</f>
        <v>117.7</v>
      </c>
      <c r="M13" s="22">
        <f>rockbolt!M11</f>
        <v>81</v>
      </c>
      <c r="N13" s="24"/>
    </row>
    <row r="14" spans="1:14" s="25" customFormat="1" ht="21" customHeight="1">
      <c r="A14" s="27" t="s">
        <v>69</v>
      </c>
      <c r="B14" s="28">
        <f aca="true" t="shared" si="0" ref="B14:M14">SUM(B6:B13)</f>
        <v>682</v>
      </c>
      <c r="C14" s="28">
        <f t="shared" si="0"/>
        <v>457.5</v>
      </c>
      <c r="D14" s="28">
        <f t="shared" si="0"/>
        <v>744</v>
      </c>
      <c r="E14" s="28">
        <f t="shared" si="0"/>
        <v>461</v>
      </c>
      <c r="F14" s="28">
        <f t="shared" si="0"/>
        <v>712.6</v>
      </c>
      <c r="G14" s="28">
        <f t="shared" si="0"/>
        <v>556.6</v>
      </c>
      <c r="H14" s="28">
        <f t="shared" si="0"/>
        <v>630</v>
      </c>
      <c r="I14" s="28">
        <f t="shared" si="0"/>
        <v>411.5</v>
      </c>
      <c r="J14" s="28">
        <f t="shared" si="0"/>
        <v>563</v>
      </c>
      <c r="K14" s="28">
        <f t="shared" si="0"/>
        <v>421</v>
      </c>
      <c r="L14" s="29">
        <f t="shared" si="0"/>
        <v>562.38</v>
      </c>
      <c r="M14" s="28">
        <f t="shared" si="0"/>
        <v>420.8</v>
      </c>
      <c r="N14" s="30"/>
    </row>
    <row r="15" spans="1:14" s="25" customFormat="1" ht="20.25" customHeight="1">
      <c r="A15" s="31" t="s">
        <v>70</v>
      </c>
      <c r="B15" s="32">
        <f aca="true" t="shared" si="1" ref="B15:M15">ROUND(B14/60,2)</f>
        <v>11.37</v>
      </c>
      <c r="C15" s="32">
        <f t="shared" si="1"/>
        <v>7.63</v>
      </c>
      <c r="D15" s="32">
        <f t="shared" si="1"/>
        <v>12.4</v>
      </c>
      <c r="E15" s="32">
        <f t="shared" si="1"/>
        <v>7.68</v>
      </c>
      <c r="F15" s="32">
        <f t="shared" si="1"/>
        <v>11.88</v>
      </c>
      <c r="G15" s="32">
        <f t="shared" si="1"/>
        <v>9.28</v>
      </c>
      <c r="H15" s="32">
        <f t="shared" si="1"/>
        <v>10.5</v>
      </c>
      <c r="I15" s="32">
        <f t="shared" si="1"/>
        <v>6.86</v>
      </c>
      <c r="J15" s="32">
        <f t="shared" si="1"/>
        <v>9.38</v>
      </c>
      <c r="K15" s="32">
        <f t="shared" si="1"/>
        <v>7.02</v>
      </c>
      <c r="L15" s="32">
        <f t="shared" si="1"/>
        <v>9.37</v>
      </c>
      <c r="M15" s="32">
        <f t="shared" si="1"/>
        <v>7.01</v>
      </c>
      <c r="N15" s="33"/>
    </row>
    <row r="16" spans="1:14" s="25" customFormat="1" ht="36">
      <c r="A16" s="34" t="s">
        <v>71</v>
      </c>
      <c r="B16" s="35">
        <f aca="true" t="shared" si="2" ref="B16:M16">ROUND(24/B15,2)</f>
        <v>2.11</v>
      </c>
      <c r="C16" s="35">
        <f t="shared" si="2"/>
        <v>3.15</v>
      </c>
      <c r="D16" s="35">
        <f t="shared" si="2"/>
        <v>1.94</v>
      </c>
      <c r="E16" s="35">
        <f t="shared" si="2"/>
        <v>3.13</v>
      </c>
      <c r="F16" s="35">
        <f t="shared" si="2"/>
        <v>2.02</v>
      </c>
      <c r="G16" s="35">
        <f t="shared" si="2"/>
        <v>2.59</v>
      </c>
      <c r="H16" s="35">
        <f t="shared" si="2"/>
        <v>2.29</v>
      </c>
      <c r="I16" s="35">
        <f t="shared" si="2"/>
        <v>3.5</v>
      </c>
      <c r="J16" s="35">
        <f t="shared" si="2"/>
        <v>2.56</v>
      </c>
      <c r="K16" s="35">
        <f t="shared" si="2"/>
        <v>3.42</v>
      </c>
      <c r="L16" s="35">
        <f t="shared" si="2"/>
        <v>2.56</v>
      </c>
      <c r="M16" s="35">
        <f t="shared" si="2"/>
        <v>3.42</v>
      </c>
      <c r="N16" s="36"/>
    </row>
    <row r="17" spans="1:14" s="25" customFormat="1" ht="36" hidden="1">
      <c r="A17" s="37" t="s">
        <v>72</v>
      </c>
      <c r="B17" s="38">
        <f aca="true" t="shared" si="3" ref="B17:M17">ROUND(20/B15,2)</f>
        <v>1.76</v>
      </c>
      <c r="C17" s="38">
        <f t="shared" si="3"/>
        <v>2.62</v>
      </c>
      <c r="D17" s="38">
        <f t="shared" si="3"/>
        <v>1.61</v>
      </c>
      <c r="E17" s="38">
        <f t="shared" si="3"/>
        <v>2.6</v>
      </c>
      <c r="F17" s="38">
        <f t="shared" si="3"/>
        <v>1.68</v>
      </c>
      <c r="G17" s="38">
        <f t="shared" si="3"/>
        <v>2.16</v>
      </c>
      <c r="H17" s="38">
        <f t="shared" si="3"/>
        <v>1.9</v>
      </c>
      <c r="I17" s="38">
        <f t="shared" si="3"/>
        <v>2.92</v>
      </c>
      <c r="J17" s="38">
        <f t="shared" si="3"/>
        <v>2.13</v>
      </c>
      <c r="K17" s="38">
        <f t="shared" si="3"/>
        <v>2.85</v>
      </c>
      <c r="L17" s="38">
        <f t="shared" si="3"/>
        <v>2.13</v>
      </c>
      <c r="M17" s="38">
        <f t="shared" si="3"/>
        <v>2.85</v>
      </c>
      <c r="N17" s="39"/>
    </row>
    <row r="18" spans="1:14" s="18" customFormat="1" ht="12">
      <c r="A18" s="40" t="s">
        <v>73</v>
      </c>
      <c r="B18" s="41">
        <v>120</v>
      </c>
      <c r="C18" s="41">
        <v>120</v>
      </c>
      <c r="D18" s="41">
        <v>147</v>
      </c>
      <c r="E18" s="41">
        <v>147</v>
      </c>
      <c r="F18" s="41">
        <v>120</v>
      </c>
      <c r="G18" s="41">
        <v>120</v>
      </c>
      <c r="H18" s="41">
        <v>53</v>
      </c>
      <c r="I18" s="41">
        <v>53</v>
      </c>
      <c r="J18" s="41">
        <v>33</v>
      </c>
      <c r="K18" s="41">
        <v>33</v>
      </c>
      <c r="L18" s="41">
        <v>67</v>
      </c>
      <c r="M18" s="41">
        <v>67</v>
      </c>
      <c r="N18" s="42">
        <f>SUM(B18:M18)</f>
        <v>1080</v>
      </c>
    </row>
    <row r="19" spans="1:14" s="18" customFormat="1" ht="12" hidden="1">
      <c r="A19" s="40"/>
      <c r="B19" s="41">
        <f aca="true" t="shared" si="4" ref="B19:M19">ROUND(B18/B17,1)</f>
        <v>68.2</v>
      </c>
      <c r="C19" s="41">
        <f t="shared" si="4"/>
        <v>45.8</v>
      </c>
      <c r="D19" s="41">
        <f t="shared" si="4"/>
        <v>91.3</v>
      </c>
      <c r="E19" s="41">
        <f t="shared" si="4"/>
        <v>56.5</v>
      </c>
      <c r="F19" s="41">
        <f t="shared" si="4"/>
        <v>71.4</v>
      </c>
      <c r="G19" s="41">
        <f t="shared" si="4"/>
        <v>55.6</v>
      </c>
      <c r="H19" s="41">
        <f t="shared" si="4"/>
        <v>27.9</v>
      </c>
      <c r="I19" s="41">
        <f t="shared" si="4"/>
        <v>18.2</v>
      </c>
      <c r="J19" s="41">
        <f t="shared" si="4"/>
        <v>15.5</v>
      </c>
      <c r="K19" s="41">
        <f t="shared" si="4"/>
        <v>11.6</v>
      </c>
      <c r="L19" s="41">
        <f t="shared" si="4"/>
        <v>31.5</v>
      </c>
      <c r="M19" s="41">
        <f t="shared" si="4"/>
        <v>23.5</v>
      </c>
      <c r="N19" s="42">
        <f>SUM(B19:M19)</f>
        <v>517</v>
      </c>
    </row>
    <row r="20" spans="1:14" ht="13.5">
      <c r="A20" s="43" t="s">
        <v>74</v>
      </c>
      <c r="B20" s="44">
        <f aca="true" t="shared" si="5" ref="B20:M20">ROUND(B18/B16,1)</f>
        <v>56.9</v>
      </c>
      <c r="C20" s="44">
        <f t="shared" si="5"/>
        <v>38.1</v>
      </c>
      <c r="D20" s="44">
        <f t="shared" si="5"/>
        <v>75.8</v>
      </c>
      <c r="E20" s="44">
        <f t="shared" si="5"/>
        <v>47</v>
      </c>
      <c r="F20" s="44">
        <f t="shared" si="5"/>
        <v>59.4</v>
      </c>
      <c r="G20" s="44">
        <f t="shared" si="5"/>
        <v>46.3</v>
      </c>
      <c r="H20" s="44">
        <f t="shared" si="5"/>
        <v>23.1</v>
      </c>
      <c r="I20" s="44">
        <f t="shared" si="5"/>
        <v>15.1</v>
      </c>
      <c r="J20" s="44">
        <f t="shared" si="5"/>
        <v>12.9</v>
      </c>
      <c r="K20" s="44">
        <f t="shared" si="5"/>
        <v>9.6</v>
      </c>
      <c r="L20" s="44">
        <f t="shared" si="5"/>
        <v>26.2</v>
      </c>
      <c r="M20" s="44">
        <f t="shared" si="5"/>
        <v>19.6</v>
      </c>
      <c r="N20" s="45">
        <f>SUM(B20:M20)</f>
        <v>430.00000000000006</v>
      </c>
    </row>
    <row r="21" ht="13.5">
      <c r="N21" s="18">
        <f>SUM(L20,J20,H20,F20,D20,B20)</f>
        <v>254.29999999999998</v>
      </c>
    </row>
    <row r="22" ht="13.5">
      <c r="N22" s="18">
        <f>N20-N21</f>
        <v>175.70000000000007</v>
      </c>
    </row>
  </sheetData>
  <mergeCells count="8">
    <mergeCell ref="N4:N5"/>
    <mergeCell ref="A4:A5"/>
    <mergeCell ref="H4:I4"/>
    <mergeCell ref="J4:K4"/>
    <mergeCell ref="L4:M4"/>
    <mergeCell ref="F4:G4"/>
    <mergeCell ref="D4:E4"/>
    <mergeCell ref="B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pane xSplit="1" ySplit="4" topLeftCell="F5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B7" sqref="B7"/>
    </sheetView>
  </sheetViews>
  <sheetFormatPr defaultColWidth="9.00390625" defaultRowHeight="12.75"/>
  <cols>
    <col min="1" max="1" width="10.00390625" style="107" customWidth="1"/>
    <col min="2" max="14" width="9.00390625" style="107" customWidth="1"/>
    <col min="15" max="16384" width="10.00390625" style="107" customWidth="1"/>
  </cols>
  <sheetData>
    <row r="1" spans="1:2" ht="15">
      <c r="A1" s="105" t="s">
        <v>146</v>
      </c>
      <c r="B1" s="106"/>
    </row>
    <row r="2" s="106" customFormat="1" ht="19.5" customHeight="1">
      <c r="A2" s="108"/>
    </row>
    <row r="3" spans="1:14" s="110" customFormat="1" ht="19.5" customHeight="1">
      <c r="A3" s="322" t="s">
        <v>147</v>
      </c>
      <c r="B3" s="325" t="s">
        <v>134</v>
      </c>
      <c r="C3" s="326"/>
      <c r="D3" s="325" t="s">
        <v>0</v>
      </c>
      <c r="E3" s="326"/>
      <c r="F3" s="325" t="s">
        <v>1</v>
      </c>
      <c r="G3" s="326"/>
      <c r="H3" s="324" t="s">
        <v>2</v>
      </c>
      <c r="I3" s="324"/>
      <c r="J3" s="324" t="s">
        <v>135</v>
      </c>
      <c r="K3" s="324"/>
      <c r="L3" s="324" t="s">
        <v>136</v>
      </c>
      <c r="M3" s="324"/>
      <c r="N3" s="320" t="s">
        <v>148</v>
      </c>
    </row>
    <row r="4" spans="1:14" s="110" customFormat="1" ht="19.5" customHeight="1">
      <c r="A4" s="323"/>
      <c r="B4" s="101" t="s">
        <v>149</v>
      </c>
      <c r="C4" s="101" t="s">
        <v>150</v>
      </c>
      <c r="D4" s="101" t="s">
        <v>149</v>
      </c>
      <c r="E4" s="101" t="s">
        <v>150</v>
      </c>
      <c r="F4" s="101" t="s">
        <v>149</v>
      </c>
      <c r="G4" s="101" t="s">
        <v>150</v>
      </c>
      <c r="H4" s="101" t="s">
        <v>149</v>
      </c>
      <c r="I4" s="101" t="s">
        <v>150</v>
      </c>
      <c r="J4" s="101" t="s">
        <v>149</v>
      </c>
      <c r="K4" s="101" t="s">
        <v>150</v>
      </c>
      <c r="L4" s="101" t="s">
        <v>149</v>
      </c>
      <c r="M4" s="101" t="s">
        <v>150</v>
      </c>
      <c r="N4" s="321"/>
    </row>
    <row r="5" spans="1:14" s="114" customFormat="1" ht="21" customHeight="1">
      <c r="A5" s="111" t="s">
        <v>137</v>
      </c>
      <c r="B5" s="112">
        <v>10</v>
      </c>
      <c r="C5" s="112">
        <v>10</v>
      </c>
      <c r="D5" s="112">
        <v>10</v>
      </c>
      <c r="E5" s="112">
        <v>10</v>
      </c>
      <c r="F5" s="112">
        <v>10</v>
      </c>
      <c r="G5" s="112">
        <v>10</v>
      </c>
      <c r="H5" s="112">
        <v>10</v>
      </c>
      <c r="I5" s="112">
        <v>10</v>
      </c>
      <c r="J5" s="112">
        <v>10</v>
      </c>
      <c r="K5" s="112">
        <v>10</v>
      </c>
      <c r="L5" s="112">
        <v>10</v>
      </c>
      <c r="M5" s="112">
        <v>10</v>
      </c>
      <c r="N5" s="113"/>
    </row>
    <row r="6" spans="1:14" s="114" customFormat="1" ht="21" customHeight="1">
      <c r="A6" s="111" t="s">
        <v>138</v>
      </c>
      <c r="B6" s="112">
        <f>drilling!B7</f>
        <v>141</v>
      </c>
      <c r="C6" s="112">
        <f>drilling!C7</f>
        <v>102</v>
      </c>
      <c r="D6" s="112">
        <f>drilling!D7</f>
        <v>127</v>
      </c>
      <c r="E6" s="112">
        <f>drilling!E7</f>
        <v>92</v>
      </c>
      <c r="F6" s="112">
        <f>drilling!F7</f>
        <v>109</v>
      </c>
      <c r="G6" s="112">
        <f>drilling!G7</f>
        <v>91</v>
      </c>
      <c r="H6" s="112">
        <f>drilling!F7</f>
        <v>109</v>
      </c>
      <c r="I6" s="112">
        <f>drilling!I7</f>
        <v>52</v>
      </c>
      <c r="J6" s="112">
        <f>drilling!J7</f>
        <v>79</v>
      </c>
      <c r="K6" s="112">
        <f>drilling!K7</f>
        <v>59</v>
      </c>
      <c r="L6" s="112">
        <f>drilling!L7</f>
        <v>79</v>
      </c>
      <c r="M6" s="112">
        <f>drilling!M7</f>
        <v>59</v>
      </c>
      <c r="N6" s="113"/>
    </row>
    <row r="7" spans="1:14" s="114" customFormat="1" ht="25.5">
      <c r="A7" s="115" t="s">
        <v>139</v>
      </c>
      <c r="B7" s="112">
        <v>60</v>
      </c>
      <c r="C7" s="112">
        <v>40</v>
      </c>
      <c r="D7" s="112">
        <v>60</v>
      </c>
      <c r="E7" s="112">
        <v>40</v>
      </c>
      <c r="F7" s="112">
        <v>55</v>
      </c>
      <c r="G7" s="112">
        <v>35</v>
      </c>
      <c r="H7" s="112">
        <v>55</v>
      </c>
      <c r="I7" s="112">
        <v>35</v>
      </c>
      <c r="J7" s="112">
        <v>55</v>
      </c>
      <c r="K7" s="112">
        <v>35</v>
      </c>
      <c r="L7" s="112">
        <v>55</v>
      </c>
      <c r="M7" s="112">
        <v>35</v>
      </c>
      <c r="N7" s="113"/>
    </row>
    <row r="8" spans="1:14" s="114" customFormat="1" ht="21" customHeight="1">
      <c r="A8" s="111" t="s">
        <v>140</v>
      </c>
      <c r="B8" s="112">
        <v>20</v>
      </c>
      <c r="C8" s="112">
        <v>20</v>
      </c>
      <c r="D8" s="112">
        <v>20</v>
      </c>
      <c r="E8" s="112">
        <v>20</v>
      </c>
      <c r="F8" s="112">
        <v>20</v>
      </c>
      <c r="G8" s="112">
        <v>20</v>
      </c>
      <c r="H8" s="112">
        <v>10</v>
      </c>
      <c r="I8" s="112">
        <v>10</v>
      </c>
      <c r="J8" s="112">
        <v>10</v>
      </c>
      <c r="K8" s="112">
        <v>10</v>
      </c>
      <c r="L8" s="112">
        <v>10</v>
      </c>
      <c r="M8" s="112">
        <v>10</v>
      </c>
      <c r="N8" s="113"/>
    </row>
    <row r="9" spans="1:14" s="114" customFormat="1" ht="21" customHeight="1">
      <c r="A9" s="111" t="s">
        <v>141</v>
      </c>
      <c r="B9" s="112">
        <f>mucking!B7</f>
        <v>162.4</v>
      </c>
      <c r="C9" s="112">
        <f>mucking!C7</f>
        <v>164.2</v>
      </c>
      <c r="D9" s="112">
        <f>mucking!D7</f>
        <v>162.4</v>
      </c>
      <c r="E9" s="112">
        <f>mucking!E7</f>
        <v>164.2</v>
      </c>
      <c r="F9" s="112">
        <f>mucking!F7</f>
        <v>140.2</v>
      </c>
      <c r="G9" s="112">
        <f>mucking!G7</f>
        <v>145.6</v>
      </c>
      <c r="H9" s="112">
        <f>mucking!H7</f>
        <v>89.80000000000001</v>
      </c>
      <c r="I9" s="112">
        <f>mucking!I7</f>
        <v>79.6</v>
      </c>
      <c r="J9" s="112">
        <f>mucking!J7</f>
        <v>74.80000000000001</v>
      </c>
      <c r="K9" s="112">
        <f>mucking!K7</f>
        <v>65.80000000000001</v>
      </c>
      <c r="L9" s="112">
        <f>mucking!L7</f>
        <v>74.80000000000001</v>
      </c>
      <c r="M9" s="112">
        <f>mucking!M7</f>
        <v>65.80000000000001</v>
      </c>
      <c r="N9" s="113"/>
    </row>
    <row r="10" spans="1:14" s="114" customFormat="1" ht="19.5" customHeight="1">
      <c r="A10" s="111" t="s">
        <v>142</v>
      </c>
      <c r="B10" s="112">
        <v>25</v>
      </c>
      <c r="C10" s="112">
        <v>25</v>
      </c>
      <c r="D10" s="112">
        <v>25</v>
      </c>
      <c r="E10" s="112">
        <v>25</v>
      </c>
      <c r="F10" s="112">
        <v>25</v>
      </c>
      <c r="G10" s="112">
        <v>25</v>
      </c>
      <c r="H10" s="112">
        <v>25</v>
      </c>
      <c r="I10" s="112">
        <v>25</v>
      </c>
      <c r="J10" s="112">
        <v>25</v>
      </c>
      <c r="K10" s="112">
        <v>25</v>
      </c>
      <c r="L10" s="112">
        <v>25</v>
      </c>
      <c r="M10" s="112">
        <v>25</v>
      </c>
      <c r="N10" s="113"/>
    </row>
    <row r="11" spans="1:14" s="114" customFormat="1" ht="21" customHeight="1">
      <c r="A11" s="111" t="s">
        <v>143</v>
      </c>
      <c r="B11" s="112">
        <f>shotcrete!B10</f>
        <v>129</v>
      </c>
      <c r="C11" s="112">
        <f>shotcrete!C10</f>
        <v>67.5</v>
      </c>
      <c r="D11" s="112">
        <f>shotcrete!D10</f>
        <v>142</v>
      </c>
      <c r="E11" s="112">
        <f>shotcrete!E10</f>
        <v>80</v>
      </c>
      <c r="F11" s="112">
        <f>shotcrete!F10</f>
        <v>126</v>
      </c>
      <c r="G11" s="112">
        <f>shotcrete!G10</f>
        <v>73</v>
      </c>
      <c r="H11" s="112">
        <f>shotcrete!H10</f>
        <v>121</v>
      </c>
      <c r="I11" s="112">
        <f>shotcrete!I10</f>
        <v>48.5</v>
      </c>
      <c r="J11" s="112">
        <f>shotcrete!J10</f>
        <v>105</v>
      </c>
      <c r="K11" s="112">
        <f>shotcrete!K10</f>
        <v>65</v>
      </c>
      <c r="L11" s="112">
        <f>shotcrete!L10</f>
        <v>105</v>
      </c>
      <c r="M11" s="112">
        <f>shotcrete!M10</f>
        <v>65</v>
      </c>
      <c r="N11" s="113"/>
    </row>
    <row r="12" spans="1:14" s="114" customFormat="1" ht="21" customHeight="1">
      <c r="A12" s="111" t="s">
        <v>144</v>
      </c>
      <c r="B12" s="112">
        <f>rockbolt!B11</f>
        <v>36</v>
      </c>
      <c r="C12" s="112">
        <f>rockbolt!C11</f>
        <v>36</v>
      </c>
      <c r="D12" s="112">
        <f>rockbolt!D11</f>
        <v>90</v>
      </c>
      <c r="E12" s="112">
        <f>rockbolt!E11</f>
        <v>36</v>
      </c>
      <c r="F12" s="112">
        <f>rockbolt!F11</f>
        <v>127</v>
      </c>
      <c r="G12" s="112">
        <f>rockbolt!G11</f>
        <v>97</v>
      </c>
      <c r="H12" s="112">
        <f>rockbolt!H11</f>
        <v>107</v>
      </c>
      <c r="I12" s="112">
        <f>rockbolt!I11</f>
        <v>81</v>
      </c>
      <c r="J12" s="112">
        <f>rockbolt!J11</f>
        <v>107</v>
      </c>
      <c r="K12" s="112">
        <f>rockbolt!K11</f>
        <v>81</v>
      </c>
      <c r="L12" s="112">
        <f>rockbolt!L11</f>
        <v>107</v>
      </c>
      <c r="M12" s="112">
        <f>rockbolt!M11</f>
        <v>81</v>
      </c>
      <c r="N12" s="113"/>
    </row>
    <row r="13" spans="1:14" s="114" customFormat="1" ht="21" customHeight="1">
      <c r="A13" s="104" t="s">
        <v>151</v>
      </c>
      <c r="B13" s="116">
        <f aca="true" t="shared" si="0" ref="B13:M13">SUM(B5:B12)</f>
        <v>583.4</v>
      </c>
      <c r="C13" s="116">
        <f t="shared" si="0"/>
        <v>464.7</v>
      </c>
      <c r="D13" s="116">
        <f t="shared" si="0"/>
        <v>636.4</v>
      </c>
      <c r="E13" s="116">
        <f t="shared" si="0"/>
        <v>467.2</v>
      </c>
      <c r="F13" s="116">
        <f t="shared" si="0"/>
        <v>612.2</v>
      </c>
      <c r="G13" s="116">
        <f t="shared" si="0"/>
        <v>496.6</v>
      </c>
      <c r="H13" s="116">
        <f t="shared" si="0"/>
        <v>526.8</v>
      </c>
      <c r="I13" s="116">
        <f t="shared" si="0"/>
        <v>341.1</v>
      </c>
      <c r="J13" s="116">
        <f t="shared" si="0"/>
        <v>465.8</v>
      </c>
      <c r="K13" s="116">
        <f t="shared" si="0"/>
        <v>350.8</v>
      </c>
      <c r="L13" s="116">
        <f t="shared" si="0"/>
        <v>465.8</v>
      </c>
      <c r="M13" s="116">
        <f t="shared" si="0"/>
        <v>350.8</v>
      </c>
      <c r="N13" s="117"/>
    </row>
    <row r="14" spans="1:14" s="114" customFormat="1" ht="20.25" customHeight="1">
      <c r="A14" s="118" t="s">
        <v>145</v>
      </c>
      <c r="B14" s="119">
        <f aca="true" t="shared" si="1" ref="B14:M14">ROUND(B13/60,2)</f>
        <v>9.72</v>
      </c>
      <c r="C14" s="119">
        <f t="shared" si="1"/>
        <v>7.75</v>
      </c>
      <c r="D14" s="119">
        <f t="shared" si="1"/>
        <v>10.61</v>
      </c>
      <c r="E14" s="119">
        <f t="shared" si="1"/>
        <v>7.79</v>
      </c>
      <c r="F14" s="119">
        <f t="shared" si="1"/>
        <v>10.2</v>
      </c>
      <c r="G14" s="119">
        <f t="shared" si="1"/>
        <v>8.28</v>
      </c>
      <c r="H14" s="119">
        <f t="shared" si="1"/>
        <v>8.78</v>
      </c>
      <c r="I14" s="119">
        <f t="shared" si="1"/>
        <v>5.69</v>
      </c>
      <c r="J14" s="119">
        <f t="shared" si="1"/>
        <v>7.76</v>
      </c>
      <c r="K14" s="119">
        <f t="shared" si="1"/>
        <v>5.85</v>
      </c>
      <c r="L14" s="119">
        <f t="shared" si="1"/>
        <v>7.76</v>
      </c>
      <c r="M14" s="119">
        <f t="shared" si="1"/>
        <v>5.85</v>
      </c>
      <c r="N14" s="120"/>
    </row>
    <row r="15" spans="1:14" s="114" customFormat="1" ht="24.75" customHeight="1">
      <c r="A15" s="115" t="s">
        <v>152</v>
      </c>
      <c r="B15" s="121">
        <f aca="true" t="shared" si="2" ref="B15:M15">ROUND(24/B14,2)</f>
        <v>2.47</v>
      </c>
      <c r="C15" s="121">
        <f t="shared" si="2"/>
        <v>3.1</v>
      </c>
      <c r="D15" s="121">
        <f t="shared" si="2"/>
        <v>2.26</v>
      </c>
      <c r="E15" s="121">
        <f t="shared" si="2"/>
        <v>3.08</v>
      </c>
      <c r="F15" s="121">
        <f t="shared" si="2"/>
        <v>2.35</v>
      </c>
      <c r="G15" s="121">
        <f t="shared" si="2"/>
        <v>2.9</v>
      </c>
      <c r="H15" s="121">
        <f t="shared" si="2"/>
        <v>2.73</v>
      </c>
      <c r="I15" s="121">
        <f t="shared" si="2"/>
        <v>4.22</v>
      </c>
      <c r="J15" s="121">
        <f t="shared" si="2"/>
        <v>3.09</v>
      </c>
      <c r="K15" s="121">
        <f t="shared" si="2"/>
        <v>4.1</v>
      </c>
      <c r="L15" s="121">
        <f t="shared" si="2"/>
        <v>3.09</v>
      </c>
      <c r="M15" s="121">
        <f t="shared" si="2"/>
        <v>4.1</v>
      </c>
      <c r="N15" s="113"/>
    </row>
    <row r="16" spans="1:14" s="114" customFormat="1" ht="15.75" customHeight="1" hidden="1">
      <c r="A16" s="122" t="s">
        <v>153</v>
      </c>
      <c r="B16" s="123">
        <f aca="true" t="shared" si="3" ref="B16:M16">ROUND(20/B14,2)</f>
        <v>2.06</v>
      </c>
      <c r="C16" s="123">
        <f t="shared" si="3"/>
        <v>2.58</v>
      </c>
      <c r="D16" s="123">
        <f t="shared" si="3"/>
        <v>1.89</v>
      </c>
      <c r="E16" s="123">
        <f t="shared" si="3"/>
        <v>2.57</v>
      </c>
      <c r="F16" s="123">
        <f t="shared" si="3"/>
        <v>1.96</v>
      </c>
      <c r="G16" s="123">
        <f t="shared" si="3"/>
        <v>2.42</v>
      </c>
      <c r="H16" s="123">
        <f t="shared" si="3"/>
        <v>2.28</v>
      </c>
      <c r="I16" s="123">
        <f t="shared" si="3"/>
        <v>3.51</v>
      </c>
      <c r="J16" s="123">
        <f t="shared" si="3"/>
        <v>2.58</v>
      </c>
      <c r="K16" s="123">
        <f t="shared" si="3"/>
        <v>3.42</v>
      </c>
      <c r="L16" s="123">
        <f t="shared" si="3"/>
        <v>2.58</v>
      </c>
      <c r="M16" s="123">
        <f t="shared" si="3"/>
        <v>3.42</v>
      </c>
      <c r="N16" s="117"/>
    </row>
    <row r="17" spans="1:14" s="106" customFormat="1" ht="12.75">
      <c r="A17" s="124" t="s">
        <v>154</v>
      </c>
      <c r="B17" s="106">
        <v>120</v>
      </c>
      <c r="C17" s="106">
        <v>120</v>
      </c>
      <c r="D17" s="106">
        <v>147</v>
      </c>
      <c r="E17" s="106">
        <v>147</v>
      </c>
      <c r="F17" s="106">
        <v>120</v>
      </c>
      <c r="G17" s="106">
        <v>120</v>
      </c>
      <c r="H17" s="106">
        <v>53</v>
      </c>
      <c r="I17" s="106">
        <v>53</v>
      </c>
      <c r="J17" s="106">
        <v>33</v>
      </c>
      <c r="K17" s="106">
        <v>33</v>
      </c>
      <c r="L17" s="106">
        <v>67</v>
      </c>
      <c r="M17" s="106">
        <v>67</v>
      </c>
      <c r="N17" s="125">
        <f>SUM(B17:M17)</f>
        <v>1080</v>
      </c>
    </row>
    <row r="18" spans="2:14" s="106" customFormat="1" ht="12.75" hidden="1">
      <c r="B18" s="106">
        <f aca="true" t="shared" si="4" ref="B18:M18">ROUND(B17/B16,1)</f>
        <v>58.3</v>
      </c>
      <c r="C18" s="106">
        <f t="shared" si="4"/>
        <v>46.5</v>
      </c>
      <c r="D18" s="106">
        <f t="shared" si="4"/>
        <v>77.8</v>
      </c>
      <c r="E18" s="106">
        <f t="shared" si="4"/>
        <v>57.2</v>
      </c>
      <c r="F18" s="106">
        <f t="shared" si="4"/>
        <v>61.2</v>
      </c>
      <c r="G18" s="106">
        <f t="shared" si="4"/>
        <v>49.6</v>
      </c>
      <c r="H18" s="106">
        <f t="shared" si="4"/>
        <v>23.2</v>
      </c>
      <c r="I18" s="106">
        <f t="shared" si="4"/>
        <v>15.1</v>
      </c>
      <c r="J18" s="106">
        <f t="shared" si="4"/>
        <v>12.8</v>
      </c>
      <c r="K18" s="106">
        <f t="shared" si="4"/>
        <v>9.6</v>
      </c>
      <c r="L18" s="106">
        <f t="shared" si="4"/>
        <v>26</v>
      </c>
      <c r="M18" s="106">
        <f t="shared" si="4"/>
        <v>19.6</v>
      </c>
      <c r="N18" s="106">
        <f>SUM(B18:M18)</f>
        <v>456.9000000000001</v>
      </c>
    </row>
    <row r="19" spans="2:14" ht="14.25">
      <c r="B19" s="106">
        <f aca="true" t="shared" si="5" ref="B19:M19">ROUND(B17/B15,1)</f>
        <v>48.6</v>
      </c>
      <c r="C19" s="106">
        <f t="shared" si="5"/>
        <v>38.7</v>
      </c>
      <c r="D19" s="106">
        <f t="shared" si="5"/>
        <v>65</v>
      </c>
      <c r="E19" s="106">
        <f t="shared" si="5"/>
        <v>47.7</v>
      </c>
      <c r="F19" s="106">
        <f t="shared" si="5"/>
        <v>51.1</v>
      </c>
      <c r="G19" s="106">
        <f t="shared" si="5"/>
        <v>41.4</v>
      </c>
      <c r="H19" s="106">
        <f t="shared" si="5"/>
        <v>19.4</v>
      </c>
      <c r="I19" s="106">
        <f t="shared" si="5"/>
        <v>12.6</v>
      </c>
      <c r="J19" s="106">
        <f t="shared" si="5"/>
        <v>10.7</v>
      </c>
      <c r="K19" s="106">
        <f t="shared" si="5"/>
        <v>8</v>
      </c>
      <c r="L19" s="106">
        <f t="shared" si="5"/>
        <v>21.7</v>
      </c>
      <c r="M19" s="106">
        <f t="shared" si="5"/>
        <v>16.3</v>
      </c>
      <c r="N19" s="106">
        <f>SUM(B19:M19)</f>
        <v>381.2</v>
      </c>
    </row>
  </sheetData>
  <mergeCells count="8">
    <mergeCell ref="N3:N4"/>
    <mergeCell ref="A3:A4"/>
    <mergeCell ref="H3:I3"/>
    <mergeCell ref="J3:K3"/>
    <mergeCell ref="L3:M3"/>
    <mergeCell ref="F3:G3"/>
    <mergeCell ref="D3:E3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7" sqref="B7"/>
    </sheetView>
  </sheetViews>
  <sheetFormatPr defaultColWidth="9.00390625" defaultRowHeight="12.75"/>
  <cols>
    <col min="1" max="1" width="14.375" style="106" customWidth="1"/>
    <col min="2" max="13" width="8.375" style="106" customWidth="1"/>
    <col min="14" max="14" width="11.375" style="106" customWidth="1"/>
    <col min="15" max="16384" width="10.00390625" style="106" customWidth="1"/>
  </cols>
  <sheetData>
    <row r="1" ht="12.75">
      <c r="A1" s="126" t="s">
        <v>161</v>
      </c>
    </row>
    <row r="2" ht="18">
      <c r="A2" s="108"/>
    </row>
    <row r="3" spans="1:14" s="110" customFormat="1" ht="19.5" customHeight="1">
      <c r="A3" s="322" t="s">
        <v>147</v>
      </c>
      <c r="B3" s="109" t="s">
        <v>134</v>
      </c>
      <c r="C3" s="109"/>
      <c r="D3" s="109" t="s">
        <v>0</v>
      </c>
      <c r="E3" s="109"/>
      <c r="F3" s="109" t="s">
        <v>1</v>
      </c>
      <c r="G3" s="109"/>
      <c r="H3" s="325" t="s">
        <v>2</v>
      </c>
      <c r="I3" s="326"/>
      <c r="J3" s="324" t="s">
        <v>135</v>
      </c>
      <c r="K3" s="324"/>
      <c r="L3" s="324" t="s">
        <v>136</v>
      </c>
      <c r="M3" s="324"/>
      <c r="N3" s="327" t="s">
        <v>148</v>
      </c>
    </row>
    <row r="4" spans="1:14" s="110" customFormat="1" ht="19.5" customHeight="1">
      <c r="A4" s="323"/>
      <c r="B4" s="101" t="s">
        <v>149</v>
      </c>
      <c r="C4" s="101" t="s">
        <v>150</v>
      </c>
      <c r="D4" s="101" t="s">
        <v>149</v>
      </c>
      <c r="E4" s="101" t="s">
        <v>150</v>
      </c>
      <c r="F4" s="101" t="s">
        <v>149</v>
      </c>
      <c r="G4" s="101" t="s">
        <v>150</v>
      </c>
      <c r="H4" s="101" t="s">
        <v>149</v>
      </c>
      <c r="I4" s="101" t="s">
        <v>150</v>
      </c>
      <c r="J4" s="101" t="s">
        <v>149</v>
      </c>
      <c r="K4" s="101" t="s">
        <v>150</v>
      </c>
      <c r="L4" s="101" t="s">
        <v>149</v>
      </c>
      <c r="M4" s="101" t="s">
        <v>150</v>
      </c>
      <c r="N4" s="328"/>
    </row>
    <row r="5" spans="1:14" s="114" customFormat="1" ht="19.5" customHeight="1">
      <c r="A5" s="102" t="s">
        <v>155</v>
      </c>
      <c r="B5" s="112">
        <v>13</v>
      </c>
      <c r="C5" s="112">
        <v>13</v>
      </c>
      <c r="D5" s="112">
        <v>13</v>
      </c>
      <c r="E5" s="112">
        <v>13</v>
      </c>
      <c r="F5" s="112">
        <v>13</v>
      </c>
      <c r="G5" s="112">
        <v>13</v>
      </c>
      <c r="H5" s="112">
        <v>13</v>
      </c>
      <c r="I5" s="112">
        <v>13</v>
      </c>
      <c r="J5" s="112">
        <v>13</v>
      </c>
      <c r="K5" s="112">
        <v>13</v>
      </c>
      <c r="L5" s="112">
        <v>13</v>
      </c>
      <c r="M5" s="112">
        <v>13</v>
      </c>
      <c r="N5" s="103" t="s">
        <v>156</v>
      </c>
    </row>
    <row r="6" spans="1:14" s="114" customFormat="1" ht="19.5" customHeight="1">
      <c r="A6" s="102" t="s">
        <v>162</v>
      </c>
      <c r="B6" s="112">
        <f>G12</f>
        <v>128</v>
      </c>
      <c r="C6" s="112">
        <f>G13</f>
        <v>89</v>
      </c>
      <c r="D6" s="112">
        <f>G14</f>
        <v>114</v>
      </c>
      <c r="E6" s="112">
        <f>G15</f>
        <v>79</v>
      </c>
      <c r="F6" s="112">
        <f>G16</f>
        <v>96</v>
      </c>
      <c r="G6" s="112">
        <f>G17</f>
        <v>78</v>
      </c>
      <c r="H6" s="112">
        <f>G18</f>
        <v>84</v>
      </c>
      <c r="I6" s="112">
        <f>G19</f>
        <v>39</v>
      </c>
      <c r="J6" s="112">
        <f>G20</f>
        <v>66</v>
      </c>
      <c r="K6" s="112">
        <f>G21</f>
        <v>46</v>
      </c>
      <c r="L6" s="112">
        <f>G22</f>
        <v>66</v>
      </c>
      <c r="M6" s="112">
        <f>G23</f>
        <v>46</v>
      </c>
      <c r="N6" s="113"/>
    </row>
    <row r="7" spans="1:14" s="114" customFormat="1" ht="19.5" customHeight="1">
      <c r="A7" s="104" t="s">
        <v>163</v>
      </c>
      <c r="B7" s="116">
        <f aca="true" t="shared" si="0" ref="B7:M7">SUM(B5:B6)</f>
        <v>141</v>
      </c>
      <c r="C7" s="116">
        <f t="shared" si="0"/>
        <v>102</v>
      </c>
      <c r="D7" s="116">
        <f t="shared" si="0"/>
        <v>127</v>
      </c>
      <c r="E7" s="116">
        <f t="shared" si="0"/>
        <v>92</v>
      </c>
      <c r="F7" s="116">
        <f t="shared" si="0"/>
        <v>109</v>
      </c>
      <c r="G7" s="116">
        <f t="shared" si="0"/>
        <v>91</v>
      </c>
      <c r="H7" s="116">
        <f t="shared" si="0"/>
        <v>97</v>
      </c>
      <c r="I7" s="116">
        <f t="shared" si="0"/>
        <v>52</v>
      </c>
      <c r="J7" s="116">
        <f t="shared" si="0"/>
        <v>79</v>
      </c>
      <c r="K7" s="116">
        <f t="shared" si="0"/>
        <v>59</v>
      </c>
      <c r="L7" s="116">
        <f t="shared" si="0"/>
        <v>79</v>
      </c>
      <c r="M7" s="116">
        <f t="shared" si="0"/>
        <v>59</v>
      </c>
      <c r="N7" s="117"/>
    </row>
    <row r="10" ht="15">
      <c r="A10" s="128" t="s">
        <v>164</v>
      </c>
    </row>
    <row r="11" spans="1:7" s="114" customFormat="1" ht="36.75">
      <c r="A11" s="100" t="s">
        <v>165</v>
      </c>
      <c r="B11" s="127" t="s">
        <v>157</v>
      </c>
      <c r="C11" s="127" t="s">
        <v>158</v>
      </c>
      <c r="D11" s="127" t="s">
        <v>159</v>
      </c>
      <c r="E11" s="129" t="s">
        <v>166</v>
      </c>
      <c r="F11" s="130" t="s">
        <v>167</v>
      </c>
      <c r="G11" s="131" t="s">
        <v>160</v>
      </c>
    </row>
    <row r="12" spans="1:7" s="114" customFormat="1" ht="16.5" customHeight="1">
      <c r="A12" s="132" t="s">
        <v>168</v>
      </c>
      <c r="B12" s="112">
        <v>93</v>
      </c>
      <c r="C12" s="203">
        <f>굴착량!E24</f>
        <v>3.3</v>
      </c>
      <c r="D12" s="112">
        <f aca="true" t="shared" si="1" ref="D12:D23">B12*C12</f>
        <v>306.9</v>
      </c>
      <c r="E12" s="112">
        <v>0.8</v>
      </c>
      <c r="F12" s="112">
        <v>3</v>
      </c>
      <c r="G12" s="113">
        <f aca="true" t="shared" si="2" ref="G12:G23">ROUND(D12/E12/F12,0)</f>
        <v>128</v>
      </c>
    </row>
    <row r="13" spans="1:7" s="114" customFormat="1" ht="16.5" customHeight="1">
      <c r="A13" s="132" t="s">
        <v>169</v>
      </c>
      <c r="B13" s="112">
        <v>64</v>
      </c>
      <c r="C13" s="203">
        <f>굴착량!F24</f>
        <v>3.35</v>
      </c>
      <c r="D13" s="112">
        <f t="shared" si="1"/>
        <v>214.4</v>
      </c>
      <c r="E13" s="112">
        <v>0.8</v>
      </c>
      <c r="F13" s="112">
        <v>3</v>
      </c>
      <c r="G13" s="113">
        <f t="shared" si="2"/>
        <v>89</v>
      </c>
    </row>
    <row r="14" spans="1:7" s="114" customFormat="1" ht="16.5" customHeight="1">
      <c r="A14" s="132" t="s">
        <v>170</v>
      </c>
      <c r="B14" s="112">
        <v>93</v>
      </c>
      <c r="C14" s="203">
        <f>굴착량!G24</f>
        <v>3.3</v>
      </c>
      <c r="D14" s="112">
        <f t="shared" si="1"/>
        <v>306.9</v>
      </c>
      <c r="E14" s="112">
        <v>0.9</v>
      </c>
      <c r="F14" s="112">
        <v>3</v>
      </c>
      <c r="G14" s="113">
        <f t="shared" si="2"/>
        <v>114</v>
      </c>
    </row>
    <row r="15" spans="1:7" s="114" customFormat="1" ht="16.5" customHeight="1">
      <c r="A15" s="132" t="s">
        <v>171</v>
      </c>
      <c r="B15" s="112">
        <v>64</v>
      </c>
      <c r="C15" s="203">
        <f>굴착량!H24</f>
        <v>3.35</v>
      </c>
      <c r="D15" s="112">
        <f t="shared" si="1"/>
        <v>214.4</v>
      </c>
      <c r="E15" s="112">
        <v>0.9</v>
      </c>
      <c r="F15" s="112">
        <v>3</v>
      </c>
      <c r="G15" s="113">
        <f t="shared" si="2"/>
        <v>79</v>
      </c>
    </row>
    <row r="16" spans="1:7" s="114" customFormat="1" ht="16.5" customHeight="1">
      <c r="A16" s="132" t="s">
        <v>172</v>
      </c>
      <c r="B16" s="112">
        <v>93</v>
      </c>
      <c r="C16" s="203">
        <f>굴착량!I24</f>
        <v>2.8</v>
      </c>
      <c r="D16" s="112">
        <f t="shared" si="1"/>
        <v>260.4</v>
      </c>
      <c r="E16" s="112">
        <v>0.9</v>
      </c>
      <c r="F16" s="112">
        <v>3</v>
      </c>
      <c r="G16" s="113">
        <f t="shared" si="2"/>
        <v>96</v>
      </c>
    </row>
    <row r="17" spans="1:7" s="114" customFormat="1" ht="16.5" customHeight="1">
      <c r="A17" s="132" t="s">
        <v>173</v>
      </c>
      <c r="B17" s="112">
        <v>64</v>
      </c>
      <c r="C17" s="203">
        <f>굴착량!J24</f>
        <v>3.3</v>
      </c>
      <c r="D17" s="112">
        <f t="shared" si="1"/>
        <v>211.2</v>
      </c>
      <c r="E17" s="112">
        <v>0.9</v>
      </c>
      <c r="F17" s="112">
        <v>3</v>
      </c>
      <c r="G17" s="113">
        <f t="shared" si="2"/>
        <v>78</v>
      </c>
    </row>
    <row r="18" spans="1:7" s="114" customFormat="1" ht="16.5" customHeight="1">
      <c r="A18" s="132" t="s">
        <v>174</v>
      </c>
      <c r="B18" s="112">
        <v>92</v>
      </c>
      <c r="C18" s="203">
        <f>굴착량!K24</f>
        <v>1.65</v>
      </c>
      <c r="D18" s="112">
        <f t="shared" si="1"/>
        <v>151.79999999999998</v>
      </c>
      <c r="E18" s="112">
        <v>0.9</v>
      </c>
      <c r="F18" s="112">
        <v>2</v>
      </c>
      <c r="G18" s="113">
        <f t="shared" si="2"/>
        <v>84</v>
      </c>
    </row>
    <row r="19" spans="1:7" s="114" customFormat="1" ht="16.5" customHeight="1">
      <c r="A19" s="132" t="s">
        <v>175</v>
      </c>
      <c r="B19" s="112">
        <v>63</v>
      </c>
      <c r="C19" s="203">
        <f>굴착량!L24</f>
        <v>1.65</v>
      </c>
      <c r="D19" s="112">
        <f t="shared" si="1"/>
        <v>103.94999999999999</v>
      </c>
      <c r="E19" s="112">
        <v>0.9</v>
      </c>
      <c r="F19" s="112">
        <v>3</v>
      </c>
      <c r="G19" s="113">
        <f t="shared" si="2"/>
        <v>39</v>
      </c>
    </row>
    <row r="20" spans="1:7" s="114" customFormat="1" ht="16.5" customHeight="1">
      <c r="A20" s="132" t="s">
        <v>176</v>
      </c>
      <c r="B20" s="112">
        <v>92</v>
      </c>
      <c r="C20" s="203">
        <f>굴착량!M24</f>
        <v>1.3</v>
      </c>
      <c r="D20" s="112">
        <f t="shared" si="1"/>
        <v>119.60000000000001</v>
      </c>
      <c r="E20" s="112">
        <v>0.9</v>
      </c>
      <c r="F20" s="112">
        <v>2</v>
      </c>
      <c r="G20" s="113">
        <f t="shared" si="2"/>
        <v>66</v>
      </c>
    </row>
    <row r="21" spans="1:7" s="114" customFormat="1" ht="16.5" customHeight="1">
      <c r="A21" s="132" t="s">
        <v>177</v>
      </c>
      <c r="B21" s="112">
        <v>63</v>
      </c>
      <c r="C21" s="203">
        <f>굴착량!N24</f>
        <v>1.3</v>
      </c>
      <c r="D21" s="112">
        <f t="shared" si="1"/>
        <v>81.9</v>
      </c>
      <c r="E21" s="112">
        <v>0.9</v>
      </c>
      <c r="F21" s="112">
        <v>2</v>
      </c>
      <c r="G21" s="113">
        <f t="shared" si="2"/>
        <v>46</v>
      </c>
    </row>
    <row r="22" spans="1:7" s="114" customFormat="1" ht="16.5" customHeight="1">
      <c r="A22" s="132" t="s">
        <v>178</v>
      </c>
      <c r="B22" s="112">
        <v>92</v>
      </c>
      <c r="C22" s="203">
        <f>굴착량!O24</f>
        <v>1.3</v>
      </c>
      <c r="D22" s="112">
        <f t="shared" si="1"/>
        <v>119.60000000000001</v>
      </c>
      <c r="E22" s="112">
        <v>0.9</v>
      </c>
      <c r="F22" s="112">
        <v>2</v>
      </c>
      <c r="G22" s="113">
        <f t="shared" si="2"/>
        <v>66</v>
      </c>
    </row>
    <row r="23" spans="1:7" s="114" customFormat="1" ht="16.5" customHeight="1">
      <c r="A23" s="133" t="s">
        <v>179</v>
      </c>
      <c r="B23" s="116">
        <v>63</v>
      </c>
      <c r="C23" s="204">
        <f>굴착량!P24</f>
        <v>1.3</v>
      </c>
      <c r="D23" s="116">
        <f t="shared" si="1"/>
        <v>81.9</v>
      </c>
      <c r="E23" s="116">
        <v>0.9</v>
      </c>
      <c r="F23" s="116">
        <v>2</v>
      </c>
      <c r="G23" s="117">
        <f t="shared" si="2"/>
        <v>46</v>
      </c>
    </row>
  </sheetData>
  <mergeCells count="5">
    <mergeCell ref="N3:N4"/>
    <mergeCell ref="A3:A4"/>
    <mergeCell ref="J3:K3"/>
    <mergeCell ref="L3:M3"/>
    <mergeCell ref="H3:I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8">
      <selection activeCell="L14" sqref="L14"/>
    </sheetView>
  </sheetViews>
  <sheetFormatPr defaultColWidth="9.00390625" defaultRowHeight="12.75"/>
  <cols>
    <col min="1" max="1" width="12.75390625" style="107" customWidth="1"/>
    <col min="2" max="13" width="8.625" style="107" customWidth="1"/>
    <col min="14" max="14" width="10.375" style="107" customWidth="1"/>
    <col min="15" max="16384" width="10.00390625" style="107" customWidth="1"/>
  </cols>
  <sheetData>
    <row r="1" ht="14.25">
      <c r="A1" s="126" t="s">
        <v>190</v>
      </c>
    </row>
    <row r="2" s="106" customFormat="1" ht="18">
      <c r="A2" s="108"/>
    </row>
    <row r="3" spans="1:14" s="110" customFormat="1" ht="19.5" customHeight="1">
      <c r="A3" s="322" t="s">
        <v>147</v>
      </c>
      <c r="B3" s="325" t="s">
        <v>134</v>
      </c>
      <c r="C3" s="326"/>
      <c r="D3" s="325" t="s">
        <v>0</v>
      </c>
      <c r="E3" s="326"/>
      <c r="F3" s="325" t="s">
        <v>1</v>
      </c>
      <c r="G3" s="326"/>
      <c r="H3" s="324" t="s">
        <v>2</v>
      </c>
      <c r="I3" s="324"/>
      <c r="J3" s="324" t="s">
        <v>135</v>
      </c>
      <c r="K3" s="324"/>
      <c r="L3" s="324" t="s">
        <v>136</v>
      </c>
      <c r="M3" s="324"/>
      <c r="N3" s="327" t="s">
        <v>148</v>
      </c>
    </row>
    <row r="4" spans="1:14" s="110" customFormat="1" ht="19.5" customHeight="1">
      <c r="A4" s="323"/>
      <c r="B4" s="101" t="s">
        <v>149</v>
      </c>
      <c r="C4" s="101" t="s">
        <v>150</v>
      </c>
      <c r="D4" s="101" t="s">
        <v>149</v>
      </c>
      <c r="E4" s="101" t="s">
        <v>150</v>
      </c>
      <c r="F4" s="101" t="s">
        <v>149</v>
      </c>
      <c r="G4" s="101" t="s">
        <v>150</v>
      </c>
      <c r="H4" s="101" t="s">
        <v>149</v>
      </c>
      <c r="I4" s="101" t="s">
        <v>150</v>
      </c>
      <c r="J4" s="101" t="s">
        <v>149</v>
      </c>
      <c r="K4" s="101" t="s">
        <v>150</v>
      </c>
      <c r="L4" s="101" t="s">
        <v>149</v>
      </c>
      <c r="M4" s="101" t="s">
        <v>150</v>
      </c>
      <c r="N4" s="328"/>
    </row>
    <row r="5" spans="1:14" s="114" customFormat="1" ht="19.5" customHeight="1">
      <c r="A5" s="102" t="s">
        <v>191</v>
      </c>
      <c r="B5" s="112">
        <v>10</v>
      </c>
      <c r="C5" s="112">
        <v>10</v>
      </c>
      <c r="D5" s="112">
        <v>10</v>
      </c>
      <c r="E5" s="112">
        <v>10</v>
      </c>
      <c r="F5" s="112">
        <v>10</v>
      </c>
      <c r="G5" s="112">
        <v>10</v>
      </c>
      <c r="H5" s="112">
        <v>10</v>
      </c>
      <c r="I5" s="112">
        <v>10</v>
      </c>
      <c r="J5" s="112">
        <v>10</v>
      </c>
      <c r="K5" s="112">
        <v>10</v>
      </c>
      <c r="L5" s="112">
        <v>10</v>
      </c>
      <c r="M5" s="112">
        <v>10</v>
      </c>
      <c r="N5" s="113"/>
    </row>
    <row r="6" spans="1:14" s="114" customFormat="1" ht="19.5" customHeight="1">
      <c r="A6" s="102" t="s">
        <v>192</v>
      </c>
      <c r="B6" s="112">
        <f>L11</f>
        <v>152.4</v>
      </c>
      <c r="C6" s="112">
        <f>L12</f>
        <v>154.2</v>
      </c>
      <c r="D6" s="112">
        <f>L13</f>
        <v>152.4</v>
      </c>
      <c r="E6" s="112">
        <f>L14</f>
        <v>154.2</v>
      </c>
      <c r="F6" s="112">
        <f>L15</f>
        <v>130.2</v>
      </c>
      <c r="G6" s="112">
        <f>L16</f>
        <v>135.6</v>
      </c>
      <c r="H6" s="112">
        <f>L17</f>
        <v>79.80000000000001</v>
      </c>
      <c r="I6" s="112">
        <f>L18</f>
        <v>69.6</v>
      </c>
      <c r="J6" s="112">
        <f>L19</f>
        <v>64.80000000000001</v>
      </c>
      <c r="K6" s="112">
        <f>L20</f>
        <v>55.800000000000004</v>
      </c>
      <c r="L6" s="112">
        <f>L21</f>
        <v>64.80000000000001</v>
      </c>
      <c r="M6" s="112">
        <f>L22</f>
        <v>55.800000000000004</v>
      </c>
      <c r="N6" s="113"/>
    </row>
    <row r="7" spans="1:14" s="114" customFormat="1" ht="19.5" customHeight="1">
      <c r="A7" s="104" t="s">
        <v>163</v>
      </c>
      <c r="B7" s="116">
        <f aca="true" t="shared" si="0" ref="B7:M7">SUM(B5:B6)</f>
        <v>162.4</v>
      </c>
      <c r="C7" s="116">
        <f t="shared" si="0"/>
        <v>164.2</v>
      </c>
      <c r="D7" s="116">
        <f t="shared" si="0"/>
        <v>162.4</v>
      </c>
      <c r="E7" s="116">
        <f t="shared" si="0"/>
        <v>164.2</v>
      </c>
      <c r="F7" s="116">
        <f t="shared" si="0"/>
        <v>140.2</v>
      </c>
      <c r="G7" s="116">
        <f t="shared" si="0"/>
        <v>145.6</v>
      </c>
      <c r="H7" s="116">
        <f t="shared" si="0"/>
        <v>89.80000000000001</v>
      </c>
      <c r="I7" s="116">
        <f t="shared" si="0"/>
        <v>79.6</v>
      </c>
      <c r="J7" s="116">
        <f t="shared" si="0"/>
        <v>74.80000000000001</v>
      </c>
      <c r="K7" s="116">
        <f t="shared" si="0"/>
        <v>65.80000000000001</v>
      </c>
      <c r="L7" s="116">
        <f t="shared" si="0"/>
        <v>74.80000000000001</v>
      </c>
      <c r="M7" s="116">
        <f t="shared" si="0"/>
        <v>65.80000000000001</v>
      </c>
      <c r="N7" s="117"/>
    </row>
    <row r="9" s="135" customFormat="1" ht="20.25" customHeight="1">
      <c r="A9" s="134" t="s">
        <v>193</v>
      </c>
    </row>
    <row r="10" spans="1:12" s="110" customFormat="1" ht="20.25" customHeight="1">
      <c r="A10" s="100" t="s">
        <v>165</v>
      </c>
      <c r="B10" s="127" t="s">
        <v>194</v>
      </c>
      <c r="C10" s="127" t="s">
        <v>180</v>
      </c>
      <c r="D10" s="127" t="s">
        <v>181</v>
      </c>
      <c r="E10" s="109" t="s">
        <v>182</v>
      </c>
      <c r="F10" s="109" t="s">
        <v>183</v>
      </c>
      <c r="G10" s="109" t="s">
        <v>184</v>
      </c>
      <c r="H10" s="109" t="s">
        <v>185</v>
      </c>
      <c r="I10" s="109" t="s">
        <v>186</v>
      </c>
      <c r="J10" s="109" t="s">
        <v>187</v>
      </c>
      <c r="K10" s="109" t="s">
        <v>188</v>
      </c>
      <c r="L10" s="136" t="s">
        <v>189</v>
      </c>
    </row>
    <row r="11" spans="1:12" s="114" customFormat="1" ht="20.25" customHeight="1">
      <c r="A11" s="111" t="s">
        <v>168</v>
      </c>
      <c r="B11" s="112">
        <v>42.345</v>
      </c>
      <c r="C11" s="201">
        <f>shotcrete!C14</f>
        <v>3</v>
      </c>
      <c r="D11" s="112">
        <f aca="true" t="shared" si="1" ref="D11:D22">ROUND(B11*C11,3)</f>
        <v>127.035</v>
      </c>
      <c r="E11" s="112">
        <v>3.7</v>
      </c>
      <c r="F11" s="112">
        <v>0.55</v>
      </c>
      <c r="G11" s="112">
        <v>0.54</v>
      </c>
      <c r="H11" s="112">
        <v>0.35</v>
      </c>
      <c r="I11" s="112">
        <v>48.4</v>
      </c>
      <c r="J11" s="112">
        <f aca="true" t="shared" si="2" ref="J11:J22">ROUND(3600*E11*F11*G11*H11/I11,2)</f>
        <v>28.61</v>
      </c>
      <c r="K11" s="121">
        <f aca="true" t="shared" si="3" ref="K11:K22">ROUND(D11/J11*60,0)</f>
        <v>266</v>
      </c>
      <c r="L11" s="137">
        <f aca="true" t="shared" si="4" ref="L11:L22">ROUND(D11/50,2)*60</f>
        <v>152.4</v>
      </c>
    </row>
    <row r="12" spans="1:12" s="114" customFormat="1" ht="20.25" customHeight="1">
      <c r="A12" s="111" t="s">
        <v>169</v>
      </c>
      <c r="B12" s="112">
        <v>36.784</v>
      </c>
      <c r="C12" s="201">
        <f>shotcrete!C15</f>
        <v>3.5</v>
      </c>
      <c r="D12" s="112">
        <f t="shared" si="1"/>
        <v>128.744</v>
      </c>
      <c r="E12" s="112">
        <v>3.7</v>
      </c>
      <c r="F12" s="112">
        <v>0.55</v>
      </c>
      <c r="G12" s="112">
        <v>0.54</v>
      </c>
      <c r="H12" s="112">
        <v>0.35</v>
      </c>
      <c r="I12" s="112">
        <v>48.4</v>
      </c>
      <c r="J12" s="112">
        <f t="shared" si="2"/>
        <v>28.61</v>
      </c>
      <c r="K12" s="121">
        <f t="shared" si="3"/>
        <v>270</v>
      </c>
      <c r="L12" s="137">
        <f t="shared" si="4"/>
        <v>154.2</v>
      </c>
    </row>
    <row r="13" spans="1:12" s="114" customFormat="1" ht="20.25" customHeight="1">
      <c r="A13" s="111" t="s">
        <v>170</v>
      </c>
      <c r="B13" s="112">
        <v>42.345</v>
      </c>
      <c r="C13" s="201">
        <f>shotcrete!C16</f>
        <v>3</v>
      </c>
      <c r="D13" s="112">
        <f t="shared" si="1"/>
        <v>127.035</v>
      </c>
      <c r="E13" s="112">
        <v>3.7</v>
      </c>
      <c r="F13" s="112">
        <v>0.55</v>
      </c>
      <c r="G13" s="112">
        <v>0.62</v>
      </c>
      <c r="H13" s="112">
        <v>0.35</v>
      </c>
      <c r="I13" s="112">
        <v>48.4</v>
      </c>
      <c r="J13" s="112">
        <f t="shared" si="2"/>
        <v>32.85</v>
      </c>
      <c r="K13" s="121">
        <f t="shared" si="3"/>
        <v>232</v>
      </c>
      <c r="L13" s="137">
        <f t="shared" si="4"/>
        <v>152.4</v>
      </c>
    </row>
    <row r="14" spans="1:12" s="114" customFormat="1" ht="20.25" customHeight="1">
      <c r="A14" s="111" t="s">
        <v>171</v>
      </c>
      <c r="B14" s="112">
        <v>36.784</v>
      </c>
      <c r="C14" s="201">
        <f>shotcrete!C17</f>
        <v>3.5</v>
      </c>
      <c r="D14" s="112">
        <f t="shared" si="1"/>
        <v>128.744</v>
      </c>
      <c r="E14" s="112">
        <v>3.7</v>
      </c>
      <c r="F14" s="112">
        <v>0.55</v>
      </c>
      <c r="G14" s="112">
        <v>0.62</v>
      </c>
      <c r="H14" s="112">
        <v>0.35</v>
      </c>
      <c r="I14" s="112">
        <v>48.4</v>
      </c>
      <c r="J14" s="112">
        <f t="shared" si="2"/>
        <v>32.85</v>
      </c>
      <c r="K14" s="121">
        <f t="shared" si="3"/>
        <v>235</v>
      </c>
      <c r="L14" s="137">
        <f t="shared" si="4"/>
        <v>154.2</v>
      </c>
    </row>
    <row r="15" spans="1:12" s="114" customFormat="1" ht="20.25" customHeight="1">
      <c r="A15" s="111" t="s">
        <v>172</v>
      </c>
      <c r="B15" s="112">
        <v>43.334</v>
      </c>
      <c r="C15" s="201">
        <f>shotcrete!C18</f>
        <v>2.5</v>
      </c>
      <c r="D15" s="112">
        <f t="shared" si="1"/>
        <v>108.335</v>
      </c>
      <c r="E15" s="112">
        <v>3.7</v>
      </c>
      <c r="F15" s="112">
        <v>0.55</v>
      </c>
      <c r="G15" s="112">
        <v>0.71</v>
      </c>
      <c r="H15" s="112">
        <v>0.35</v>
      </c>
      <c r="I15" s="112">
        <v>48.4</v>
      </c>
      <c r="J15" s="112">
        <f t="shared" si="2"/>
        <v>37.61</v>
      </c>
      <c r="K15" s="121">
        <f t="shared" si="3"/>
        <v>173</v>
      </c>
      <c r="L15" s="137">
        <f t="shared" si="4"/>
        <v>130.2</v>
      </c>
    </row>
    <row r="16" spans="1:12" s="114" customFormat="1" ht="20.25" customHeight="1">
      <c r="A16" s="111" t="s">
        <v>173</v>
      </c>
      <c r="B16" s="112">
        <v>37.643</v>
      </c>
      <c r="C16" s="201">
        <f>shotcrete!C19</f>
        <v>3</v>
      </c>
      <c r="D16" s="112">
        <f t="shared" si="1"/>
        <v>112.929</v>
      </c>
      <c r="E16" s="112">
        <v>3.7</v>
      </c>
      <c r="F16" s="112">
        <v>0.55</v>
      </c>
      <c r="G16" s="112">
        <v>0.71</v>
      </c>
      <c r="H16" s="112">
        <v>0.35</v>
      </c>
      <c r="I16" s="112">
        <v>48.4</v>
      </c>
      <c r="J16" s="112">
        <f t="shared" si="2"/>
        <v>37.61</v>
      </c>
      <c r="K16" s="121">
        <f t="shared" si="3"/>
        <v>180</v>
      </c>
      <c r="L16" s="137">
        <f t="shared" si="4"/>
        <v>135.6</v>
      </c>
    </row>
    <row r="17" spans="1:12" s="114" customFormat="1" ht="20.25" customHeight="1">
      <c r="A17" s="111" t="s">
        <v>195</v>
      </c>
      <c r="B17" s="112">
        <v>44.484</v>
      </c>
      <c r="C17" s="201">
        <f>shotcrete!C20</f>
        <v>1.5</v>
      </c>
      <c r="D17" s="112">
        <f t="shared" si="1"/>
        <v>66.726</v>
      </c>
      <c r="E17" s="112">
        <v>3.7</v>
      </c>
      <c r="F17" s="112">
        <v>0.55</v>
      </c>
      <c r="G17" s="112">
        <v>0.74</v>
      </c>
      <c r="H17" s="112">
        <v>0.35</v>
      </c>
      <c r="I17" s="112">
        <v>48.4</v>
      </c>
      <c r="J17" s="112">
        <f t="shared" si="2"/>
        <v>39.2</v>
      </c>
      <c r="K17" s="121">
        <f t="shared" si="3"/>
        <v>102</v>
      </c>
      <c r="L17" s="137">
        <f t="shared" si="4"/>
        <v>79.80000000000001</v>
      </c>
    </row>
    <row r="18" spans="1:12" s="114" customFormat="1" ht="20.25" customHeight="1">
      <c r="A18" s="111" t="s">
        <v>196</v>
      </c>
      <c r="B18" s="112">
        <v>38.642</v>
      </c>
      <c r="C18" s="201">
        <f>shotcrete!C21</f>
        <v>1.5</v>
      </c>
      <c r="D18" s="112">
        <f t="shared" si="1"/>
        <v>57.963</v>
      </c>
      <c r="E18" s="112">
        <v>3.7</v>
      </c>
      <c r="F18" s="112">
        <v>0.55</v>
      </c>
      <c r="G18" s="112">
        <v>0.74</v>
      </c>
      <c r="H18" s="112">
        <v>0.35</v>
      </c>
      <c r="I18" s="112">
        <v>48.4</v>
      </c>
      <c r="J18" s="112">
        <f t="shared" si="2"/>
        <v>39.2</v>
      </c>
      <c r="K18" s="121">
        <f t="shared" si="3"/>
        <v>89</v>
      </c>
      <c r="L18" s="137">
        <f t="shared" si="4"/>
        <v>69.6</v>
      </c>
    </row>
    <row r="19" spans="1:12" s="114" customFormat="1" ht="20.25" customHeight="1">
      <c r="A19" s="111" t="s">
        <v>176</v>
      </c>
      <c r="B19" s="112">
        <v>45.162</v>
      </c>
      <c r="C19" s="201">
        <f>shotcrete!C22</f>
        <v>1.2</v>
      </c>
      <c r="D19" s="112">
        <f t="shared" si="1"/>
        <v>54.194</v>
      </c>
      <c r="E19" s="112">
        <v>3.7</v>
      </c>
      <c r="F19" s="112">
        <v>0.55</v>
      </c>
      <c r="G19" s="112">
        <v>0.74</v>
      </c>
      <c r="H19" s="112">
        <v>0.35</v>
      </c>
      <c r="I19" s="112">
        <v>48.4</v>
      </c>
      <c r="J19" s="112">
        <f t="shared" si="2"/>
        <v>39.2</v>
      </c>
      <c r="K19" s="121">
        <f t="shared" si="3"/>
        <v>83</v>
      </c>
      <c r="L19" s="137">
        <f t="shared" si="4"/>
        <v>64.80000000000001</v>
      </c>
    </row>
    <row r="20" spans="1:12" s="114" customFormat="1" ht="20.25" customHeight="1">
      <c r="A20" s="111" t="s">
        <v>177</v>
      </c>
      <c r="B20" s="112">
        <v>38.917</v>
      </c>
      <c r="C20" s="201">
        <f>shotcrete!C23</f>
        <v>1.2</v>
      </c>
      <c r="D20" s="112">
        <f t="shared" si="1"/>
        <v>46.7</v>
      </c>
      <c r="E20" s="112">
        <v>3.7</v>
      </c>
      <c r="F20" s="112">
        <v>0.55</v>
      </c>
      <c r="G20" s="112">
        <v>0.74</v>
      </c>
      <c r="H20" s="112">
        <v>0.35</v>
      </c>
      <c r="I20" s="112">
        <v>48.4</v>
      </c>
      <c r="J20" s="112">
        <f t="shared" si="2"/>
        <v>39.2</v>
      </c>
      <c r="K20" s="121">
        <f t="shared" si="3"/>
        <v>71</v>
      </c>
      <c r="L20" s="137">
        <f t="shared" si="4"/>
        <v>55.800000000000004</v>
      </c>
    </row>
    <row r="21" spans="1:12" s="114" customFormat="1" ht="20.25" customHeight="1">
      <c r="A21" s="111" t="s">
        <v>178</v>
      </c>
      <c r="B21" s="112">
        <v>45.162</v>
      </c>
      <c r="C21" s="201">
        <f>shotcrete!C24</f>
        <v>1.2</v>
      </c>
      <c r="D21" s="112">
        <f t="shared" si="1"/>
        <v>54.194</v>
      </c>
      <c r="E21" s="112">
        <v>3.7</v>
      </c>
      <c r="F21" s="112">
        <v>0.55</v>
      </c>
      <c r="G21" s="112">
        <v>0.74</v>
      </c>
      <c r="H21" s="112">
        <v>0.35</v>
      </c>
      <c r="I21" s="112">
        <v>48.4</v>
      </c>
      <c r="J21" s="112">
        <f t="shared" si="2"/>
        <v>39.2</v>
      </c>
      <c r="K21" s="121">
        <f t="shared" si="3"/>
        <v>83</v>
      </c>
      <c r="L21" s="137">
        <f t="shared" si="4"/>
        <v>64.80000000000001</v>
      </c>
    </row>
    <row r="22" spans="1:12" s="114" customFormat="1" ht="20.25" customHeight="1">
      <c r="A22" s="138" t="s">
        <v>179</v>
      </c>
      <c r="B22" s="116">
        <v>38.917</v>
      </c>
      <c r="C22" s="201">
        <f>shotcrete!C25</f>
        <v>1.2</v>
      </c>
      <c r="D22" s="116">
        <f t="shared" si="1"/>
        <v>46.7</v>
      </c>
      <c r="E22" s="116">
        <v>3.7</v>
      </c>
      <c r="F22" s="116">
        <v>0.55</v>
      </c>
      <c r="G22" s="116">
        <v>0.74</v>
      </c>
      <c r="H22" s="116">
        <v>0.35</v>
      </c>
      <c r="I22" s="116">
        <v>48.4</v>
      </c>
      <c r="J22" s="116">
        <f t="shared" si="2"/>
        <v>39.2</v>
      </c>
      <c r="K22" s="123">
        <f t="shared" si="3"/>
        <v>71</v>
      </c>
      <c r="L22" s="139">
        <f t="shared" si="4"/>
        <v>55.800000000000004</v>
      </c>
    </row>
  </sheetData>
  <mergeCells count="8">
    <mergeCell ref="N3:N4"/>
    <mergeCell ref="A3:A4"/>
    <mergeCell ref="H3:I3"/>
    <mergeCell ref="J3:K3"/>
    <mergeCell ref="L3:M3"/>
    <mergeCell ref="F3:G3"/>
    <mergeCell ref="D3:E3"/>
    <mergeCell ref="B3:C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B1">
      <selection activeCell="K14" sqref="K14"/>
    </sheetView>
  </sheetViews>
  <sheetFormatPr defaultColWidth="9.00390625" defaultRowHeight="12.75"/>
  <cols>
    <col min="1" max="1" width="14.75390625" style="107" customWidth="1"/>
    <col min="2" max="13" width="8.375" style="107" customWidth="1"/>
    <col min="14" max="14" width="9.75390625" style="107" customWidth="1"/>
    <col min="15" max="16384" width="10.00390625" style="107" customWidth="1"/>
  </cols>
  <sheetData>
    <row r="1" ht="14.25">
      <c r="A1" s="126" t="s">
        <v>199</v>
      </c>
    </row>
    <row r="2" s="106" customFormat="1" ht="18">
      <c r="A2" s="108"/>
    </row>
    <row r="3" spans="1:14" s="110" customFormat="1" ht="17.25" customHeight="1">
      <c r="A3" s="322" t="s">
        <v>147</v>
      </c>
      <c r="B3" s="325" t="s">
        <v>134</v>
      </c>
      <c r="C3" s="326"/>
      <c r="D3" s="325" t="s">
        <v>0</v>
      </c>
      <c r="E3" s="326"/>
      <c r="F3" s="325" t="s">
        <v>1</v>
      </c>
      <c r="G3" s="326"/>
      <c r="H3" s="324" t="s">
        <v>2</v>
      </c>
      <c r="I3" s="324"/>
      <c r="J3" s="324" t="s">
        <v>135</v>
      </c>
      <c r="K3" s="324"/>
      <c r="L3" s="324" t="s">
        <v>136</v>
      </c>
      <c r="M3" s="324"/>
      <c r="N3" s="327" t="s">
        <v>148</v>
      </c>
    </row>
    <row r="4" spans="1:14" s="110" customFormat="1" ht="17.25" customHeight="1">
      <c r="A4" s="330"/>
      <c r="B4" s="192" t="s">
        <v>149</v>
      </c>
      <c r="C4" s="192" t="s">
        <v>150</v>
      </c>
      <c r="D4" s="192" t="s">
        <v>149</v>
      </c>
      <c r="E4" s="192" t="s">
        <v>150</v>
      </c>
      <c r="F4" s="192" t="s">
        <v>149</v>
      </c>
      <c r="G4" s="192" t="s">
        <v>150</v>
      </c>
      <c r="H4" s="192" t="s">
        <v>149</v>
      </c>
      <c r="I4" s="192" t="s">
        <v>150</v>
      </c>
      <c r="J4" s="192" t="s">
        <v>149</v>
      </c>
      <c r="K4" s="192" t="s">
        <v>150</v>
      </c>
      <c r="L4" s="192" t="s">
        <v>149</v>
      </c>
      <c r="M4" s="192" t="s">
        <v>150</v>
      </c>
      <c r="N4" s="329"/>
    </row>
    <row r="5" spans="1:14" s="114" customFormat="1" ht="17.25" customHeight="1">
      <c r="A5" s="189" t="s">
        <v>191</v>
      </c>
      <c r="B5" s="190">
        <v>10</v>
      </c>
      <c r="C5" s="190">
        <v>10</v>
      </c>
      <c r="D5" s="190">
        <v>10</v>
      </c>
      <c r="E5" s="190">
        <v>10</v>
      </c>
      <c r="F5" s="190">
        <v>10</v>
      </c>
      <c r="G5" s="190">
        <v>10</v>
      </c>
      <c r="H5" s="190">
        <v>10</v>
      </c>
      <c r="I5" s="190">
        <v>10</v>
      </c>
      <c r="J5" s="190">
        <v>10</v>
      </c>
      <c r="K5" s="190">
        <v>10</v>
      </c>
      <c r="L5" s="190">
        <v>10</v>
      </c>
      <c r="M5" s="190">
        <v>10</v>
      </c>
      <c r="N5" s="191"/>
    </row>
    <row r="6" spans="1:14" s="114" customFormat="1" ht="17.25" customHeight="1">
      <c r="A6" s="111" t="s">
        <v>200</v>
      </c>
      <c r="B6" s="112" t="s">
        <v>197</v>
      </c>
      <c r="C6" s="112"/>
      <c r="D6" s="112" t="s">
        <v>197</v>
      </c>
      <c r="E6" s="112"/>
      <c r="F6" s="112" t="s">
        <v>197</v>
      </c>
      <c r="G6" s="112"/>
      <c r="H6" s="112">
        <v>30</v>
      </c>
      <c r="I6" s="112">
        <v>20</v>
      </c>
      <c r="J6" s="112">
        <v>30</v>
      </c>
      <c r="K6" s="112">
        <v>20</v>
      </c>
      <c r="L6" s="112">
        <v>30</v>
      </c>
      <c r="M6" s="112">
        <v>20</v>
      </c>
      <c r="N6" s="113"/>
    </row>
    <row r="7" spans="1:14" s="114" customFormat="1" ht="17.25" customHeight="1">
      <c r="A7" s="111" t="s">
        <v>198</v>
      </c>
      <c r="B7" s="112">
        <f>J14</f>
        <v>233</v>
      </c>
      <c r="C7" s="112">
        <f>J15</f>
        <v>110</v>
      </c>
      <c r="D7" s="112">
        <f>J16</f>
        <v>117</v>
      </c>
      <c r="E7" s="112">
        <f>J17</f>
        <v>55</v>
      </c>
      <c r="F7" s="112">
        <f>J18</f>
        <v>101</v>
      </c>
      <c r="G7" s="112">
        <f>J19</f>
        <v>48</v>
      </c>
      <c r="H7" s="112">
        <f>J20</f>
        <v>66</v>
      </c>
      <c r="I7" s="112">
        <f>J21</f>
        <v>52</v>
      </c>
      <c r="J7" s="112">
        <f>J22</f>
        <v>50</v>
      </c>
      <c r="K7" s="112">
        <f>J23</f>
        <v>20</v>
      </c>
      <c r="L7" s="112">
        <f>J24</f>
        <v>50</v>
      </c>
      <c r="M7" s="112">
        <f>J25</f>
        <v>20</v>
      </c>
      <c r="N7" s="113"/>
    </row>
    <row r="8" spans="1:14" s="114" customFormat="1" ht="17.25" customHeight="1">
      <c r="A8" s="102" t="s">
        <v>201</v>
      </c>
      <c r="B8" s="112">
        <v>15</v>
      </c>
      <c r="C8" s="112">
        <v>15</v>
      </c>
      <c r="D8" s="112">
        <v>15</v>
      </c>
      <c r="E8" s="112">
        <v>15</v>
      </c>
      <c r="F8" s="112">
        <v>15</v>
      </c>
      <c r="G8" s="112">
        <v>15</v>
      </c>
      <c r="H8" s="112">
        <v>15</v>
      </c>
      <c r="I8" s="112">
        <v>15</v>
      </c>
      <c r="J8" s="112">
        <v>15</v>
      </c>
      <c r="K8" s="112">
        <v>15</v>
      </c>
      <c r="L8" s="112">
        <v>15</v>
      </c>
      <c r="M8" s="112">
        <v>15</v>
      </c>
      <c r="N8" s="113"/>
    </row>
    <row r="9" spans="1:14" s="114" customFormat="1" ht="17.25" customHeight="1">
      <c r="A9" s="104" t="s">
        <v>163</v>
      </c>
      <c r="B9" s="116">
        <f aca="true" t="shared" si="0" ref="B9:M9">SUM(B5:B8)</f>
        <v>258</v>
      </c>
      <c r="C9" s="116">
        <f t="shared" si="0"/>
        <v>135</v>
      </c>
      <c r="D9" s="116">
        <f t="shared" si="0"/>
        <v>142</v>
      </c>
      <c r="E9" s="116">
        <f t="shared" si="0"/>
        <v>80</v>
      </c>
      <c r="F9" s="116">
        <f t="shared" si="0"/>
        <v>126</v>
      </c>
      <c r="G9" s="116">
        <f t="shared" si="0"/>
        <v>73</v>
      </c>
      <c r="H9" s="116">
        <f t="shared" si="0"/>
        <v>121</v>
      </c>
      <c r="I9" s="116">
        <f t="shared" si="0"/>
        <v>97</v>
      </c>
      <c r="J9" s="116">
        <f t="shared" si="0"/>
        <v>105</v>
      </c>
      <c r="K9" s="116">
        <f t="shared" si="0"/>
        <v>65</v>
      </c>
      <c r="L9" s="116">
        <f t="shared" si="0"/>
        <v>105</v>
      </c>
      <c r="M9" s="116">
        <f t="shared" si="0"/>
        <v>65</v>
      </c>
      <c r="N9" s="117"/>
    </row>
    <row r="10" spans="1:14" s="114" customFormat="1" ht="17.25" customHeight="1">
      <c r="A10" s="140" t="s">
        <v>202</v>
      </c>
      <c r="B10" s="141">
        <f>B9/2</f>
        <v>129</v>
      </c>
      <c r="C10" s="141">
        <f>C9/2</f>
        <v>67.5</v>
      </c>
      <c r="D10" s="141">
        <f>D9</f>
        <v>142</v>
      </c>
      <c r="E10" s="141">
        <f>E9</f>
        <v>80</v>
      </c>
      <c r="F10" s="141">
        <f>F9</f>
        <v>126</v>
      </c>
      <c r="G10" s="141">
        <f>G9</f>
        <v>73</v>
      </c>
      <c r="H10" s="141">
        <f>H9</f>
        <v>121</v>
      </c>
      <c r="I10" s="141">
        <f>I9/2</f>
        <v>48.5</v>
      </c>
      <c r="J10" s="141">
        <f>J9</f>
        <v>105</v>
      </c>
      <c r="K10" s="141">
        <f>K9</f>
        <v>65</v>
      </c>
      <c r="L10" s="141">
        <f>L9</f>
        <v>105</v>
      </c>
      <c r="M10" s="141">
        <f>M9</f>
        <v>65</v>
      </c>
      <c r="N10" s="142"/>
    </row>
    <row r="12" s="135" customFormat="1" ht="20.25" customHeight="1">
      <c r="A12" s="134" t="s">
        <v>203</v>
      </c>
    </row>
    <row r="13" spans="1:11" s="110" customFormat="1" ht="17.25" customHeight="1">
      <c r="A13" s="140" t="s">
        <v>165</v>
      </c>
      <c r="B13" s="195" t="s">
        <v>194</v>
      </c>
      <c r="C13" s="195" t="s">
        <v>180</v>
      </c>
      <c r="D13" s="194" t="s">
        <v>204</v>
      </c>
      <c r="E13" s="194" t="s">
        <v>205</v>
      </c>
      <c r="F13" s="194" t="s">
        <v>182</v>
      </c>
      <c r="G13" s="194" t="s">
        <v>185</v>
      </c>
      <c r="H13" s="194" t="s">
        <v>206</v>
      </c>
      <c r="I13" s="194" t="s">
        <v>187</v>
      </c>
      <c r="J13" s="194" t="s">
        <v>188</v>
      </c>
      <c r="K13" s="196"/>
    </row>
    <row r="14" spans="1:11" s="114" customFormat="1" ht="17.25" customHeight="1">
      <c r="A14" s="193" t="s">
        <v>168</v>
      </c>
      <c r="B14" s="190">
        <v>5.718</v>
      </c>
      <c r="C14" s="200">
        <f>굴착량!E14</f>
        <v>3</v>
      </c>
      <c r="D14" s="190">
        <f aca="true" t="shared" si="1" ref="D14:D25">ROUND(B14*C14,3)</f>
        <v>17.154</v>
      </c>
      <c r="E14" s="190">
        <f>D14*2</f>
        <v>34.308</v>
      </c>
      <c r="F14" s="190">
        <v>21</v>
      </c>
      <c r="G14" s="190">
        <v>0.6</v>
      </c>
      <c r="H14" s="190">
        <v>0.7</v>
      </c>
      <c r="I14" s="190">
        <f aca="true" t="shared" si="2" ref="I14:I25">F14*G14*H14</f>
        <v>8.819999999999999</v>
      </c>
      <c r="J14" s="190">
        <f aca="true" t="shared" si="3" ref="J14:J25">ROUND(E14/I14*60,0)</f>
        <v>233</v>
      </c>
      <c r="K14" s="191"/>
    </row>
    <row r="15" spans="1:11" s="114" customFormat="1" ht="17.25" customHeight="1">
      <c r="A15" s="111" t="s">
        <v>169</v>
      </c>
      <c r="B15" s="112">
        <v>2.301</v>
      </c>
      <c r="C15" s="201">
        <f>굴착량!F14</f>
        <v>3.5</v>
      </c>
      <c r="D15" s="112">
        <f t="shared" si="1"/>
        <v>8.054</v>
      </c>
      <c r="E15" s="112">
        <f>D15*2</f>
        <v>16.108</v>
      </c>
      <c r="F15" s="112">
        <v>21</v>
      </c>
      <c r="G15" s="190">
        <v>0.6</v>
      </c>
      <c r="H15" s="190">
        <v>0.7</v>
      </c>
      <c r="I15" s="112">
        <f t="shared" si="2"/>
        <v>8.819999999999999</v>
      </c>
      <c r="J15" s="112">
        <f t="shared" si="3"/>
        <v>110</v>
      </c>
      <c r="K15" s="113"/>
    </row>
    <row r="16" spans="1:11" s="114" customFormat="1" ht="17.25" customHeight="1">
      <c r="A16" s="111" t="s">
        <v>170</v>
      </c>
      <c r="B16" s="112">
        <v>5.718</v>
      </c>
      <c r="C16" s="201">
        <f>굴착량!G14</f>
        <v>3</v>
      </c>
      <c r="D16" s="112">
        <f t="shared" si="1"/>
        <v>17.154</v>
      </c>
      <c r="E16" s="112">
        <f>D16</f>
        <v>17.154</v>
      </c>
      <c r="F16" s="112">
        <v>21</v>
      </c>
      <c r="G16" s="190">
        <v>0.6</v>
      </c>
      <c r="H16" s="190">
        <v>0.7</v>
      </c>
      <c r="I16" s="112">
        <f t="shared" si="2"/>
        <v>8.819999999999999</v>
      </c>
      <c r="J16" s="112">
        <f t="shared" si="3"/>
        <v>117</v>
      </c>
      <c r="K16" s="113"/>
    </row>
    <row r="17" spans="1:11" s="114" customFormat="1" ht="17.25" customHeight="1">
      <c r="A17" s="111" t="s">
        <v>171</v>
      </c>
      <c r="B17" s="112">
        <v>2.301</v>
      </c>
      <c r="C17" s="201">
        <f>굴착량!H14</f>
        <v>3.5</v>
      </c>
      <c r="D17" s="112">
        <f t="shared" si="1"/>
        <v>8.054</v>
      </c>
      <c r="E17" s="112">
        <f>D17</f>
        <v>8.054</v>
      </c>
      <c r="F17" s="112">
        <v>21</v>
      </c>
      <c r="G17" s="190">
        <v>0.6</v>
      </c>
      <c r="H17" s="190">
        <v>0.7</v>
      </c>
      <c r="I17" s="112">
        <f t="shared" si="2"/>
        <v>8.819999999999999</v>
      </c>
      <c r="J17" s="112">
        <f t="shared" si="3"/>
        <v>55</v>
      </c>
      <c r="K17" s="113"/>
    </row>
    <row r="18" spans="1:11" s="114" customFormat="1" ht="17.25" customHeight="1">
      <c r="A18" s="111" t="s">
        <v>172</v>
      </c>
      <c r="B18" s="112">
        <v>5.962</v>
      </c>
      <c r="C18" s="201">
        <f>굴착량!I14</f>
        <v>2.5</v>
      </c>
      <c r="D18" s="112">
        <f t="shared" si="1"/>
        <v>14.905</v>
      </c>
      <c r="E18" s="112">
        <f>D18</f>
        <v>14.905</v>
      </c>
      <c r="F18" s="112">
        <v>21</v>
      </c>
      <c r="G18" s="190">
        <v>0.6</v>
      </c>
      <c r="H18" s="190">
        <v>0.7</v>
      </c>
      <c r="I18" s="112">
        <f t="shared" si="2"/>
        <v>8.819999999999999</v>
      </c>
      <c r="J18" s="112">
        <f t="shared" si="3"/>
        <v>101</v>
      </c>
      <c r="K18" s="113"/>
    </row>
    <row r="19" spans="1:11" s="114" customFormat="1" ht="17.25" customHeight="1">
      <c r="A19" s="111" t="s">
        <v>173</v>
      </c>
      <c r="B19" s="112">
        <v>2.376</v>
      </c>
      <c r="C19" s="201">
        <f>굴착량!J14</f>
        <v>3</v>
      </c>
      <c r="D19" s="112">
        <f t="shared" si="1"/>
        <v>7.128</v>
      </c>
      <c r="E19" s="112">
        <f>D19</f>
        <v>7.128</v>
      </c>
      <c r="F19" s="112">
        <v>21</v>
      </c>
      <c r="G19" s="190">
        <v>0.6</v>
      </c>
      <c r="H19" s="190">
        <v>0.7</v>
      </c>
      <c r="I19" s="112">
        <f t="shared" si="2"/>
        <v>8.819999999999999</v>
      </c>
      <c r="J19" s="112">
        <f t="shared" si="3"/>
        <v>48</v>
      </c>
      <c r="K19" s="113"/>
    </row>
    <row r="20" spans="1:11" s="114" customFormat="1" ht="17.25" customHeight="1">
      <c r="A20" s="111" t="s">
        <v>195</v>
      </c>
      <c r="B20" s="112">
        <v>6.423</v>
      </c>
      <c r="C20" s="201">
        <f>굴착량!K14</f>
        <v>1.5</v>
      </c>
      <c r="D20" s="112">
        <f t="shared" si="1"/>
        <v>9.635</v>
      </c>
      <c r="E20" s="112">
        <f>D20</f>
        <v>9.635</v>
      </c>
      <c r="F20" s="112">
        <v>21</v>
      </c>
      <c r="G20" s="190">
        <v>0.6</v>
      </c>
      <c r="H20" s="190">
        <v>0.7</v>
      </c>
      <c r="I20" s="112">
        <f t="shared" si="2"/>
        <v>8.819999999999999</v>
      </c>
      <c r="J20" s="112">
        <f t="shared" si="3"/>
        <v>66</v>
      </c>
      <c r="K20" s="113"/>
    </row>
    <row r="21" spans="1:11" s="114" customFormat="1" ht="17.25" customHeight="1">
      <c r="A21" s="111" t="s">
        <v>196</v>
      </c>
      <c r="B21" s="112">
        <v>2.529</v>
      </c>
      <c r="C21" s="201">
        <f>굴착량!L14</f>
        <v>1.5</v>
      </c>
      <c r="D21" s="112">
        <f t="shared" si="1"/>
        <v>3.794</v>
      </c>
      <c r="E21" s="112">
        <f>D21*2</f>
        <v>7.588</v>
      </c>
      <c r="F21" s="112">
        <v>21</v>
      </c>
      <c r="G21" s="190">
        <v>0.6</v>
      </c>
      <c r="H21" s="190">
        <v>0.7</v>
      </c>
      <c r="I21" s="112">
        <f t="shared" si="2"/>
        <v>8.819999999999999</v>
      </c>
      <c r="J21" s="112">
        <f t="shared" si="3"/>
        <v>52</v>
      </c>
      <c r="K21" s="113"/>
    </row>
    <row r="22" spans="1:11" s="114" customFormat="1" ht="17.25" customHeight="1">
      <c r="A22" s="111" t="s">
        <v>176</v>
      </c>
      <c r="B22" s="112">
        <v>6.096</v>
      </c>
      <c r="C22" s="201">
        <f>굴착량!M14</f>
        <v>1.2</v>
      </c>
      <c r="D22" s="112">
        <f t="shared" si="1"/>
        <v>7.315</v>
      </c>
      <c r="E22" s="112">
        <f>D22</f>
        <v>7.315</v>
      </c>
      <c r="F22" s="112">
        <v>21</v>
      </c>
      <c r="G22" s="190">
        <v>0.6</v>
      </c>
      <c r="H22" s="190">
        <v>0.7</v>
      </c>
      <c r="I22" s="112">
        <f t="shared" si="2"/>
        <v>8.819999999999999</v>
      </c>
      <c r="J22" s="112">
        <f t="shared" si="3"/>
        <v>50</v>
      </c>
      <c r="K22" s="113"/>
    </row>
    <row r="23" spans="1:11" s="114" customFormat="1" ht="17.25" customHeight="1">
      <c r="A23" s="111" t="s">
        <v>177</v>
      </c>
      <c r="B23" s="112">
        <v>2.389</v>
      </c>
      <c r="C23" s="201">
        <f>굴착량!N14</f>
        <v>1.2</v>
      </c>
      <c r="D23" s="112">
        <f t="shared" si="1"/>
        <v>2.867</v>
      </c>
      <c r="E23" s="112">
        <f>D23</f>
        <v>2.867</v>
      </c>
      <c r="F23" s="112">
        <v>21</v>
      </c>
      <c r="G23" s="190">
        <v>0.6</v>
      </c>
      <c r="H23" s="190">
        <v>0.7</v>
      </c>
      <c r="I23" s="112">
        <f t="shared" si="2"/>
        <v>8.819999999999999</v>
      </c>
      <c r="J23" s="112">
        <f t="shared" si="3"/>
        <v>20</v>
      </c>
      <c r="K23" s="113"/>
    </row>
    <row r="24" spans="1:11" s="114" customFormat="1" ht="17.25" customHeight="1">
      <c r="A24" s="111" t="s">
        <v>178</v>
      </c>
      <c r="B24" s="112">
        <v>6.096</v>
      </c>
      <c r="C24" s="201">
        <f>굴착량!O14</f>
        <v>1.2</v>
      </c>
      <c r="D24" s="112">
        <f t="shared" si="1"/>
        <v>7.315</v>
      </c>
      <c r="E24" s="112">
        <f>D24</f>
        <v>7.315</v>
      </c>
      <c r="F24" s="112">
        <v>21</v>
      </c>
      <c r="G24" s="190">
        <v>0.6</v>
      </c>
      <c r="H24" s="190">
        <v>0.7</v>
      </c>
      <c r="I24" s="112">
        <f t="shared" si="2"/>
        <v>8.819999999999999</v>
      </c>
      <c r="J24" s="112">
        <f t="shared" si="3"/>
        <v>50</v>
      </c>
      <c r="K24" s="113"/>
    </row>
    <row r="25" spans="1:11" s="114" customFormat="1" ht="17.25" customHeight="1">
      <c r="A25" s="138" t="s">
        <v>179</v>
      </c>
      <c r="B25" s="116">
        <v>2.389</v>
      </c>
      <c r="C25" s="202">
        <f>굴착량!P14</f>
        <v>1.2</v>
      </c>
      <c r="D25" s="116">
        <f t="shared" si="1"/>
        <v>2.867</v>
      </c>
      <c r="E25" s="116">
        <f>D25</f>
        <v>2.867</v>
      </c>
      <c r="F25" s="116">
        <v>21</v>
      </c>
      <c r="G25" s="116">
        <v>0.6</v>
      </c>
      <c r="H25" s="116">
        <v>0.7</v>
      </c>
      <c r="I25" s="116">
        <f t="shared" si="2"/>
        <v>8.819999999999999</v>
      </c>
      <c r="J25" s="116">
        <f t="shared" si="3"/>
        <v>20</v>
      </c>
      <c r="K25" s="117"/>
    </row>
  </sheetData>
  <mergeCells count="8">
    <mergeCell ref="N3:N4"/>
    <mergeCell ref="A3:A4"/>
    <mergeCell ref="H3:I3"/>
    <mergeCell ref="J3:K3"/>
    <mergeCell ref="L3:M3"/>
    <mergeCell ref="B3:C3"/>
    <mergeCell ref="D3:E3"/>
    <mergeCell ref="F3:G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B18">
      <selection activeCell="I12" sqref="I12"/>
    </sheetView>
  </sheetViews>
  <sheetFormatPr defaultColWidth="9.00390625" defaultRowHeight="12.75"/>
  <cols>
    <col min="1" max="1" width="14.00390625" style="107" customWidth="1"/>
    <col min="2" max="2" width="8.875" style="107" customWidth="1"/>
    <col min="3" max="14" width="8.375" style="107" customWidth="1"/>
    <col min="15" max="16384" width="10.00390625" style="107" customWidth="1"/>
  </cols>
  <sheetData>
    <row r="1" ht="14.25">
      <c r="A1" s="126" t="s">
        <v>258</v>
      </c>
    </row>
    <row r="2" spans="1:14" s="106" customFormat="1" ht="19.5" customHeight="1">
      <c r="A2" s="108"/>
      <c r="N2" s="197" t="s">
        <v>259</v>
      </c>
    </row>
    <row r="3" spans="1:14" s="110" customFormat="1" ht="18" customHeight="1">
      <c r="A3" s="322" t="s">
        <v>260</v>
      </c>
      <c r="B3" s="325" t="s">
        <v>261</v>
      </c>
      <c r="C3" s="326"/>
      <c r="D3" s="325" t="s">
        <v>0</v>
      </c>
      <c r="E3" s="326"/>
      <c r="F3" s="325" t="s">
        <v>1</v>
      </c>
      <c r="G3" s="326"/>
      <c r="H3" s="324" t="s">
        <v>2</v>
      </c>
      <c r="I3" s="324"/>
      <c r="J3" s="324" t="s">
        <v>262</v>
      </c>
      <c r="K3" s="324"/>
      <c r="L3" s="324" t="s">
        <v>263</v>
      </c>
      <c r="M3" s="324"/>
      <c r="N3" s="327" t="s">
        <v>264</v>
      </c>
    </row>
    <row r="4" spans="1:14" s="110" customFormat="1" ht="18" customHeight="1">
      <c r="A4" s="330"/>
      <c r="B4" s="192" t="s">
        <v>265</v>
      </c>
      <c r="C4" s="192" t="s">
        <v>266</v>
      </c>
      <c r="D4" s="192" t="s">
        <v>265</v>
      </c>
      <c r="E4" s="192" t="s">
        <v>266</v>
      </c>
      <c r="F4" s="192" t="s">
        <v>265</v>
      </c>
      <c r="G4" s="192" t="s">
        <v>266</v>
      </c>
      <c r="H4" s="192" t="s">
        <v>265</v>
      </c>
      <c r="I4" s="192" t="s">
        <v>266</v>
      </c>
      <c r="J4" s="192" t="s">
        <v>265</v>
      </c>
      <c r="K4" s="192" t="s">
        <v>266</v>
      </c>
      <c r="L4" s="192" t="s">
        <v>265</v>
      </c>
      <c r="M4" s="192" t="s">
        <v>266</v>
      </c>
      <c r="N4" s="329"/>
    </row>
    <row r="5" spans="1:14" s="114" customFormat="1" ht="18" customHeight="1">
      <c r="A5" s="189" t="s">
        <v>267</v>
      </c>
      <c r="B5" s="190">
        <v>10</v>
      </c>
      <c r="C5" s="190">
        <v>10</v>
      </c>
      <c r="D5" s="190">
        <v>10</v>
      </c>
      <c r="E5" s="190">
        <v>10</v>
      </c>
      <c r="F5" s="190">
        <v>10</v>
      </c>
      <c r="G5" s="190">
        <v>10</v>
      </c>
      <c r="H5" s="190">
        <v>10</v>
      </c>
      <c r="I5" s="190">
        <v>10</v>
      </c>
      <c r="J5" s="190">
        <v>10</v>
      </c>
      <c r="K5" s="190">
        <v>10</v>
      </c>
      <c r="L5" s="190">
        <v>10</v>
      </c>
      <c r="M5" s="190">
        <v>10</v>
      </c>
      <c r="N5" s="191"/>
    </row>
    <row r="6" spans="1:14" s="114" customFormat="1" ht="18" customHeight="1">
      <c r="A6" s="102" t="s">
        <v>268</v>
      </c>
      <c r="B6" s="112">
        <f>J15</f>
        <v>12</v>
      </c>
      <c r="C6" s="112">
        <f>J16</f>
        <v>12</v>
      </c>
      <c r="D6" s="112">
        <f>J17</f>
        <v>53</v>
      </c>
      <c r="E6" s="112">
        <f>J18</f>
        <v>12</v>
      </c>
      <c r="F6" s="112">
        <f>J19</f>
        <v>86</v>
      </c>
      <c r="G6" s="112">
        <f>J20</f>
        <v>62</v>
      </c>
      <c r="H6" s="112">
        <f>J21</f>
        <v>70</v>
      </c>
      <c r="I6" s="112">
        <f>J22</f>
        <v>49</v>
      </c>
      <c r="J6" s="112">
        <f>J23</f>
        <v>70</v>
      </c>
      <c r="K6" s="112">
        <f>J24</f>
        <v>49</v>
      </c>
      <c r="L6" s="112">
        <f>J25</f>
        <v>70</v>
      </c>
      <c r="M6" s="112">
        <f>J26</f>
        <v>49</v>
      </c>
      <c r="N6" s="113"/>
    </row>
    <row r="7" spans="1:14" s="114" customFormat="1" ht="18" customHeight="1">
      <c r="A7" s="102" t="s">
        <v>269</v>
      </c>
      <c r="B7" s="112">
        <f>E15</f>
        <v>2</v>
      </c>
      <c r="C7" s="112">
        <f>E16</f>
        <v>2</v>
      </c>
      <c r="D7" s="112">
        <f>E17</f>
        <v>8.5</v>
      </c>
      <c r="E7" s="112">
        <f>E18</f>
        <v>2</v>
      </c>
      <c r="F7" s="112">
        <f>E19</f>
        <v>10.5</v>
      </c>
      <c r="G7" s="112">
        <f>E20</f>
        <v>7.5</v>
      </c>
      <c r="H7" s="112">
        <f>E21</f>
        <v>8.5</v>
      </c>
      <c r="I7" s="112">
        <f>E22</f>
        <v>6</v>
      </c>
      <c r="J7" s="112">
        <f>E23</f>
        <v>8.5</v>
      </c>
      <c r="K7" s="112">
        <f>E24</f>
        <v>6</v>
      </c>
      <c r="L7" s="112">
        <f>E25</f>
        <v>8.5</v>
      </c>
      <c r="M7" s="112">
        <f>E26</f>
        <v>6</v>
      </c>
      <c r="N7" s="113"/>
    </row>
    <row r="8" spans="1:14" s="114" customFormat="1" ht="18" customHeight="1">
      <c r="A8" s="102" t="s">
        <v>270</v>
      </c>
      <c r="B8" s="112">
        <f aca="true" t="shared" si="0" ref="B8:M8">B7</f>
        <v>2</v>
      </c>
      <c r="C8" s="112">
        <f t="shared" si="0"/>
        <v>2</v>
      </c>
      <c r="D8" s="112">
        <f t="shared" si="0"/>
        <v>8.5</v>
      </c>
      <c r="E8" s="112">
        <f t="shared" si="0"/>
        <v>2</v>
      </c>
      <c r="F8" s="112">
        <f t="shared" si="0"/>
        <v>10.5</v>
      </c>
      <c r="G8" s="112">
        <f t="shared" si="0"/>
        <v>7.5</v>
      </c>
      <c r="H8" s="112">
        <f t="shared" si="0"/>
        <v>8.5</v>
      </c>
      <c r="I8" s="112">
        <f t="shared" si="0"/>
        <v>6</v>
      </c>
      <c r="J8" s="112">
        <f t="shared" si="0"/>
        <v>8.5</v>
      </c>
      <c r="K8" s="112">
        <f t="shared" si="0"/>
        <v>6</v>
      </c>
      <c r="L8" s="112">
        <f t="shared" si="0"/>
        <v>8.5</v>
      </c>
      <c r="M8" s="112">
        <f t="shared" si="0"/>
        <v>6</v>
      </c>
      <c r="N8" s="113"/>
    </row>
    <row r="9" spans="1:14" s="114" customFormat="1" ht="18" customHeight="1">
      <c r="A9" s="143" t="s">
        <v>271</v>
      </c>
      <c r="B9" s="144">
        <v>10</v>
      </c>
      <c r="C9" s="144">
        <v>10</v>
      </c>
      <c r="D9" s="144">
        <v>10</v>
      </c>
      <c r="E9" s="144">
        <v>10</v>
      </c>
      <c r="F9" s="144">
        <v>10</v>
      </c>
      <c r="G9" s="144">
        <v>10</v>
      </c>
      <c r="H9" s="144">
        <v>10</v>
      </c>
      <c r="I9" s="144">
        <v>10</v>
      </c>
      <c r="J9" s="144">
        <v>10</v>
      </c>
      <c r="K9" s="144">
        <v>10</v>
      </c>
      <c r="L9" s="144">
        <v>10</v>
      </c>
      <c r="M9" s="144">
        <v>10</v>
      </c>
      <c r="N9" s="145"/>
    </row>
    <row r="10" spans="1:14" s="114" customFormat="1" ht="18" customHeight="1">
      <c r="A10" s="104" t="s">
        <v>272</v>
      </c>
      <c r="B10" s="116">
        <f aca="true" t="shared" si="1" ref="B10:M10">SUM(B5:B9)</f>
        <v>36</v>
      </c>
      <c r="C10" s="116">
        <f t="shared" si="1"/>
        <v>36</v>
      </c>
      <c r="D10" s="116">
        <f t="shared" si="1"/>
        <v>90</v>
      </c>
      <c r="E10" s="116">
        <f t="shared" si="1"/>
        <v>36</v>
      </c>
      <c r="F10" s="116">
        <f t="shared" si="1"/>
        <v>127</v>
      </c>
      <c r="G10" s="116">
        <f t="shared" si="1"/>
        <v>97</v>
      </c>
      <c r="H10" s="116">
        <f t="shared" si="1"/>
        <v>107</v>
      </c>
      <c r="I10" s="116">
        <f t="shared" si="1"/>
        <v>81</v>
      </c>
      <c r="J10" s="116">
        <f t="shared" si="1"/>
        <v>107</v>
      </c>
      <c r="K10" s="116">
        <f t="shared" si="1"/>
        <v>81</v>
      </c>
      <c r="L10" s="116">
        <f t="shared" si="1"/>
        <v>107</v>
      </c>
      <c r="M10" s="116">
        <f t="shared" si="1"/>
        <v>81</v>
      </c>
      <c r="N10" s="117"/>
    </row>
    <row r="11" spans="1:14" s="114" customFormat="1" ht="18" customHeight="1">
      <c r="A11" s="140" t="s">
        <v>273</v>
      </c>
      <c r="B11" s="141">
        <f aca="true" t="shared" si="2" ref="B11:M11">B10</f>
        <v>36</v>
      </c>
      <c r="C11" s="141">
        <f t="shared" si="2"/>
        <v>36</v>
      </c>
      <c r="D11" s="141">
        <f t="shared" si="2"/>
        <v>90</v>
      </c>
      <c r="E11" s="141">
        <f t="shared" si="2"/>
        <v>36</v>
      </c>
      <c r="F11" s="141">
        <f t="shared" si="2"/>
        <v>127</v>
      </c>
      <c r="G11" s="141">
        <f t="shared" si="2"/>
        <v>97</v>
      </c>
      <c r="H11" s="141">
        <f t="shared" si="2"/>
        <v>107</v>
      </c>
      <c r="I11" s="141">
        <f t="shared" si="2"/>
        <v>81</v>
      </c>
      <c r="J11" s="141">
        <f t="shared" si="2"/>
        <v>107</v>
      </c>
      <c r="K11" s="141">
        <f t="shared" si="2"/>
        <v>81</v>
      </c>
      <c r="L11" s="141">
        <f t="shared" si="2"/>
        <v>107</v>
      </c>
      <c r="M11" s="141">
        <f t="shared" si="2"/>
        <v>81</v>
      </c>
      <c r="N11" s="142"/>
    </row>
    <row r="12" ht="19.5" customHeight="1"/>
    <row r="13" s="135" customFormat="1" ht="19.5" customHeight="1">
      <c r="A13" s="134" t="s">
        <v>274</v>
      </c>
    </row>
    <row r="14" spans="1:13" s="110" customFormat="1" ht="27.75" customHeight="1">
      <c r="A14" s="140" t="s">
        <v>275</v>
      </c>
      <c r="B14" s="331" t="s">
        <v>276</v>
      </c>
      <c r="C14" s="332"/>
      <c r="D14" s="198" t="s">
        <v>277</v>
      </c>
      <c r="E14" s="198" t="s">
        <v>278</v>
      </c>
      <c r="F14" s="331" t="s">
        <v>279</v>
      </c>
      <c r="G14" s="332"/>
      <c r="H14" s="331" t="s">
        <v>280</v>
      </c>
      <c r="I14" s="339"/>
      <c r="J14" s="199" t="s">
        <v>281</v>
      </c>
      <c r="K14" s="194"/>
      <c r="L14" s="194"/>
      <c r="M14" s="196"/>
    </row>
    <row r="15" spans="1:13" s="114" customFormat="1" ht="18" customHeight="1">
      <c r="A15" s="193" t="s">
        <v>168</v>
      </c>
      <c r="B15" s="333">
        <v>3.1</v>
      </c>
      <c r="C15" s="334"/>
      <c r="D15" s="190">
        <v>2</v>
      </c>
      <c r="E15" s="190">
        <f aca="true" t="shared" si="3" ref="E15:E26">D15</f>
        <v>2</v>
      </c>
      <c r="F15" s="333">
        <f aca="true" t="shared" si="4" ref="F15:F26">ROUND(B15*E15,2)</f>
        <v>6.2</v>
      </c>
      <c r="G15" s="334"/>
      <c r="H15" s="333">
        <v>0.5</v>
      </c>
      <c r="I15" s="334"/>
      <c r="J15" s="190">
        <f aca="true" t="shared" si="5" ref="J15:J26">ROUND(F15/H15,0)</f>
        <v>12</v>
      </c>
      <c r="K15" s="190"/>
      <c r="L15" s="190"/>
      <c r="M15" s="191"/>
    </row>
    <row r="16" spans="1:13" s="114" customFormat="1" ht="18" customHeight="1">
      <c r="A16" s="111" t="s">
        <v>282</v>
      </c>
      <c r="B16" s="335">
        <v>3.1</v>
      </c>
      <c r="C16" s="336"/>
      <c r="D16" s="112">
        <v>2</v>
      </c>
      <c r="E16" s="112">
        <f t="shared" si="3"/>
        <v>2</v>
      </c>
      <c r="F16" s="335">
        <f t="shared" si="4"/>
        <v>6.2</v>
      </c>
      <c r="G16" s="336"/>
      <c r="H16" s="335">
        <v>0.5</v>
      </c>
      <c r="I16" s="336"/>
      <c r="J16" s="112">
        <f t="shared" si="5"/>
        <v>12</v>
      </c>
      <c r="K16" s="112"/>
      <c r="L16" s="112"/>
      <c r="M16" s="113"/>
    </row>
    <row r="17" spans="1:13" s="114" customFormat="1" ht="18" customHeight="1">
      <c r="A17" s="111" t="s">
        <v>170</v>
      </c>
      <c r="B17" s="335">
        <v>3.1</v>
      </c>
      <c r="C17" s="336"/>
      <c r="D17" s="112">
        <v>8.5</v>
      </c>
      <c r="E17" s="112">
        <f t="shared" si="3"/>
        <v>8.5</v>
      </c>
      <c r="F17" s="335">
        <f t="shared" si="4"/>
        <v>26.35</v>
      </c>
      <c r="G17" s="336"/>
      <c r="H17" s="335">
        <v>0.5</v>
      </c>
      <c r="I17" s="336"/>
      <c r="J17" s="112">
        <f t="shared" si="5"/>
        <v>53</v>
      </c>
      <c r="K17" s="112"/>
      <c r="L17" s="112"/>
      <c r="M17" s="113"/>
    </row>
    <row r="18" spans="1:13" s="114" customFormat="1" ht="18" customHeight="1">
      <c r="A18" s="111" t="s">
        <v>283</v>
      </c>
      <c r="B18" s="335">
        <v>3.1</v>
      </c>
      <c r="C18" s="336"/>
      <c r="D18" s="112">
        <v>2</v>
      </c>
      <c r="E18" s="112">
        <f t="shared" si="3"/>
        <v>2</v>
      </c>
      <c r="F18" s="335">
        <f t="shared" si="4"/>
        <v>6.2</v>
      </c>
      <c r="G18" s="336"/>
      <c r="H18" s="335">
        <v>0.5</v>
      </c>
      <c r="I18" s="336"/>
      <c r="J18" s="112">
        <f t="shared" si="5"/>
        <v>12</v>
      </c>
      <c r="K18" s="112"/>
      <c r="L18" s="112"/>
      <c r="M18" s="113"/>
    </row>
    <row r="19" spans="1:13" s="114" customFormat="1" ht="18" customHeight="1">
      <c r="A19" s="111" t="s">
        <v>172</v>
      </c>
      <c r="B19" s="335">
        <v>4.1</v>
      </c>
      <c r="C19" s="336"/>
      <c r="D19" s="112">
        <v>10.5</v>
      </c>
      <c r="E19" s="112">
        <f t="shared" si="3"/>
        <v>10.5</v>
      </c>
      <c r="F19" s="335">
        <f t="shared" si="4"/>
        <v>43.05</v>
      </c>
      <c r="G19" s="336"/>
      <c r="H19" s="335">
        <v>0.5</v>
      </c>
      <c r="I19" s="336"/>
      <c r="J19" s="112">
        <f t="shared" si="5"/>
        <v>86</v>
      </c>
      <c r="K19" s="112"/>
      <c r="L19" s="112"/>
      <c r="M19" s="113"/>
    </row>
    <row r="20" spans="1:13" s="114" customFormat="1" ht="18" customHeight="1">
      <c r="A20" s="111" t="s">
        <v>173</v>
      </c>
      <c r="B20" s="335">
        <v>4.1</v>
      </c>
      <c r="C20" s="336"/>
      <c r="D20" s="112">
        <v>7.5</v>
      </c>
      <c r="E20" s="112">
        <f t="shared" si="3"/>
        <v>7.5</v>
      </c>
      <c r="F20" s="335">
        <f t="shared" si="4"/>
        <v>30.75</v>
      </c>
      <c r="G20" s="336"/>
      <c r="H20" s="335">
        <v>0.5</v>
      </c>
      <c r="I20" s="336"/>
      <c r="J20" s="112">
        <f t="shared" si="5"/>
        <v>62</v>
      </c>
      <c r="K20" s="112"/>
      <c r="L20" s="112"/>
      <c r="M20" s="113"/>
    </row>
    <row r="21" spans="1:13" s="114" customFormat="1" ht="18" customHeight="1">
      <c r="A21" s="111" t="s">
        <v>284</v>
      </c>
      <c r="B21" s="335">
        <v>4.1</v>
      </c>
      <c r="C21" s="336"/>
      <c r="D21" s="112">
        <v>8.5</v>
      </c>
      <c r="E21" s="112">
        <f t="shared" si="3"/>
        <v>8.5</v>
      </c>
      <c r="F21" s="335">
        <f t="shared" si="4"/>
        <v>34.85</v>
      </c>
      <c r="G21" s="336"/>
      <c r="H21" s="335">
        <v>0.5</v>
      </c>
      <c r="I21" s="336"/>
      <c r="J21" s="112">
        <f t="shared" si="5"/>
        <v>70</v>
      </c>
      <c r="K21" s="112"/>
      <c r="L21" s="112"/>
      <c r="M21" s="113"/>
    </row>
    <row r="22" spans="1:13" s="114" customFormat="1" ht="18" customHeight="1">
      <c r="A22" s="111" t="s">
        <v>285</v>
      </c>
      <c r="B22" s="335">
        <v>4.1</v>
      </c>
      <c r="C22" s="336"/>
      <c r="D22" s="112">
        <v>6</v>
      </c>
      <c r="E22" s="112">
        <f t="shared" si="3"/>
        <v>6</v>
      </c>
      <c r="F22" s="335">
        <f t="shared" si="4"/>
        <v>24.6</v>
      </c>
      <c r="G22" s="336"/>
      <c r="H22" s="335">
        <v>0.5</v>
      </c>
      <c r="I22" s="336"/>
      <c r="J22" s="112">
        <f t="shared" si="5"/>
        <v>49</v>
      </c>
      <c r="K22" s="112"/>
      <c r="L22" s="112"/>
      <c r="M22" s="113"/>
    </row>
    <row r="23" spans="1:13" s="114" customFormat="1" ht="18" customHeight="1">
      <c r="A23" s="111" t="s">
        <v>176</v>
      </c>
      <c r="B23" s="335">
        <v>4.1</v>
      </c>
      <c r="C23" s="336"/>
      <c r="D23" s="112">
        <v>8.5</v>
      </c>
      <c r="E23" s="112">
        <f t="shared" si="3"/>
        <v>8.5</v>
      </c>
      <c r="F23" s="335">
        <f t="shared" si="4"/>
        <v>34.85</v>
      </c>
      <c r="G23" s="336"/>
      <c r="H23" s="335">
        <v>0.5</v>
      </c>
      <c r="I23" s="336"/>
      <c r="J23" s="112">
        <f t="shared" si="5"/>
        <v>70</v>
      </c>
      <c r="K23" s="112"/>
      <c r="L23" s="112"/>
      <c r="M23" s="113"/>
    </row>
    <row r="24" spans="1:13" s="114" customFormat="1" ht="18" customHeight="1">
      <c r="A24" s="111" t="s">
        <v>177</v>
      </c>
      <c r="B24" s="335">
        <v>4.1</v>
      </c>
      <c r="C24" s="336"/>
      <c r="D24" s="112">
        <v>6</v>
      </c>
      <c r="E24" s="112">
        <f t="shared" si="3"/>
        <v>6</v>
      </c>
      <c r="F24" s="335">
        <f t="shared" si="4"/>
        <v>24.6</v>
      </c>
      <c r="G24" s="336"/>
      <c r="H24" s="335">
        <v>0.5</v>
      </c>
      <c r="I24" s="336"/>
      <c r="J24" s="112">
        <f t="shared" si="5"/>
        <v>49</v>
      </c>
      <c r="K24" s="112"/>
      <c r="L24" s="112"/>
      <c r="M24" s="113"/>
    </row>
    <row r="25" spans="1:13" s="114" customFormat="1" ht="18" customHeight="1">
      <c r="A25" s="111" t="s">
        <v>178</v>
      </c>
      <c r="B25" s="335">
        <v>4.1</v>
      </c>
      <c r="C25" s="336"/>
      <c r="D25" s="112">
        <v>8.5</v>
      </c>
      <c r="E25" s="112">
        <f t="shared" si="3"/>
        <v>8.5</v>
      </c>
      <c r="F25" s="335">
        <f t="shared" si="4"/>
        <v>34.85</v>
      </c>
      <c r="G25" s="336"/>
      <c r="H25" s="335">
        <v>0.5</v>
      </c>
      <c r="I25" s="336"/>
      <c r="J25" s="112">
        <f t="shared" si="5"/>
        <v>70</v>
      </c>
      <c r="K25" s="112"/>
      <c r="L25" s="112"/>
      <c r="M25" s="113"/>
    </row>
    <row r="26" spans="1:13" s="114" customFormat="1" ht="18" customHeight="1">
      <c r="A26" s="138" t="s">
        <v>179</v>
      </c>
      <c r="B26" s="337">
        <v>4.1</v>
      </c>
      <c r="C26" s="338"/>
      <c r="D26" s="116">
        <v>6</v>
      </c>
      <c r="E26" s="116">
        <f t="shared" si="3"/>
        <v>6</v>
      </c>
      <c r="F26" s="337">
        <f t="shared" si="4"/>
        <v>24.6</v>
      </c>
      <c r="G26" s="338"/>
      <c r="H26" s="337">
        <v>0.5</v>
      </c>
      <c r="I26" s="338"/>
      <c r="J26" s="116">
        <f t="shared" si="5"/>
        <v>49</v>
      </c>
      <c r="K26" s="116"/>
      <c r="L26" s="116"/>
      <c r="M26" s="117"/>
    </row>
  </sheetData>
  <mergeCells count="47">
    <mergeCell ref="H26:I26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F23:G23"/>
    <mergeCell ref="F24:G24"/>
    <mergeCell ref="F25:G25"/>
    <mergeCell ref="F26:G26"/>
    <mergeCell ref="B26:C26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22:C22"/>
    <mergeCell ref="B24:C24"/>
    <mergeCell ref="B23:C23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N3:N4"/>
    <mergeCell ref="A3:A4"/>
    <mergeCell ref="H3:I3"/>
    <mergeCell ref="J3:K3"/>
    <mergeCell ref="L3:M3"/>
    <mergeCell ref="F3:G3"/>
    <mergeCell ref="B3:C3"/>
    <mergeCell ref="D3:E3"/>
  </mergeCells>
  <printOptions/>
  <pageMargins left="0.75" right="0.75" top="0.85" bottom="0.63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B11" sqref="B11"/>
    </sheetView>
  </sheetViews>
  <sheetFormatPr defaultColWidth="9.00390625" defaultRowHeight="12.75"/>
  <cols>
    <col min="1" max="1" width="19.25390625" style="1" customWidth="1"/>
    <col min="2" max="10" width="7.125" style="1" customWidth="1"/>
    <col min="11" max="11" width="9.625" style="1" customWidth="1"/>
    <col min="12" max="16384" width="9.00390625" style="1" customWidth="1"/>
  </cols>
  <sheetData>
    <row r="1" ht="14.25">
      <c r="A1" s="16" t="s">
        <v>52</v>
      </c>
    </row>
    <row r="3" spans="1:11" s="3" customFormat="1" ht="20.25" customHeight="1">
      <c r="A3" s="343" t="s">
        <v>8</v>
      </c>
      <c r="B3" s="2" t="s">
        <v>9</v>
      </c>
      <c r="C3" s="2" t="s">
        <v>0</v>
      </c>
      <c r="D3" s="2" t="s">
        <v>1</v>
      </c>
      <c r="E3" s="340" t="s">
        <v>2</v>
      </c>
      <c r="F3" s="340"/>
      <c r="G3" s="340" t="s">
        <v>3</v>
      </c>
      <c r="H3" s="340"/>
      <c r="I3" s="340" t="s">
        <v>4</v>
      </c>
      <c r="J3" s="340"/>
      <c r="K3" s="341" t="s">
        <v>5</v>
      </c>
    </row>
    <row r="4" spans="1:11" s="3" customFormat="1" ht="20.25" customHeight="1">
      <c r="A4" s="344"/>
      <c r="B4" s="4" t="s">
        <v>10</v>
      </c>
      <c r="C4" s="4" t="s">
        <v>10</v>
      </c>
      <c r="D4" s="4" t="s">
        <v>10</v>
      </c>
      <c r="E4" s="4" t="s">
        <v>43</v>
      </c>
      <c r="F4" s="4" t="s">
        <v>42</v>
      </c>
      <c r="G4" s="4" t="s">
        <v>43</v>
      </c>
      <c r="H4" s="4" t="s">
        <v>42</v>
      </c>
      <c r="I4" s="4" t="s">
        <v>43</v>
      </c>
      <c r="J4" s="4" t="s">
        <v>42</v>
      </c>
      <c r="K4" s="342"/>
    </row>
    <row r="5" spans="1:11" ht="16.5" customHeight="1">
      <c r="A5" s="9" t="s">
        <v>37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6.5" customHeight="1">
      <c r="A6" s="5" t="s">
        <v>38</v>
      </c>
      <c r="B6" s="6">
        <f aca="true" t="shared" si="0" ref="B6:J6">B18</f>
        <v>290</v>
      </c>
      <c r="C6" s="6">
        <f t="shared" si="0"/>
        <v>270</v>
      </c>
      <c r="D6" s="6">
        <f t="shared" si="0"/>
        <v>210</v>
      </c>
      <c r="E6" s="6">
        <f t="shared" si="0"/>
        <v>145</v>
      </c>
      <c r="F6" s="6">
        <f t="shared" si="0"/>
        <v>115</v>
      </c>
      <c r="G6" s="6">
        <f t="shared" si="0"/>
        <v>145</v>
      </c>
      <c r="H6" s="6">
        <f t="shared" si="0"/>
        <v>108</v>
      </c>
      <c r="I6" s="6">
        <f t="shared" si="0"/>
        <v>145</v>
      </c>
      <c r="J6" s="6">
        <f t="shared" si="0"/>
        <v>108</v>
      </c>
      <c r="K6" s="7"/>
    </row>
    <row r="7" spans="1:11" ht="16.5" customHeight="1">
      <c r="A7" s="5" t="s">
        <v>39</v>
      </c>
      <c r="B7" s="6">
        <f aca="true" t="shared" si="1" ref="B7:J7">B25</f>
        <v>160</v>
      </c>
      <c r="C7" s="6">
        <f t="shared" si="1"/>
        <v>160</v>
      </c>
      <c r="D7" s="6">
        <f t="shared" si="1"/>
        <v>125</v>
      </c>
      <c r="E7" s="6">
        <f t="shared" si="1"/>
        <v>81</v>
      </c>
      <c r="F7" s="6">
        <f t="shared" si="1"/>
        <v>68</v>
      </c>
      <c r="G7" s="6">
        <f t="shared" si="1"/>
        <v>75</v>
      </c>
      <c r="H7" s="6">
        <f t="shared" si="1"/>
        <v>62</v>
      </c>
      <c r="I7" s="6">
        <f t="shared" si="1"/>
        <v>75</v>
      </c>
      <c r="J7" s="6">
        <f t="shared" si="1"/>
        <v>62</v>
      </c>
      <c r="K7" s="7"/>
    </row>
    <row r="8" spans="1:11" ht="16.5" customHeight="1">
      <c r="A8" s="5" t="s">
        <v>40</v>
      </c>
      <c r="B8" s="6">
        <f aca="true" t="shared" si="2" ref="B8:J8">B36</f>
        <v>120</v>
      </c>
      <c r="C8" s="6">
        <f t="shared" si="2"/>
        <v>120</v>
      </c>
      <c r="D8" s="6">
        <f t="shared" si="2"/>
        <v>130</v>
      </c>
      <c r="E8" s="6">
        <f t="shared" si="2"/>
        <v>134</v>
      </c>
      <c r="F8" s="6">
        <f t="shared" si="2"/>
        <v>126</v>
      </c>
      <c r="G8" s="6">
        <f t="shared" si="2"/>
        <v>132</v>
      </c>
      <c r="H8" s="6">
        <f t="shared" si="2"/>
        <v>83</v>
      </c>
      <c r="I8" s="6">
        <f t="shared" si="2"/>
        <v>152</v>
      </c>
      <c r="J8" s="6">
        <f t="shared" si="2"/>
        <v>96</v>
      </c>
      <c r="K8" s="7"/>
    </row>
    <row r="9" spans="1:11" ht="16.5" customHeight="1">
      <c r="A9" s="5" t="s">
        <v>41</v>
      </c>
      <c r="B9" s="6">
        <f aca="true" t="shared" si="3" ref="B9:J9">B45</f>
        <v>50</v>
      </c>
      <c r="C9" s="6">
        <f t="shared" si="3"/>
        <v>72</v>
      </c>
      <c r="D9" s="6">
        <f t="shared" si="3"/>
        <v>104</v>
      </c>
      <c r="E9" s="6">
        <f t="shared" si="3"/>
        <v>69</v>
      </c>
      <c r="F9" s="6">
        <f t="shared" si="3"/>
        <v>51</v>
      </c>
      <c r="G9" s="6">
        <f t="shared" si="3"/>
        <v>69</v>
      </c>
      <c r="H9" s="6">
        <f t="shared" si="3"/>
        <v>51</v>
      </c>
      <c r="I9" s="6">
        <f t="shared" si="3"/>
        <v>69</v>
      </c>
      <c r="J9" s="6">
        <f t="shared" si="3"/>
        <v>51</v>
      </c>
      <c r="K9" s="7"/>
    </row>
    <row r="10" spans="1:11" ht="16.5" customHeight="1">
      <c r="A10" s="5" t="s">
        <v>21</v>
      </c>
      <c r="B10" s="6">
        <f aca="true" t="shared" si="4" ref="B10:J10">SUM(B6:B9)</f>
        <v>620</v>
      </c>
      <c r="C10" s="6">
        <f t="shared" si="4"/>
        <v>622</v>
      </c>
      <c r="D10" s="6">
        <f t="shared" si="4"/>
        <v>569</v>
      </c>
      <c r="E10" s="6">
        <f t="shared" si="4"/>
        <v>429</v>
      </c>
      <c r="F10" s="6">
        <f t="shared" si="4"/>
        <v>360</v>
      </c>
      <c r="G10" s="6">
        <f t="shared" si="4"/>
        <v>421</v>
      </c>
      <c r="H10" s="6">
        <f t="shared" si="4"/>
        <v>304</v>
      </c>
      <c r="I10" s="6">
        <f t="shared" si="4"/>
        <v>441</v>
      </c>
      <c r="J10" s="6">
        <f t="shared" si="4"/>
        <v>317</v>
      </c>
      <c r="K10" s="7"/>
    </row>
    <row r="11" spans="1:11" ht="16.5" customHeight="1">
      <c r="A11" s="8"/>
      <c r="B11" s="6">
        <f aca="true" t="shared" si="5" ref="B11:J11">ROUND(B10/60,1)</f>
        <v>10.3</v>
      </c>
      <c r="C11" s="6">
        <f t="shared" si="5"/>
        <v>10.4</v>
      </c>
      <c r="D11" s="6">
        <f t="shared" si="5"/>
        <v>9.5</v>
      </c>
      <c r="E11" s="6">
        <f t="shared" si="5"/>
        <v>7.2</v>
      </c>
      <c r="F11" s="6">
        <f t="shared" si="5"/>
        <v>6</v>
      </c>
      <c r="G11" s="6">
        <f t="shared" si="5"/>
        <v>7</v>
      </c>
      <c r="H11" s="6">
        <f t="shared" si="5"/>
        <v>5.1</v>
      </c>
      <c r="I11" s="6">
        <f t="shared" si="5"/>
        <v>7.4</v>
      </c>
      <c r="J11" s="6">
        <f t="shared" si="5"/>
        <v>5.3</v>
      </c>
      <c r="K11" s="7"/>
    </row>
    <row r="12" spans="1:11" ht="16.5" customHeight="1">
      <c r="A12" s="10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6.5" customHeight="1">
      <c r="A13" s="5" t="s">
        <v>11</v>
      </c>
      <c r="B13" s="6">
        <v>20</v>
      </c>
      <c r="C13" s="6">
        <v>20</v>
      </c>
      <c r="D13" s="6">
        <v>20</v>
      </c>
      <c r="E13" s="6">
        <v>20</v>
      </c>
      <c r="F13" s="6">
        <v>20</v>
      </c>
      <c r="G13" s="6">
        <v>20</v>
      </c>
      <c r="H13" s="6">
        <v>13</v>
      </c>
      <c r="I13" s="6">
        <v>20</v>
      </c>
      <c r="J13" s="6">
        <v>13</v>
      </c>
      <c r="K13" s="7"/>
    </row>
    <row r="14" spans="1:11" ht="16.5" customHeight="1">
      <c r="A14" s="5" t="s">
        <v>12</v>
      </c>
      <c r="B14" s="6">
        <v>180</v>
      </c>
      <c r="C14" s="6">
        <v>160</v>
      </c>
      <c r="D14" s="6">
        <v>100</v>
      </c>
      <c r="E14" s="6">
        <v>45</v>
      </c>
      <c r="F14" s="6">
        <v>30</v>
      </c>
      <c r="G14" s="6">
        <v>45</v>
      </c>
      <c r="H14" s="6">
        <v>30</v>
      </c>
      <c r="I14" s="6">
        <v>45</v>
      </c>
      <c r="J14" s="6">
        <v>30</v>
      </c>
      <c r="K14" s="7"/>
    </row>
    <row r="15" spans="1:11" ht="16.5" customHeight="1">
      <c r="A15" s="5" t="s">
        <v>13</v>
      </c>
      <c r="B15" s="6">
        <v>50</v>
      </c>
      <c r="C15" s="6">
        <v>50</v>
      </c>
      <c r="D15" s="6">
        <v>50</v>
      </c>
      <c r="E15" s="6">
        <v>40</v>
      </c>
      <c r="F15" s="6">
        <v>30</v>
      </c>
      <c r="G15" s="6">
        <v>40</v>
      </c>
      <c r="H15" s="6">
        <v>30</v>
      </c>
      <c r="I15" s="6">
        <v>40</v>
      </c>
      <c r="J15" s="6">
        <v>30</v>
      </c>
      <c r="K15" s="7"/>
    </row>
    <row r="16" spans="1:11" ht="16.5" customHeight="1">
      <c r="A16" s="5" t="s">
        <v>14</v>
      </c>
      <c r="B16" s="6">
        <v>20</v>
      </c>
      <c r="C16" s="6">
        <v>20</v>
      </c>
      <c r="D16" s="6">
        <v>20</v>
      </c>
      <c r="E16" s="6">
        <v>20</v>
      </c>
      <c r="F16" s="6">
        <v>15</v>
      </c>
      <c r="G16" s="6">
        <v>20</v>
      </c>
      <c r="H16" s="6">
        <v>15</v>
      </c>
      <c r="I16" s="6">
        <v>20</v>
      </c>
      <c r="J16" s="6">
        <v>15</v>
      </c>
      <c r="K16" s="7"/>
    </row>
    <row r="17" spans="1:11" ht="16.5" customHeight="1">
      <c r="A17" s="5" t="s">
        <v>15</v>
      </c>
      <c r="B17" s="6">
        <v>20</v>
      </c>
      <c r="C17" s="6">
        <v>20</v>
      </c>
      <c r="D17" s="6">
        <v>20</v>
      </c>
      <c r="E17" s="6">
        <v>20</v>
      </c>
      <c r="F17" s="6">
        <v>20</v>
      </c>
      <c r="G17" s="6">
        <v>20</v>
      </c>
      <c r="H17" s="6">
        <v>20</v>
      </c>
      <c r="I17" s="6">
        <v>20</v>
      </c>
      <c r="J17" s="6">
        <v>20</v>
      </c>
      <c r="K17" s="7"/>
    </row>
    <row r="18" spans="1:11" ht="16.5" customHeight="1">
      <c r="A18" s="5" t="s">
        <v>16</v>
      </c>
      <c r="B18" s="6">
        <f aca="true" t="shared" si="6" ref="B18:J18">SUM(B13:B17)</f>
        <v>290</v>
      </c>
      <c r="C18" s="6">
        <f t="shared" si="6"/>
        <v>270</v>
      </c>
      <c r="D18" s="6">
        <f t="shared" si="6"/>
        <v>210</v>
      </c>
      <c r="E18" s="6">
        <f t="shared" si="6"/>
        <v>145</v>
      </c>
      <c r="F18" s="6">
        <f t="shared" si="6"/>
        <v>115</v>
      </c>
      <c r="G18" s="6">
        <f t="shared" si="6"/>
        <v>145</v>
      </c>
      <c r="H18" s="6">
        <f t="shared" si="6"/>
        <v>108</v>
      </c>
      <c r="I18" s="6">
        <f t="shared" si="6"/>
        <v>145</v>
      </c>
      <c r="J18" s="6">
        <f t="shared" si="6"/>
        <v>108</v>
      </c>
      <c r="K18" s="7"/>
    </row>
    <row r="19" spans="1:11" ht="16.5" customHeight="1">
      <c r="A19" s="8"/>
      <c r="B19" s="6">
        <f aca="true" t="shared" si="7" ref="B19:J19">ROUND(B18/60,1)</f>
        <v>4.8</v>
      </c>
      <c r="C19" s="6">
        <f t="shared" si="7"/>
        <v>4.5</v>
      </c>
      <c r="D19" s="6">
        <f t="shared" si="7"/>
        <v>3.5</v>
      </c>
      <c r="E19" s="6">
        <f t="shared" si="7"/>
        <v>2.4</v>
      </c>
      <c r="F19" s="6">
        <f t="shared" si="7"/>
        <v>1.9</v>
      </c>
      <c r="G19" s="6">
        <f t="shared" si="7"/>
        <v>2.4</v>
      </c>
      <c r="H19" s="6">
        <f t="shared" si="7"/>
        <v>1.8</v>
      </c>
      <c r="I19" s="6">
        <f t="shared" si="7"/>
        <v>2.4</v>
      </c>
      <c r="J19" s="6">
        <f t="shared" si="7"/>
        <v>1.8</v>
      </c>
      <c r="K19" s="7"/>
    </row>
    <row r="20" spans="1:11" ht="16.5" customHeight="1">
      <c r="A20" s="9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ht="16.5" customHeight="1">
      <c r="A21" s="5" t="s">
        <v>17</v>
      </c>
      <c r="B21" s="6">
        <v>10</v>
      </c>
      <c r="C21" s="6">
        <v>10</v>
      </c>
      <c r="D21" s="6">
        <v>10</v>
      </c>
      <c r="E21" s="6">
        <v>10</v>
      </c>
      <c r="F21" s="6">
        <v>10</v>
      </c>
      <c r="G21" s="6">
        <v>10</v>
      </c>
      <c r="H21" s="6">
        <v>10</v>
      </c>
      <c r="I21" s="6">
        <v>10</v>
      </c>
      <c r="J21" s="6">
        <v>10</v>
      </c>
      <c r="K21" s="7"/>
    </row>
    <row r="22" spans="1:11" ht="16.5" customHeight="1">
      <c r="A22" s="5" t="s">
        <v>18</v>
      </c>
      <c r="B22" s="6">
        <v>110</v>
      </c>
      <c r="C22" s="6">
        <v>110</v>
      </c>
      <c r="D22" s="6">
        <v>75</v>
      </c>
      <c r="E22" s="6">
        <v>31</v>
      </c>
      <c r="F22" s="6">
        <v>28</v>
      </c>
      <c r="G22" s="6">
        <v>25</v>
      </c>
      <c r="H22" s="6">
        <v>22</v>
      </c>
      <c r="I22" s="6">
        <v>25</v>
      </c>
      <c r="J22" s="6">
        <v>22</v>
      </c>
      <c r="K22" s="7"/>
    </row>
    <row r="23" spans="1:11" ht="16.5" customHeight="1">
      <c r="A23" s="5" t="s">
        <v>19</v>
      </c>
      <c r="B23" s="6">
        <v>20</v>
      </c>
      <c r="C23" s="6">
        <v>20</v>
      </c>
      <c r="D23" s="6">
        <v>20</v>
      </c>
      <c r="E23" s="6">
        <v>20</v>
      </c>
      <c r="F23" s="6">
        <v>15</v>
      </c>
      <c r="G23" s="6">
        <v>20</v>
      </c>
      <c r="H23" s="6">
        <v>15</v>
      </c>
      <c r="I23" s="6">
        <v>20</v>
      </c>
      <c r="J23" s="6">
        <v>15</v>
      </c>
      <c r="K23" s="7"/>
    </row>
    <row r="24" spans="1:11" ht="16.5" customHeight="1">
      <c r="A24" s="5" t="s">
        <v>20</v>
      </c>
      <c r="B24" s="6">
        <v>20</v>
      </c>
      <c r="C24" s="6">
        <v>20</v>
      </c>
      <c r="D24" s="6">
        <v>20</v>
      </c>
      <c r="E24" s="6">
        <v>20</v>
      </c>
      <c r="F24" s="6">
        <v>15</v>
      </c>
      <c r="G24" s="6">
        <v>20</v>
      </c>
      <c r="H24" s="6">
        <v>15</v>
      </c>
      <c r="I24" s="6">
        <v>20</v>
      </c>
      <c r="J24" s="6">
        <v>15</v>
      </c>
      <c r="K24" s="7"/>
    </row>
    <row r="25" spans="1:11" ht="16.5" customHeight="1">
      <c r="A25" s="5" t="s">
        <v>21</v>
      </c>
      <c r="B25" s="6">
        <f aca="true" t="shared" si="8" ref="B25:J25">SUM(B21:B24)</f>
        <v>160</v>
      </c>
      <c r="C25" s="6">
        <f t="shared" si="8"/>
        <v>160</v>
      </c>
      <c r="D25" s="6">
        <f t="shared" si="8"/>
        <v>125</v>
      </c>
      <c r="E25" s="6">
        <f t="shared" si="8"/>
        <v>81</v>
      </c>
      <c r="F25" s="6">
        <f t="shared" si="8"/>
        <v>68</v>
      </c>
      <c r="G25" s="6">
        <f t="shared" si="8"/>
        <v>75</v>
      </c>
      <c r="H25" s="6">
        <f t="shared" si="8"/>
        <v>62</v>
      </c>
      <c r="I25" s="6">
        <f t="shared" si="8"/>
        <v>75</v>
      </c>
      <c r="J25" s="6">
        <f t="shared" si="8"/>
        <v>62</v>
      </c>
      <c r="K25" s="7"/>
    </row>
    <row r="26" spans="1:11" ht="16.5" customHeight="1">
      <c r="A26" s="8"/>
      <c r="B26" s="6">
        <f aca="true" t="shared" si="9" ref="B26:J26">ROUND(B25/60,1)</f>
        <v>2.7</v>
      </c>
      <c r="C26" s="6">
        <f t="shared" si="9"/>
        <v>2.7</v>
      </c>
      <c r="D26" s="6">
        <f t="shared" si="9"/>
        <v>2.1</v>
      </c>
      <c r="E26" s="6">
        <f t="shared" si="9"/>
        <v>1.4</v>
      </c>
      <c r="F26" s="6">
        <f t="shared" si="9"/>
        <v>1.1</v>
      </c>
      <c r="G26" s="6">
        <f t="shared" si="9"/>
        <v>1.3</v>
      </c>
      <c r="H26" s="6">
        <f t="shared" si="9"/>
        <v>1</v>
      </c>
      <c r="I26" s="6">
        <f t="shared" si="9"/>
        <v>1.3</v>
      </c>
      <c r="J26" s="6">
        <f t="shared" si="9"/>
        <v>1</v>
      </c>
      <c r="K26" s="7"/>
    </row>
    <row r="27" spans="1:11" ht="16.5" customHeight="1">
      <c r="A27" s="10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6.5" customHeight="1">
      <c r="A28" s="5" t="s">
        <v>17</v>
      </c>
      <c r="B28" s="6">
        <v>10</v>
      </c>
      <c r="C28" s="6">
        <v>10</v>
      </c>
      <c r="D28" s="6">
        <v>10</v>
      </c>
      <c r="E28" s="6">
        <v>10</v>
      </c>
      <c r="F28" s="6">
        <v>6</v>
      </c>
      <c r="G28" s="6">
        <v>10</v>
      </c>
      <c r="H28" s="6">
        <v>6</v>
      </c>
      <c r="I28" s="6">
        <v>10</v>
      </c>
      <c r="J28" s="6">
        <v>6</v>
      </c>
      <c r="K28" s="7"/>
    </row>
    <row r="29" spans="1:11" ht="16.5" customHeight="1">
      <c r="A29" s="5" t="s">
        <v>23</v>
      </c>
      <c r="B29" s="6">
        <v>20</v>
      </c>
      <c r="C29" s="6">
        <v>20</v>
      </c>
      <c r="D29" s="6">
        <v>20</v>
      </c>
      <c r="E29" s="6">
        <v>20</v>
      </c>
      <c r="F29" s="6">
        <v>20</v>
      </c>
      <c r="G29" s="6">
        <v>20</v>
      </c>
      <c r="H29" s="6">
        <v>20</v>
      </c>
      <c r="I29" s="6">
        <v>20</v>
      </c>
      <c r="J29" s="6">
        <v>20</v>
      </c>
      <c r="K29" s="7"/>
    </row>
    <row r="30" spans="1:11" ht="16.5" customHeight="1">
      <c r="A30" s="5" t="s">
        <v>24</v>
      </c>
      <c r="B30" s="6"/>
      <c r="C30" s="6"/>
      <c r="D30" s="6"/>
      <c r="E30" s="6">
        <v>20</v>
      </c>
      <c r="F30" s="6">
        <v>26</v>
      </c>
      <c r="G30" s="6">
        <v>20</v>
      </c>
      <c r="H30" s="6">
        <v>13</v>
      </c>
      <c r="I30" s="6">
        <v>40</v>
      </c>
      <c r="J30" s="6">
        <v>26</v>
      </c>
      <c r="K30" s="7"/>
    </row>
    <row r="31" spans="1:11" ht="16.5" customHeight="1">
      <c r="A31" s="5" t="s">
        <v>21</v>
      </c>
      <c r="B31" s="6">
        <f aca="true" t="shared" si="10" ref="B31:J31">SUM(B28:B30)</f>
        <v>30</v>
      </c>
      <c r="C31" s="6">
        <f t="shared" si="10"/>
        <v>30</v>
      </c>
      <c r="D31" s="6">
        <f t="shared" si="10"/>
        <v>30</v>
      </c>
      <c r="E31" s="6">
        <f t="shared" si="10"/>
        <v>50</v>
      </c>
      <c r="F31" s="6">
        <f t="shared" si="10"/>
        <v>52</v>
      </c>
      <c r="G31" s="6">
        <f t="shared" si="10"/>
        <v>50</v>
      </c>
      <c r="H31" s="6">
        <f t="shared" si="10"/>
        <v>39</v>
      </c>
      <c r="I31" s="6">
        <f t="shared" si="10"/>
        <v>70</v>
      </c>
      <c r="J31" s="6">
        <f t="shared" si="10"/>
        <v>52</v>
      </c>
      <c r="K31" s="7"/>
    </row>
    <row r="32" spans="1:11" ht="16.5" customHeight="1">
      <c r="A32" s="5" t="s">
        <v>25</v>
      </c>
      <c r="B32" s="6">
        <v>60</v>
      </c>
      <c r="C32" s="6">
        <v>60</v>
      </c>
      <c r="D32" s="6">
        <v>70</v>
      </c>
      <c r="E32" s="6">
        <v>54</v>
      </c>
      <c r="F32" s="6">
        <v>44</v>
      </c>
      <c r="G32" s="6">
        <v>52</v>
      </c>
      <c r="H32" s="6">
        <v>21</v>
      </c>
      <c r="I32" s="6">
        <v>52</v>
      </c>
      <c r="J32" s="6">
        <v>21</v>
      </c>
      <c r="K32" s="7"/>
    </row>
    <row r="33" spans="1:11" ht="16.5" customHeight="1">
      <c r="A33" s="5" t="s">
        <v>26</v>
      </c>
      <c r="B33" s="6">
        <v>20</v>
      </c>
      <c r="C33" s="6">
        <v>20</v>
      </c>
      <c r="D33" s="6">
        <v>20</v>
      </c>
      <c r="E33" s="6">
        <v>20</v>
      </c>
      <c r="F33" s="6">
        <v>20</v>
      </c>
      <c r="G33" s="6">
        <v>20</v>
      </c>
      <c r="H33" s="6">
        <v>13</v>
      </c>
      <c r="I33" s="6">
        <v>20</v>
      </c>
      <c r="J33" s="6">
        <v>13</v>
      </c>
      <c r="K33" s="7"/>
    </row>
    <row r="34" spans="1:11" ht="16.5" customHeight="1">
      <c r="A34" s="5" t="s">
        <v>27</v>
      </c>
      <c r="B34" s="6">
        <v>10</v>
      </c>
      <c r="C34" s="6">
        <v>10</v>
      </c>
      <c r="D34" s="6">
        <v>10</v>
      </c>
      <c r="E34" s="6">
        <v>10</v>
      </c>
      <c r="F34" s="6">
        <v>10</v>
      </c>
      <c r="G34" s="6">
        <v>10</v>
      </c>
      <c r="H34" s="6">
        <v>10</v>
      </c>
      <c r="I34" s="6">
        <v>10</v>
      </c>
      <c r="J34" s="6">
        <v>10</v>
      </c>
      <c r="K34" s="7"/>
    </row>
    <row r="35" spans="1:11" ht="16.5" customHeight="1">
      <c r="A35" s="5" t="s">
        <v>21</v>
      </c>
      <c r="B35" s="6">
        <f aca="true" t="shared" si="11" ref="B35:J35">SUM(B32:B34)</f>
        <v>90</v>
      </c>
      <c r="C35" s="6">
        <f t="shared" si="11"/>
        <v>90</v>
      </c>
      <c r="D35" s="6">
        <f t="shared" si="11"/>
        <v>100</v>
      </c>
      <c r="E35" s="6">
        <f t="shared" si="11"/>
        <v>84</v>
      </c>
      <c r="F35" s="6">
        <f t="shared" si="11"/>
        <v>74</v>
      </c>
      <c r="G35" s="6">
        <f t="shared" si="11"/>
        <v>82</v>
      </c>
      <c r="H35" s="6">
        <f t="shared" si="11"/>
        <v>44</v>
      </c>
      <c r="I35" s="6">
        <f t="shared" si="11"/>
        <v>82</v>
      </c>
      <c r="J35" s="6">
        <f t="shared" si="11"/>
        <v>44</v>
      </c>
      <c r="K35" s="7"/>
    </row>
    <row r="36" spans="1:11" ht="16.5" customHeight="1">
      <c r="A36" s="5" t="s">
        <v>28</v>
      </c>
      <c r="B36" s="6">
        <f aca="true" t="shared" si="12" ref="B36:J36">B31+B35</f>
        <v>120</v>
      </c>
      <c r="C36" s="6">
        <f t="shared" si="12"/>
        <v>120</v>
      </c>
      <c r="D36" s="6">
        <f t="shared" si="12"/>
        <v>130</v>
      </c>
      <c r="E36" s="6">
        <f t="shared" si="12"/>
        <v>134</v>
      </c>
      <c r="F36" s="6">
        <f t="shared" si="12"/>
        <v>126</v>
      </c>
      <c r="G36" s="6">
        <f t="shared" si="12"/>
        <v>132</v>
      </c>
      <c r="H36" s="6">
        <f t="shared" si="12"/>
        <v>83</v>
      </c>
      <c r="I36" s="6">
        <f t="shared" si="12"/>
        <v>152</v>
      </c>
      <c r="J36" s="6">
        <f t="shared" si="12"/>
        <v>96</v>
      </c>
      <c r="K36" s="7"/>
    </row>
    <row r="37" spans="1:11" ht="16.5" customHeight="1">
      <c r="A37" s="8"/>
      <c r="B37" s="6">
        <f aca="true" t="shared" si="13" ref="B37:J37">ROUND(B36/60,1)</f>
        <v>2</v>
      </c>
      <c r="C37" s="6">
        <f t="shared" si="13"/>
        <v>2</v>
      </c>
      <c r="D37" s="6">
        <f t="shared" si="13"/>
        <v>2.2</v>
      </c>
      <c r="E37" s="6">
        <f t="shared" si="13"/>
        <v>2.2</v>
      </c>
      <c r="F37" s="6">
        <f t="shared" si="13"/>
        <v>2.1</v>
      </c>
      <c r="G37" s="6">
        <f t="shared" si="13"/>
        <v>2.2</v>
      </c>
      <c r="H37" s="6">
        <f t="shared" si="13"/>
        <v>1.4</v>
      </c>
      <c r="I37" s="6">
        <f t="shared" si="13"/>
        <v>2.5</v>
      </c>
      <c r="J37" s="6">
        <f t="shared" si="13"/>
        <v>1.6</v>
      </c>
      <c r="K37" s="7"/>
    </row>
    <row r="38" spans="1:11" ht="16.5" customHeight="1">
      <c r="A38" s="9" t="s">
        <v>29</v>
      </c>
      <c r="B38" s="6"/>
      <c r="C38" s="6"/>
      <c r="D38" s="6"/>
      <c r="E38" s="6"/>
      <c r="F38" s="6"/>
      <c r="G38" s="6"/>
      <c r="H38" s="6"/>
      <c r="I38" s="6"/>
      <c r="J38" s="6"/>
      <c r="K38" s="7"/>
    </row>
    <row r="39" spans="1:11" ht="16.5" customHeight="1">
      <c r="A39" s="5" t="s">
        <v>30</v>
      </c>
      <c r="B39" s="6"/>
      <c r="C39" s="6"/>
      <c r="D39" s="6"/>
      <c r="E39" s="6"/>
      <c r="F39" s="6"/>
      <c r="G39" s="6"/>
      <c r="H39" s="6"/>
      <c r="I39" s="6"/>
      <c r="J39" s="6"/>
      <c r="K39" s="7"/>
    </row>
    <row r="40" spans="1:11" ht="16.5" customHeight="1">
      <c r="A40" s="5" t="s">
        <v>31</v>
      </c>
      <c r="B40" s="6">
        <v>20</v>
      </c>
      <c r="C40" s="6">
        <v>27</v>
      </c>
      <c r="D40" s="6">
        <v>49</v>
      </c>
      <c r="E40" s="6">
        <v>29</v>
      </c>
      <c r="F40" s="6">
        <v>21</v>
      </c>
      <c r="G40" s="6">
        <v>29</v>
      </c>
      <c r="H40" s="6">
        <v>21</v>
      </c>
      <c r="I40" s="6">
        <v>29</v>
      </c>
      <c r="J40" s="6">
        <v>21</v>
      </c>
      <c r="K40" s="7"/>
    </row>
    <row r="41" spans="1:11" ht="16.5" customHeight="1">
      <c r="A41" s="5" t="s">
        <v>32</v>
      </c>
      <c r="B41" s="6">
        <v>2</v>
      </c>
      <c r="C41" s="6">
        <v>5</v>
      </c>
      <c r="D41" s="6">
        <v>7</v>
      </c>
      <c r="E41" s="6">
        <v>4</v>
      </c>
      <c r="F41" s="6">
        <v>3</v>
      </c>
      <c r="G41" s="6">
        <v>4</v>
      </c>
      <c r="H41" s="6">
        <v>3</v>
      </c>
      <c r="I41" s="6">
        <v>4</v>
      </c>
      <c r="J41" s="6">
        <v>3</v>
      </c>
      <c r="K41" s="7"/>
    </row>
    <row r="42" spans="1:11" ht="16.5" customHeight="1">
      <c r="A42" s="5" t="s">
        <v>33</v>
      </c>
      <c r="B42" s="6">
        <v>4</v>
      </c>
      <c r="C42" s="6">
        <v>10</v>
      </c>
      <c r="D42" s="6">
        <v>14</v>
      </c>
      <c r="E42" s="6">
        <v>8</v>
      </c>
      <c r="F42" s="6">
        <v>6</v>
      </c>
      <c r="G42" s="6">
        <v>8</v>
      </c>
      <c r="H42" s="6">
        <v>6</v>
      </c>
      <c r="I42" s="6">
        <v>8</v>
      </c>
      <c r="J42" s="6">
        <v>6</v>
      </c>
      <c r="K42" s="7"/>
    </row>
    <row r="43" spans="1:11" ht="16.5" customHeight="1">
      <c r="A43" s="5" t="s">
        <v>34</v>
      </c>
      <c r="B43" s="6">
        <v>4</v>
      </c>
      <c r="C43" s="6">
        <v>10</v>
      </c>
      <c r="D43" s="6">
        <v>14</v>
      </c>
      <c r="E43" s="6">
        <v>8</v>
      </c>
      <c r="F43" s="6">
        <v>6</v>
      </c>
      <c r="G43" s="6">
        <v>8</v>
      </c>
      <c r="H43" s="6">
        <v>6</v>
      </c>
      <c r="I43" s="6">
        <v>8</v>
      </c>
      <c r="J43" s="6">
        <v>6</v>
      </c>
      <c r="K43" s="7"/>
    </row>
    <row r="44" spans="1:11" ht="16.5" customHeight="1">
      <c r="A44" s="5" t="s">
        <v>35</v>
      </c>
      <c r="B44" s="6">
        <v>20</v>
      </c>
      <c r="C44" s="6">
        <v>20</v>
      </c>
      <c r="D44" s="6">
        <v>20</v>
      </c>
      <c r="E44" s="6">
        <v>20</v>
      </c>
      <c r="F44" s="6">
        <v>15</v>
      </c>
      <c r="G44" s="6">
        <v>20</v>
      </c>
      <c r="H44" s="6">
        <v>15</v>
      </c>
      <c r="I44" s="6">
        <v>20</v>
      </c>
      <c r="J44" s="6">
        <v>15</v>
      </c>
      <c r="K44" s="7"/>
    </row>
    <row r="45" spans="1:11" ht="16.5" customHeight="1">
      <c r="A45" s="5" t="s">
        <v>36</v>
      </c>
      <c r="B45" s="6">
        <f aca="true" t="shared" si="14" ref="B45:J45">SUM(B39:B44)</f>
        <v>50</v>
      </c>
      <c r="C45" s="6">
        <f t="shared" si="14"/>
        <v>72</v>
      </c>
      <c r="D45" s="6">
        <f t="shared" si="14"/>
        <v>104</v>
      </c>
      <c r="E45" s="6">
        <f t="shared" si="14"/>
        <v>69</v>
      </c>
      <c r="F45" s="6">
        <f t="shared" si="14"/>
        <v>51</v>
      </c>
      <c r="G45" s="6">
        <f t="shared" si="14"/>
        <v>69</v>
      </c>
      <c r="H45" s="6">
        <f t="shared" si="14"/>
        <v>51</v>
      </c>
      <c r="I45" s="6">
        <f t="shared" si="14"/>
        <v>69</v>
      </c>
      <c r="J45" s="6">
        <f t="shared" si="14"/>
        <v>51</v>
      </c>
      <c r="K45" s="7"/>
    </row>
    <row r="46" spans="1:11" ht="16.5" customHeight="1">
      <c r="A46" s="13"/>
      <c r="B46" s="14">
        <f aca="true" t="shared" si="15" ref="B46:J46">ROUND(B45/60,1)</f>
        <v>0.8</v>
      </c>
      <c r="C46" s="14">
        <f t="shared" si="15"/>
        <v>1.2</v>
      </c>
      <c r="D46" s="14">
        <f t="shared" si="15"/>
        <v>1.7</v>
      </c>
      <c r="E46" s="14">
        <f t="shared" si="15"/>
        <v>1.2</v>
      </c>
      <c r="F46" s="14">
        <f t="shared" si="15"/>
        <v>0.9</v>
      </c>
      <c r="G46" s="14">
        <f t="shared" si="15"/>
        <v>1.2</v>
      </c>
      <c r="H46" s="14">
        <f t="shared" si="15"/>
        <v>0.9</v>
      </c>
      <c r="I46" s="14">
        <f t="shared" si="15"/>
        <v>1.2</v>
      </c>
      <c r="J46" s="14">
        <f t="shared" si="15"/>
        <v>0.9</v>
      </c>
      <c r="K46" s="15"/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</sheetData>
  <mergeCells count="5">
    <mergeCell ref="G3:H3"/>
    <mergeCell ref="I3:J3"/>
    <mergeCell ref="K3:K4"/>
    <mergeCell ref="A3:A4"/>
    <mergeCell ref="E3:F3"/>
  </mergeCells>
  <printOptions/>
  <pageMargins left="0.74" right="0.71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관리부</cp:lastModifiedBy>
  <cp:lastPrinted>2000-04-13T14:02:14Z</cp:lastPrinted>
  <dcterms:created xsi:type="dcterms:W3CDTF">1999-03-05T07:04:45Z</dcterms:created>
  <dcterms:modified xsi:type="dcterms:W3CDTF">2008-08-20T07:39:49Z</dcterms:modified>
  <cp:category/>
  <cp:version/>
  <cp:contentType/>
  <cp:contentStatus/>
</cp:coreProperties>
</file>