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190" windowHeight="1080" tabRatio="802"/>
  </bookViews>
  <sheets>
    <sheet name="Input" sheetId="1" r:id="rId1"/>
    <sheet name="Storage Requirements" sheetId="13" r:id="rId2"/>
    <sheet name="LUN Requirements" sheetId="4" r:id="rId3"/>
    <sheet name="Backup Requirements" sheetId="11" r:id="rId4"/>
    <sheet name="Log Replication Requirements" sheetId="12" r:id="rId5"/>
    <sheet name="Storage Design" sheetId="8" r:id="rId6"/>
    <sheet name="Variables" sheetId="2" state="hidden" r:id="rId7"/>
    <sheet name="Tables" sheetId="7" state="hidden" r:id="rId8"/>
    <sheet name="Version Changes" sheetId="9" r:id="rId9"/>
  </sheets>
  <definedNames>
    <definedName name="AccNetLinkCCR">'Log Replication Requirements'!$F$132</definedName>
    <definedName name="AccNetLinkSCR">'Log Replication Requirements'!$F$133</definedName>
    <definedName name="AdditionalIO">Input!$C$38</definedName>
    <definedName name="aggRWRatio">'Storage Requirements'!$F$25</definedName>
    <definedName name="AvailNetCapacity">'Log Replication Requirements'!$D$7</definedName>
    <definedName name="BackupFailureTol">Input!$C$74</definedName>
    <definedName name="BackupFreq">Input!$C$71</definedName>
    <definedName name="BackupMethod">Input!$C$70</definedName>
    <definedName name="BackupRate">Input!$C$72</definedName>
    <definedName name="calcExecDBReads">'Storage Requirements'!$B$31</definedName>
    <definedName name="calcMBXPerDB">'Storage Requirements'!$F$37</definedName>
    <definedName name="CalcNumSGUserTLogs">'Storage Requirements'!$B$48</definedName>
    <definedName name="CalcNumUserTLogs">'Storage Requirements'!$B$47</definedName>
    <definedName name="calcRAMConfig">'Storage Requirements'!$B$44</definedName>
    <definedName name="calcTier1DBCache">'Storage Requirements'!$B$15</definedName>
    <definedName name="calcTier1DBReads">'Storage Requirements'!$B$16</definedName>
    <definedName name="calcTier1DBWrites">'Storage Requirements'!$B$17</definedName>
    <definedName name="calcTier1MBX">'Storage Requirements'!$B$10</definedName>
    <definedName name="calcTier1RWRatio">'Storage Requirements'!$B$18</definedName>
    <definedName name="calcTier2DBCache">'Storage Requirements'!$F$15</definedName>
    <definedName name="calcTier2DBReads">'Storage Requirements'!$F$16</definedName>
    <definedName name="calcTier2DBWrites">'Storage Requirements'!$F$17</definedName>
    <definedName name="calcTier2MBX">'Storage Requirements'!$F$10</definedName>
    <definedName name="calcTier2RWRatio">'Storage Requirements'!$F$18</definedName>
    <definedName name="calcTier3DBCache">'Storage Requirements'!$B$30</definedName>
    <definedName name="calcTier3DBWrites">'Storage Requirements'!$B$32</definedName>
    <definedName name="calcTier3MBX">'Storage Requirements'!$B$25</definedName>
    <definedName name="calcTier3RWRatio">'Storage Requirements'!$B$33</definedName>
    <definedName name="calcTotNumMBX">'Storage Requirements'!$F$43</definedName>
    <definedName name="CCRLogBandwidth">'Log Replication Requirements'!$D$10</definedName>
    <definedName name="Config1TotDisks">'Storage Design'!$A$126</definedName>
    <definedName name="Config2TotDisks">'Storage Design'!$A$127</definedName>
    <definedName name="Config3TotDisks">'Storage Design'!$A$128</definedName>
    <definedName name="ContentIndexing">Input!$C$27</definedName>
    <definedName name="CustomMaxDBSize">Input!$F$33</definedName>
    <definedName name="DataGrowth">Input!$C$33</definedName>
    <definedName name="DBDiskIO1">'Storage Design'!$B$59</definedName>
    <definedName name="DBDiskIO2">'Storage Design'!$C$59</definedName>
    <definedName name="DBDiskIO3">'Storage Design'!$D$59</definedName>
    <definedName name="DBDiskIOCap1">'Storage Design'!$B$58</definedName>
    <definedName name="DBDiskIOCap2">'Storage Design'!$C$58</definedName>
    <definedName name="DBDiskIOCap3">'Storage Design'!$D$58</definedName>
    <definedName name="DBDiskRPM1">'Storage Design'!$B$30</definedName>
    <definedName name="DBDiskRPM2">'Storage Design'!$B$34</definedName>
    <definedName name="DBDiskRPM3">'Storage Design'!$B$38</definedName>
    <definedName name="DBDiskSize1">'Storage Design'!$B$29</definedName>
    <definedName name="DBDiskSize2">'Storage Design'!$B$33</definedName>
    <definedName name="DBDiskSize3">'Storage Design'!$B$37</definedName>
    <definedName name="DBDiskSpaceReqReplicaSS">'Storage Requirements'!$B$90</definedName>
    <definedName name="DBForDiskCap1">'Storage Design'!$B$57</definedName>
    <definedName name="DBForDiskCap2">'Storage Design'!$C$57</definedName>
    <definedName name="DBForDiskCap3">'Storage Design'!$D$57</definedName>
    <definedName name="DBIOPSReplicaSS">'Storage Requirements'!$B$95</definedName>
    <definedName name="DBLUNDiskSpaceReplicaSS">'Storage Requirements'!$B$92</definedName>
    <definedName name="DBLUNSize">'LUN Requirements'!$H$71</definedName>
    <definedName name="DBRawDiskCap1">'Storage Design'!$B$56</definedName>
    <definedName name="DBRawDiskCap2">'Storage Design'!$C$56</definedName>
    <definedName name="DBRawDiskCap3">'Storage Design'!$D$56</definedName>
    <definedName name="DBSize">'LUN Requirements'!$C$71</definedName>
    <definedName name="DBSizeOverride">Input!$F$32</definedName>
    <definedName name="DeletedItemWindow">Input!$C$32</definedName>
    <definedName name="DesRAIDConfig">'Storage Design'!$E$17</definedName>
    <definedName name="DesResLUNRAID">'Storage Design'!$E$18</definedName>
    <definedName name="ExVersion">Input!$C$24</definedName>
    <definedName name="FullBackupWindow">'Backup Requirements'!$D$6</definedName>
    <definedName name="FullRestoreWindow">'Backup Requirements'!$J$6</definedName>
    <definedName name="HAOption">Input!$C$26</definedName>
    <definedName name="IncDiffBackupWindow">'Backup Requirements'!$D$7</definedName>
    <definedName name="IncDiffRestoreWindow">'Backup Requirements'!$J$7</definedName>
    <definedName name="IOGrowth">Input!$C$37</definedName>
    <definedName name="LogDiskIO1">'Storage Design'!#REF!</definedName>
    <definedName name="LogDiskIO2">'Storage Design'!#REF!</definedName>
    <definedName name="LogDiskIO3">'Storage Design'!#REF!</definedName>
    <definedName name="LogDiskIOCap1">'Storage Design'!$B$74</definedName>
    <definedName name="LogDiskIOCap2">'Storage Design'!$C$74</definedName>
    <definedName name="LogDiskIOCap3">'Storage Design'!$D$74</definedName>
    <definedName name="LogDiskRPM1">'Storage Design'!$C$30</definedName>
    <definedName name="LogDiskRPM2">'Storage Design'!$C$34</definedName>
    <definedName name="LogDiskRPM3">'Storage Design'!$C$38</definedName>
    <definedName name="LogDiskSize1">'Storage Design'!$C$29</definedName>
    <definedName name="LogDiskSize2">'Storage Design'!$C$33</definedName>
    <definedName name="LogDiskSize3">'Storage Design'!$C$37</definedName>
    <definedName name="LogDiskSpaceReplicaSS">'Storage Requirements'!$B$91</definedName>
    <definedName name="LogDiskSpaceReqBackup">'Storage Requirements'!$B$49</definedName>
    <definedName name="LogDiskSpaceReqMove">'Storage Requirements'!$B$50</definedName>
    <definedName name="LogForDiskCap1">'Storage Design'!$B$73</definedName>
    <definedName name="LogForDiskCap2">'Storage Design'!$C$73</definedName>
    <definedName name="LogForDiskCap3">'Storage Design'!$D$73</definedName>
    <definedName name="LogH1">Input!$C$85</definedName>
    <definedName name="LogH10">Input!$C$94</definedName>
    <definedName name="LogH11">Input!$C$95</definedName>
    <definedName name="LogH12">Input!$C$96</definedName>
    <definedName name="LogH13">Input!$C$97</definedName>
    <definedName name="LogH14">Input!$C$98</definedName>
    <definedName name="LogH15">Input!$C$99</definedName>
    <definedName name="LogH16">Input!$C$100</definedName>
    <definedName name="LogH17">Input!$C$101</definedName>
    <definedName name="LogH18">Input!$C$102</definedName>
    <definedName name="LogH19">Input!$C$103</definedName>
    <definedName name="LogH2">Input!$C$86</definedName>
    <definedName name="LogH20">Input!$C$104</definedName>
    <definedName name="LogH21">Input!$C$105</definedName>
    <definedName name="LogH22">Input!$C$106</definedName>
    <definedName name="LogH23">Input!$C$107</definedName>
    <definedName name="LogH24">Input!$C$108</definedName>
    <definedName name="LogH3">Input!$C$87</definedName>
    <definedName name="LogH4">Input!$C$88</definedName>
    <definedName name="LogH5">Input!$C$89</definedName>
    <definedName name="LogH6">Input!$C$90</definedName>
    <definedName name="LogH7">Input!$C$91</definedName>
    <definedName name="LogH8">Input!$C$92</definedName>
    <definedName name="LogH9">Input!$C$93</definedName>
    <definedName name="LogIOPSReplicaSS">'Storage Requirements'!$B$96</definedName>
    <definedName name="LogLUNDiskSpaceReplicaSS">'Storage Requirements'!$B$93</definedName>
    <definedName name="LogLUNSize">'LUN Requirements'!$I$71</definedName>
    <definedName name="LogR0IOPS">'Storage Design'!$B$43</definedName>
    <definedName name="LogR10IOPS">'Storage Design'!$B$44</definedName>
    <definedName name="LogRawDiskCap1">'Storage Design'!$B$72</definedName>
    <definedName name="LogRawDiskCap2">'Storage Design'!$C$72</definedName>
    <definedName name="LogRawDiskCap3">'Storage Design'!$D$72</definedName>
    <definedName name="LogReadTransfers">'Storage Requirements'!$F$30</definedName>
    <definedName name="LogWriteTransfers">'Storage Requirements'!$F$29</definedName>
    <definedName name="LUNDesign">'LUN Requirements'!$I$6</definedName>
    <definedName name="LUNGrowth">Input!$C$29</definedName>
    <definedName name="MBXMoveRate">Input!$C$34</definedName>
    <definedName name="MBXPerDB">'Storage Requirements'!$F$38</definedName>
    <definedName name="MinRAMConfig">'Storage Requirements'!$B$43</definedName>
    <definedName name="NetFailureTol">Input!$F$85</definedName>
    <definedName name="NetLinkLatency">Input!$F$84</definedName>
    <definedName name="NetLinkType">Input!$F$83</definedName>
    <definedName name="NumDBDiskCap1">'Storage Design'!$B$66</definedName>
    <definedName name="NumDBDiskCap2">'Storage Design'!$C$66</definedName>
    <definedName name="NumDBDiskCap3">'Storage Design'!$D$66</definedName>
    <definedName name="NumDBDiskCapR101">'Storage Design'!$B$67</definedName>
    <definedName name="NumDBDiskCapR102">'Storage Design'!$C$67</definedName>
    <definedName name="NumDBDiskCapR103">'Storage Design'!$D$67</definedName>
    <definedName name="NumDBDiskCapR51">'Storage Design'!$B$68</definedName>
    <definedName name="NumDBDiskCapR52">'Storage Design'!$C$68</definedName>
    <definedName name="NumDBDiskCapR53">'Storage Design'!$D$68</definedName>
    <definedName name="NumDBDiskCapR61">'Storage Design'!$B$69</definedName>
    <definedName name="NumDBDiskCapR62">'Storage Design'!$C$69</definedName>
    <definedName name="NumDBDiskCapR63">'Storage Design'!$D$69</definedName>
    <definedName name="NumDBDiskIOR01">'Storage Design'!$B$62</definedName>
    <definedName name="NumDBDiskIOR02">'Storage Design'!$C$62</definedName>
    <definedName name="NumDBDiskIOR03">'Storage Design'!$D$62</definedName>
    <definedName name="NumDBDiskIOR101">'Storage Design'!$B$63</definedName>
    <definedName name="NumDBDiskIOR102">'Storage Design'!$C$63</definedName>
    <definedName name="NumDBDiskIOR103">'Storage Design'!$D$63</definedName>
    <definedName name="NumDBDiskIOR51">'Storage Design'!$B$64</definedName>
    <definedName name="NumDBDiskIOR52">'Storage Design'!$C$64</definedName>
    <definedName name="NumDBDiskIOR53">'Storage Design'!$D$64</definedName>
    <definedName name="NumDBDiskIOR61">'Storage Design'!$B$65</definedName>
    <definedName name="NumDBDiskIOR62">'Storage Design'!$C$65</definedName>
    <definedName name="NumDBDiskIOR63">'Storage Design'!$D$65</definedName>
    <definedName name="NumLogDiskCap1">'Storage Design'!$B$78</definedName>
    <definedName name="NumLogDiskCap2">'Storage Design'!$C$78</definedName>
    <definedName name="NumLogDiskCap3">'Storage Design'!$D$78</definedName>
    <definedName name="NumLogDiskIOR01">'Storage Design'!$B$77</definedName>
    <definedName name="NumLogDiskIOR02">'Storage Design'!$C$77</definedName>
    <definedName name="NumLogDiskIOR03">'Storage Design'!$D$77</definedName>
    <definedName name="NumLogDiskR10Cap1">'Storage Design'!$B$79</definedName>
    <definedName name="NumLogDiskR10Cap2">'Storage Design'!$C$79</definedName>
    <definedName name="NumLogDiskR10Cap3">'Storage Design'!$D$79</definedName>
    <definedName name="NumLogDiskR10IO1">'Storage Design'!$B$80</definedName>
    <definedName name="NumLogDiskR10IO2">'Storage Design'!$C$80</definedName>
    <definedName name="NumLogDiskR10IO3">'Storage Design'!$D$80</definedName>
    <definedName name="NumMBXServers">Input!$C$25</definedName>
    <definedName name="NumMoveMBXTLogPerWkPerSG">'Storage Requirements'!$B$52</definedName>
    <definedName name="NumMoveMBXTLogPerWkPerSvr">'Storage Requirements'!$B$51</definedName>
    <definedName name="NumMoveMBXTLogs">'Storage Requirements'!$B$53</definedName>
    <definedName name="numSCRServers">'Storage Requirements'!$B$62</definedName>
    <definedName name="numSCRTarget">Input!$F$24</definedName>
    <definedName name="NumSGLUN">'LUN Requirements'!$I$8</definedName>
    <definedName name="NumSGMoveMbxTLogs">'Storage Requirements'!$B$54</definedName>
    <definedName name="NumSGPerLUN">'LUN Requirements'!$I$7</definedName>
    <definedName name="NumTier1MBX">Input!$C$45</definedName>
    <definedName name="NumTier1MBXDB">'Storage Requirements'!$F$39</definedName>
    <definedName name="NumTier2MBX">Input!$C$56</definedName>
    <definedName name="NumTier2MBXDB">'Storage Requirements'!$F$40</definedName>
    <definedName name="NumTier3MBX">Input!$F$56</definedName>
    <definedName name="NumTier3MBXDB">'Storage Requirements'!$F$41</definedName>
    <definedName name="OptDBDisks1">'Storage Design'!$B$134</definedName>
    <definedName name="OptDBDisks2">'Storage Design'!$C$134</definedName>
    <definedName name="OptDBDisks3">'Storage Design'!$D$134</definedName>
    <definedName name="OptDBRAIDConfig1">'Storage Design'!$B$133</definedName>
    <definedName name="OptDBRAIDConfig2">'Storage Design'!$C$133</definedName>
    <definedName name="OptDBRAIDConfig3">'Storage Design'!$D$133</definedName>
    <definedName name="OptLogDisks1">'Storage Design'!$B$137</definedName>
    <definedName name="OptLogDisks2">'Storage Design'!$C$137</definedName>
    <definedName name="OptLogDisks3">'Storage Design'!$D$137</definedName>
    <definedName name="OptLogRAIDConfig1">'Storage Design'!$B$136</definedName>
    <definedName name="OptLogRAIDConfig2">'Storage Design'!$C$136</definedName>
    <definedName name="OptLogRAIDConfig3">'Storage Design'!$D$136</definedName>
    <definedName name="OptRLDisks1">'Storage Design'!$B$140</definedName>
    <definedName name="OptRLDisks2">'Storage Design'!$C$140</definedName>
    <definedName name="OptRLDisks3">'Storage Design'!$D$140</definedName>
    <definedName name="OptRLRAIDConfig1">'Storage Design'!$B$139</definedName>
    <definedName name="OptRLRAIDConfig2">'Storage Design'!$C$139</definedName>
    <definedName name="OptRLRAIDConfig3">'Storage Design'!$D$139</definedName>
    <definedName name="OverrideRAID">'Storage Design'!$E$16</definedName>
    <definedName name="PeakIOPS">'Storage Requirements'!$F$26</definedName>
    <definedName name="_xlnm.Print_Area" localSheetId="3">'Backup Requirements'!$A$1:$J$71</definedName>
    <definedName name="_xlnm.Print_Area" localSheetId="0">Input!$B$1:$F$109</definedName>
    <definedName name="_xlnm.Print_Area" localSheetId="4">'Log Replication Requirements'!$A$1:$AA$140</definedName>
    <definedName name="_xlnm.Print_Area" localSheetId="2">'LUN Requirements'!$A$1:$I$123</definedName>
    <definedName name="_xlnm.Print_Area" localSheetId="5">'Storage Design'!$A$1:$E$157</definedName>
    <definedName name="_xlnm.Print_Area" localSheetId="1">'Storage Requirements'!$A$1:$F$103</definedName>
    <definedName name="_xlnm.Print_Area" localSheetId="8">'Version Changes'!$A$2:$P$110</definedName>
    <definedName name="RAID10Type">'Storage Design'!$B$16</definedName>
    <definedName name="RAID5Type">'Storage Design'!$B$17</definedName>
    <definedName name="RAID6Type">'Storage Design'!$B$18</definedName>
    <definedName name="RD0TotIOPS">'Storage Design'!$B$45</definedName>
    <definedName name="RD10Rebuild">'Storage Design'!$B$21</definedName>
    <definedName name="RD10TotIOPS">'Storage Design'!$B$46</definedName>
    <definedName name="RD5Rebuild">'Storage Design'!$B$22</definedName>
    <definedName name="RD5TotIOPS">'Storage Design'!$B$47</definedName>
    <definedName name="RD6Rebuild">'Storage Design'!$B$23</definedName>
    <definedName name="RD6TotIOPS">'Storage Design'!$B$48</definedName>
    <definedName name="ReadTransfers">'Storage Requirements'!$F$27</definedName>
    <definedName name="RecDBDisks">'Storage Design'!$B$145</definedName>
    <definedName name="RecDBRAID">'Storage Design'!$B$144</definedName>
    <definedName name="RecLogDisks">'Storage Design'!$C$145</definedName>
    <definedName name="RecLogRAID">'Storage Design'!$C$144</definedName>
    <definedName name="recRAMConfig">'Storage Requirements'!$B$73</definedName>
    <definedName name="RecRLDisks">'Storage Design'!$D$145</definedName>
    <definedName name="RecRLRAID">'Storage Design'!$D$144</definedName>
    <definedName name="ReqLogR10IOPS">'Storage Design'!$B$49</definedName>
    <definedName name="ReqRD10TotIOPS">'Storage Design'!$B$50</definedName>
    <definedName name="ReqRD5TotIOPS">'Storage Design'!$B$51</definedName>
    <definedName name="ReqRD6TotIOPS">'Storage Design'!$B$52</definedName>
    <definedName name="ResDiskForCap1">'Storage Design'!$B$84</definedName>
    <definedName name="ResDiskForCap2">'Storage Design'!$C$84</definedName>
    <definedName name="ResDiskForCap3">'Storage Design'!$D$84</definedName>
    <definedName name="ResDiskIO1">'Storage Design'!$B$86</definedName>
    <definedName name="ResDiskIO2">'Storage Design'!$C$86</definedName>
    <definedName name="ResDiskIO3">'Storage Design'!$D$86</definedName>
    <definedName name="ResDiskIOCap1">'Storage Design'!$B$85</definedName>
    <definedName name="ResDiskIOCap2">'Storage Design'!$C$85</definedName>
    <definedName name="ResDiskIOCap3">'Storage Design'!$D$85</definedName>
    <definedName name="ResDiskRPM1">'Storage Design'!$D$30</definedName>
    <definedName name="ResDiskRPM2">'Storage Design'!$D$34</definedName>
    <definedName name="ResDiskRPM3">'Storage Design'!$D$38</definedName>
    <definedName name="ResDiskSize1">'Storage Design'!$D$29</definedName>
    <definedName name="ResDiskSize2">'Storage Design'!$D$33</definedName>
    <definedName name="ResDiskSize3">'Storage Design'!$D$37</definedName>
    <definedName name="ResLUNDiskCap1">'Storage Design'!$B$89</definedName>
    <definedName name="ResLUNDiskCap2">'Storage Design'!$C$89</definedName>
    <definedName name="ResLUNDiskCap3">'Storage Design'!$D$89</definedName>
    <definedName name="ResLUNDiskSpaceNodeSS">'Storage Requirements'!$B$94</definedName>
    <definedName name="ResLUNDisksR101">'Storage Design'!$B$90</definedName>
    <definedName name="ResLUNDisksR102">'Storage Design'!$C$90</definedName>
    <definedName name="ResLUNDisksR103">'Storage Design'!$D$90</definedName>
    <definedName name="ResLUNDisksR51">'Storage Design'!$B$91</definedName>
    <definedName name="ResLUNDisksR52">'Storage Design'!$C$91</definedName>
    <definedName name="ResLUNDisksR53">'Storage Design'!$D$91</definedName>
    <definedName name="ResLUNDisksR61">'Storage Design'!$B$92</definedName>
    <definedName name="ResLUNDisksR62">'Storage Design'!$C$92</definedName>
    <definedName name="ResLUNDisksR63">'Storage Design'!$D$92</definedName>
    <definedName name="ResRawDiskCap1">'Storage Design'!$B$83</definedName>
    <definedName name="ResRawDiskCap2">'Storage Design'!$C$83</definedName>
    <definedName name="ResRawDiskCap3">'Storage Design'!$D$83</definedName>
    <definedName name="RestoreLUN">Input!$C$28</definedName>
    <definedName name="RestoreLUNSize">'LUN Requirements'!$I$9</definedName>
    <definedName name="RestoreRate">Input!$C$73</definedName>
    <definedName name="RPO">Input!$F$88</definedName>
    <definedName name="RpoOptions">'Log Replication Requirements'!$D$13:$AA$13</definedName>
    <definedName name="RpoTable">'Log Replication Requirements'!$D$13:$AA$61</definedName>
    <definedName name="SCRHAOption">Input!$F$25</definedName>
    <definedName name="SCRLogBandwidth">'Log Replication Requirements'!$E$126</definedName>
    <definedName name="SCRReplayLagSec">Input!$F$26</definedName>
    <definedName name="SCRReplayLagTime">'Storage Requirements'!$F$51</definedName>
    <definedName name="SCRTruncationLagSec">Input!$F$27</definedName>
    <definedName name="SCRTruncationLagTime">'Storage Requirements'!$F$52</definedName>
    <definedName name="SG">'Storage Requirements'!$F$42</definedName>
    <definedName name="SGSet1">'LUN Requirements'!$G$71</definedName>
    <definedName name="SGSet2">'LUN Requirements'!$G$72</definedName>
    <definedName name="SGSet3">'LUN Requirements'!$G$73</definedName>
    <definedName name="SGSet4">'LUN Requirements'!$G$74</definedName>
    <definedName name="SGSet5">'LUN Requirements'!$G$75</definedName>
    <definedName name="SGSet6">'LUN Requirements'!$G$76</definedName>
    <definedName name="SGSet7">'LUN Requirements'!$G$77</definedName>
    <definedName name="StorageIOTP">'Storage Design'!$B$53</definedName>
    <definedName name="StoreRAM">'Storage Requirements'!$B$42</definedName>
    <definedName name="TblBackupFreq">Tables!$A$61:$B$63</definedName>
    <definedName name="TblDBSize">Tables!$A$27:$B$30</definedName>
    <definedName name="tblDiskCapacity">Tables!$A$231:$B$241</definedName>
    <definedName name="TblDiskType">Tables!$A$245:$B$249</definedName>
    <definedName name="tblLogReplication">'Log Replication Requirements'!$B$38:$B$61</definedName>
    <definedName name="tblLUNBackupSet">Tables!$A$107:$B$135</definedName>
    <definedName name="tblMemoryProfile">Tables!$A$18:$C$23</definedName>
    <definedName name="tblNetworkLink">Tables!$A$139:$B$161</definedName>
    <definedName name="TblNumRestoreLun">Tables!$A$67:$B$80</definedName>
    <definedName name="tblRAID10Types">Tables!$A$198:$D$201</definedName>
    <definedName name="TblRAID5Types">Tables!$A$205:$D$223</definedName>
    <definedName name="TblRAID6Types">Tables!$A$227:$D$227</definedName>
    <definedName name="TblRAMGuidance">Tables!$A$34:$D$47</definedName>
    <definedName name="tblRecDBDisks">'Storage Design'!$A$111:$C$113</definedName>
    <definedName name="tblRecDiskLookup">'Storage Design'!$A$126:$E$128</definedName>
    <definedName name="tblRecLogDisks">'Storage Design'!$A$116:$C$118</definedName>
    <definedName name="tblRecNetworkLink">'Log Replication Requirements'!$A$69:$O$114</definedName>
    <definedName name="tblRecRLDisks">'Storage Design'!$A$121:$C$123</definedName>
    <definedName name="tblRPOBandwidth">'Log Replication Requirements'!$A$140:$B$141</definedName>
    <definedName name="tblSCRBndwdth">'Log Replication Requirements'!$D$65:$AA$66</definedName>
    <definedName name="TblSendReceive">Tables!$A$4:$D$7</definedName>
    <definedName name="tblTCPWindowSize">Tables!$A$165:$B$195</definedName>
    <definedName name="TblUserMemoryProfile">Tables!$A$11:$B$14</definedName>
    <definedName name="TCPWindowSize">'Log Replication Requirements'!$G$117</definedName>
    <definedName name="Tier1AvgMessageSize">Input!$C$48</definedName>
    <definedName name="Tier1DBTransfers">'Storage Requirements'!$B$20</definedName>
    <definedName name="Tier1IOPS">Input!$C$51</definedName>
    <definedName name="Tier1LogGen">'Storage Requirements'!$B$13</definedName>
    <definedName name="Tier1MBXLimit">Input!$C$49</definedName>
    <definedName name="Tier1MBXRatio">'Storage Requirements'!$F$34</definedName>
    <definedName name="Tier1MBXSize">'Storage Requirements'!$B$14</definedName>
    <definedName name="Tier1MemoryProfile">'Storage Requirements'!$B$12</definedName>
    <definedName name="Tier1MessageProfile">'Storage Requirements'!$B$11</definedName>
    <definedName name="Tier1NumGrowth">Input!$C$46</definedName>
    <definedName name="Tier1OLClientMode">Input!$C$53</definedName>
    <definedName name="Tier1PredictIOPS">Input!$C$50</definedName>
    <definedName name="Tier1ReadTransfers">'Storage Requirements'!$B$21</definedName>
    <definedName name="Tier1RWRatio">Input!$C$52</definedName>
    <definedName name="Tier1SendReceive">Input!$C$47</definedName>
    <definedName name="Tier1WriteTransfers">'Storage Requirements'!$B$22</definedName>
    <definedName name="Tier2AvgMessageSize">Input!$C$59</definedName>
    <definedName name="Tier2DBTransfers">'Storage Requirements'!$F$20</definedName>
    <definedName name="Tier2IOPS">Input!$C$62</definedName>
    <definedName name="Tier2LogGen">'Storage Requirements'!$F$13</definedName>
    <definedName name="Tier2MBXLimit">Input!$C$60</definedName>
    <definedName name="Tier2MBXRatio">'Storage Requirements'!$F$35</definedName>
    <definedName name="Tier2MBXSize">'Storage Requirements'!$F$14</definedName>
    <definedName name="Tier2MemoryProfile">'Storage Requirements'!$F$12</definedName>
    <definedName name="Tier2MessageProfile">'Storage Requirements'!$F$11</definedName>
    <definedName name="Tier2NumGrowth">Input!$C$57</definedName>
    <definedName name="Tier2OLClientMode">Input!$C$64</definedName>
    <definedName name="Tier2PredictIOPS">Input!$C$61</definedName>
    <definedName name="Tier2ReadTransfers">'Storage Requirements'!$F$21</definedName>
    <definedName name="Tier2RWRatio">Input!$C$63</definedName>
    <definedName name="Tier2SendReceive">Input!$C$58</definedName>
    <definedName name="Tier2WriteTransfers">'Storage Requirements'!$F$22</definedName>
    <definedName name="Tier3AvgMessageSize">Input!$F$59</definedName>
    <definedName name="Tier3DBTransfers">'Storage Requirements'!$B$35</definedName>
    <definedName name="Tier3IOPS">Input!$F$62</definedName>
    <definedName name="Tier3LogGen">'Storage Requirements'!$B$28</definedName>
    <definedName name="Tier3MBXLimit">Input!$F$60</definedName>
    <definedName name="Tier3MBXRatio">'Storage Requirements'!$F$36</definedName>
    <definedName name="Tier3MBXSize">'Storage Requirements'!$B$29</definedName>
    <definedName name="Tier3MemoryProfile">'Storage Requirements'!$B$27</definedName>
    <definedName name="Tier3MessageProfile">'Storage Requirements'!$B$26</definedName>
    <definedName name="Tier3NumGrowth">Input!$F$57</definedName>
    <definedName name="Tier3OLClientMode">Input!$F$64</definedName>
    <definedName name="Tier3PredictIOPS">Input!$F$61</definedName>
    <definedName name="Tier3ReadTransfers">'Storage Requirements'!$B$36</definedName>
    <definedName name="Tier3RWRatio">Input!$F$63</definedName>
    <definedName name="Tier3SendReceive">Input!$F$58</definedName>
    <definedName name="Tier3WriteTransfers">'Storage Requirements'!$B$37</definedName>
    <definedName name="TotalMBX">'Storage Requirements'!$B$40</definedName>
    <definedName name="TotalMBXPerSvr">'Storage Requirements'!$B$41</definedName>
    <definedName name="TotDBDiskSpace">'LUN Requirements'!$D$121</definedName>
    <definedName name="TotDBDiskSpaceReq">'Storage Requirements'!$F$47</definedName>
    <definedName name="TotLogDiskSpace">'Storage Requirements'!$F$48</definedName>
    <definedName name="TotLOGLUNSpace">'LUN Requirements'!$I$121</definedName>
    <definedName name="TotSCRLogBandwidth">'Log Replication Requirements'!$E$127</definedName>
    <definedName name="TotSGLUNSpace">'LUN Requirements'!$H$121</definedName>
    <definedName name="TotSGTLogsGenerated">'Storage Requirements'!$B$55</definedName>
    <definedName name="TotSvrTLogsGenerated">'Storage Requirements'!$B$56</definedName>
    <definedName name="TotTier1IOPS">'Storage Requirements'!$B$19</definedName>
    <definedName name="TotTier2IOPS">'Storage Requirements'!$F$19</definedName>
    <definedName name="TotTier3IOPS">'Storage Requirements'!$B$34</definedName>
    <definedName name="UserConcurrency">Input!$F$45</definedName>
    <definedName name="varBackupFreq">Tables!$A$61:$A$63</definedName>
    <definedName name="varBackupMethod">Variables!$E$4:$E$7</definedName>
    <definedName name="varContinuousReplication">Tables!$A$27:$A$29</definedName>
    <definedName name="varDiskSize">Tables!$A$231:$A$241</definedName>
    <definedName name="varDiskType">Tables!$A$245:$A$249</definedName>
    <definedName name="varEnabledQuestion">Variables!$C$4:$C$5</definedName>
    <definedName name="varExVersion">Variables!$A$4:$A$5</definedName>
    <definedName name="varHAOption">Tables!$A$27:$A$30</definedName>
    <definedName name="varHours">Variables!$G$4:$G$27</definedName>
    <definedName name="varLogReplResponse">Variables!$A$35</definedName>
    <definedName name="varLUNSizeResponse">Variables!$A$29</definedName>
    <definedName name="varMaxMemory">Variables!$D$4</definedName>
    <definedName name="varNetLinkType">Tables!$A$139:$A$161</definedName>
    <definedName name="varOutlookMode">Variables!$F$4:$F$5</definedName>
    <definedName name="varRAID10Types">Tables!$A$198:$A$201</definedName>
    <definedName name="varRAID5Types">Tables!$A$205:$A$223</definedName>
    <definedName name="varRAID6Types">Tables!$A$227</definedName>
    <definedName name="varRAIDOptions">Variables!$I$4:$I$7</definedName>
    <definedName name="varSCCNodes">Variables!$G$5:$G$11</definedName>
    <definedName name="varSCRActivation">Variables!$K$4:$K$5</definedName>
    <definedName name="varSCRHAOption">Variables!$J$4:$J$5</definedName>
    <definedName name="varSCRTarget">Variables!$H$4:$H$8</definedName>
    <definedName name="varUserProfile">Tables!$A$4:$A$7</definedName>
    <definedName name="varYNQuestion">Variables!$B$4:$B$5</definedName>
    <definedName name="WriteTransfers">'Storage Requirements'!$F$28</definedName>
  </definedNames>
  <calcPr calcId="125725"/>
</workbook>
</file>

<file path=xl/calcChain.xml><?xml version="1.0" encoding="utf-8"?>
<calcChain xmlns="http://schemas.openxmlformats.org/spreadsheetml/2006/main">
  <c r="D139" i="8"/>
  <c r="C139"/>
  <c r="D136"/>
  <c r="C136"/>
  <c r="B139"/>
  <c r="B136"/>
  <c r="B62" i="13"/>
  <c r="B63"/>
  <c r="B61" l="1"/>
  <c r="I6" i="4"/>
  <c r="B56" i="8" l="1"/>
  <c r="B83"/>
  <c r="D83"/>
  <c r="C83"/>
  <c r="B72"/>
  <c r="D72"/>
  <c r="C72"/>
  <c r="B59"/>
  <c r="D59"/>
  <c r="D56"/>
  <c r="D57" s="1"/>
  <c r="C59"/>
  <c r="C56"/>
  <c r="B123" l="1"/>
  <c r="B122"/>
  <c r="B121"/>
  <c r="B118"/>
  <c r="B117"/>
  <c r="B116"/>
  <c r="D86" l="1"/>
  <c r="C86"/>
  <c r="D84"/>
  <c r="C84"/>
  <c r="D73"/>
  <c r="C73"/>
  <c r="C57"/>
  <c r="B25" i="13" l="1"/>
  <c r="B29" s="1"/>
  <c r="F10"/>
  <c r="B10"/>
  <c r="F14" l="1"/>
  <c r="C67" s="1"/>
  <c r="C66"/>
  <c r="C68"/>
  <c r="B66"/>
  <c r="B14"/>
  <c r="B67" s="1"/>
  <c r="B50"/>
  <c r="B40"/>
  <c r="B41" s="1"/>
  <c r="F35" s="1"/>
  <c r="F34" l="1"/>
  <c r="F36"/>
  <c r="F131" i="12" l="1"/>
  <c r="F130"/>
  <c r="D114"/>
  <c r="C114" s="1"/>
  <c r="A114" s="1"/>
  <c r="D113"/>
  <c r="C113" s="1"/>
  <c r="A113" s="1"/>
  <c r="D112"/>
  <c r="C112" s="1"/>
  <c r="A112" s="1"/>
  <c r="D111"/>
  <c r="C111" s="1"/>
  <c r="A111" s="1"/>
  <c r="D110"/>
  <c r="C110" s="1"/>
  <c r="A110" s="1"/>
  <c r="D109"/>
  <c r="C109" s="1"/>
  <c r="A109" s="1"/>
  <c r="D108"/>
  <c r="C108" s="1"/>
  <c r="A108" s="1"/>
  <c r="D107"/>
  <c r="C107" s="1"/>
  <c r="A107" s="1"/>
  <c r="D106"/>
  <c r="C106" s="1"/>
  <c r="A106" s="1"/>
  <c r="D105"/>
  <c r="C105" s="1"/>
  <c r="A105" s="1"/>
  <c r="D104"/>
  <c r="C104" s="1"/>
  <c r="A104" s="1"/>
  <c r="D103"/>
  <c r="C103" s="1"/>
  <c r="A103" s="1"/>
  <c r="D102"/>
  <c r="C102" s="1"/>
  <c r="A102" s="1"/>
  <c r="D101"/>
  <c r="C101" s="1"/>
  <c r="A101" s="1"/>
  <c r="D100"/>
  <c r="C100" s="1"/>
  <c r="A100" s="1"/>
  <c r="D99"/>
  <c r="C99" s="1"/>
  <c r="A99" s="1"/>
  <c r="D98"/>
  <c r="C98" s="1"/>
  <c r="A98" s="1"/>
  <c r="D97"/>
  <c r="C97" s="1"/>
  <c r="A97" s="1"/>
  <c r="D96"/>
  <c r="C96" s="1"/>
  <c r="A96" s="1"/>
  <c r="D95"/>
  <c r="C95" s="1"/>
  <c r="A95" s="1"/>
  <c r="D94"/>
  <c r="C94" s="1"/>
  <c r="A94" s="1"/>
  <c r="D93"/>
  <c r="C93" s="1"/>
  <c r="A93" s="1"/>
  <c r="D92"/>
  <c r="C92" s="1"/>
  <c r="A92" s="1"/>
  <c r="D91"/>
  <c r="C91" s="1"/>
  <c r="A91" s="1"/>
  <c r="D90"/>
  <c r="C90" s="1"/>
  <c r="A90" s="1"/>
  <c r="D89"/>
  <c r="C89" s="1"/>
  <c r="A89" s="1"/>
  <c r="D88"/>
  <c r="C88" s="1"/>
  <c r="A88" s="1"/>
  <c r="D87"/>
  <c r="C87" s="1"/>
  <c r="A87" s="1"/>
  <c r="D86"/>
  <c r="C86" s="1"/>
  <c r="A86" s="1"/>
  <c r="D85"/>
  <c r="C85" s="1"/>
  <c r="A85" s="1"/>
  <c r="D84"/>
  <c r="C84" s="1"/>
  <c r="A84" s="1"/>
  <c r="D83"/>
  <c r="C83" s="1"/>
  <c r="A83" s="1"/>
  <c r="D82"/>
  <c r="C82" s="1"/>
  <c r="A82" s="1"/>
  <c r="D81"/>
  <c r="C81" s="1"/>
  <c r="A81" s="1"/>
  <c r="D80"/>
  <c r="C80" s="1"/>
  <c r="A80" s="1"/>
  <c r="D79"/>
  <c r="C79" s="1"/>
  <c r="A79" s="1"/>
  <c r="D78"/>
  <c r="C78" s="1"/>
  <c r="A78" s="1"/>
  <c r="D77"/>
  <c r="C77" s="1"/>
  <c r="A77" s="1"/>
  <c r="D76"/>
  <c r="C76" s="1"/>
  <c r="A76" s="1"/>
  <c r="D75"/>
  <c r="C75" s="1"/>
  <c r="A75" s="1"/>
  <c r="D74"/>
  <c r="C74" s="1"/>
  <c r="A74" s="1"/>
  <c r="D73"/>
  <c r="C73" s="1"/>
  <c r="A73" s="1"/>
  <c r="D72"/>
  <c r="C72" s="1"/>
  <c r="A72" s="1"/>
  <c r="D71"/>
  <c r="C71" s="1"/>
  <c r="A71" s="1"/>
  <c r="D70"/>
  <c r="C70" s="1"/>
  <c r="A70" s="1"/>
  <c r="D69"/>
  <c r="C69" s="1"/>
  <c r="A69" s="1"/>
  <c r="D7"/>
  <c r="G117" s="1"/>
  <c r="E125"/>
  <c r="F52" i="13" l="1"/>
  <c r="F51"/>
  <c r="A138" i="12"/>
  <c r="E22" i="11" l="1"/>
  <c r="B86" i="8"/>
  <c r="B51" i="13"/>
  <c r="B84" i="8" l="1"/>
  <c r="B73"/>
  <c r="B53" i="13"/>
  <c r="C83" s="1"/>
  <c r="D66"/>
  <c r="B83" l="1"/>
  <c r="H22" i="11"/>
  <c r="G22"/>
  <c r="F22"/>
  <c r="D22"/>
  <c r="C22"/>
  <c r="C60" i="4"/>
  <c r="B61" i="12"/>
  <c r="B60"/>
  <c r="B59"/>
  <c r="B58"/>
  <c r="B57"/>
  <c r="B56"/>
  <c r="B55"/>
  <c r="B54"/>
  <c r="B53"/>
  <c r="B52"/>
  <c r="B51"/>
  <c r="B50"/>
  <c r="B49"/>
  <c r="B48"/>
  <c r="B47"/>
  <c r="B46"/>
  <c r="B45"/>
  <c r="B44"/>
  <c r="B43"/>
  <c r="B42"/>
  <c r="B41"/>
  <c r="B40"/>
  <c r="B39"/>
  <c r="B38"/>
  <c r="B28" i="13" l="1"/>
  <c r="D69" s="1"/>
  <c r="F13"/>
  <c r="C69" s="1"/>
  <c r="B13"/>
  <c r="F62" i="4"/>
  <c r="B47" i="13" l="1"/>
  <c r="C40" i="12" s="1"/>
  <c r="B69" i="13"/>
  <c r="B37" i="12"/>
  <c r="B36"/>
  <c r="B35"/>
  <c r="B34"/>
  <c r="B33"/>
  <c r="B32"/>
  <c r="B31"/>
  <c r="B30"/>
  <c r="B29"/>
  <c r="B28"/>
  <c r="B26"/>
  <c r="B25"/>
  <c r="B24"/>
  <c r="B23"/>
  <c r="B22"/>
  <c r="B21"/>
  <c r="B20"/>
  <c r="B19"/>
  <c r="B18"/>
  <c r="B17"/>
  <c r="B14"/>
  <c r="B15"/>
  <c r="B16"/>
  <c r="B27"/>
  <c r="B32" i="13"/>
  <c r="D67"/>
  <c r="B26"/>
  <c r="B27" s="1"/>
  <c r="F17"/>
  <c r="B17"/>
  <c r="F11"/>
  <c r="F12" s="1"/>
  <c r="B11"/>
  <c r="B12" s="1"/>
  <c r="C61" i="12" l="1"/>
  <c r="C52"/>
  <c r="C43"/>
  <c r="C45"/>
  <c r="C50"/>
  <c r="C59"/>
  <c r="C44"/>
  <c r="C60"/>
  <c r="C53"/>
  <c r="C42"/>
  <c r="C58"/>
  <c r="C51"/>
  <c r="C82" i="13"/>
  <c r="B44"/>
  <c r="B49"/>
  <c r="F48" s="1"/>
  <c r="D91" s="1"/>
  <c r="C48" i="12"/>
  <c r="C56"/>
  <c r="C41"/>
  <c r="C49"/>
  <c r="C57"/>
  <c r="D10"/>
  <c r="E123" s="1"/>
  <c r="C46"/>
  <c r="C54"/>
  <c r="C39"/>
  <c r="C47"/>
  <c r="C55"/>
  <c r="C38"/>
  <c r="B82" i="13"/>
  <c r="B56"/>
  <c r="E65" i="12"/>
  <c r="F65"/>
  <c r="G65"/>
  <c r="H65"/>
  <c r="I65"/>
  <c r="J65"/>
  <c r="K65"/>
  <c r="L65"/>
  <c r="M65"/>
  <c r="N65"/>
  <c r="O65"/>
  <c r="P65"/>
  <c r="Q65"/>
  <c r="R65"/>
  <c r="S65"/>
  <c r="T65"/>
  <c r="U65"/>
  <c r="V65"/>
  <c r="W65"/>
  <c r="X65"/>
  <c r="Y65"/>
  <c r="Z65"/>
  <c r="AA65"/>
  <c r="D65"/>
  <c r="C91" i="13" l="1"/>
  <c r="E122" i="12"/>
  <c r="C84" i="13"/>
  <c r="F132" i="12"/>
  <c r="E124"/>
  <c r="B84" i="13"/>
  <c r="B91"/>
  <c r="F37"/>
  <c r="A15" i="12"/>
  <c r="A16"/>
  <c r="A17"/>
  <c r="A18"/>
  <c r="A19"/>
  <c r="A20"/>
  <c r="A21"/>
  <c r="A22"/>
  <c r="A23"/>
  <c r="A24"/>
  <c r="A25"/>
  <c r="A26"/>
  <c r="A27"/>
  <c r="A28"/>
  <c r="A29"/>
  <c r="A30"/>
  <c r="A31"/>
  <c r="A32"/>
  <c r="A33"/>
  <c r="A34"/>
  <c r="A35"/>
  <c r="A36"/>
  <c r="A37"/>
  <c r="A14"/>
  <c r="B18" i="11"/>
  <c r="B17"/>
  <c r="D66" i="4"/>
  <c r="V126" i="12" l="1"/>
  <c r="V127" s="1"/>
  <c r="V122"/>
  <c r="E66" i="4"/>
  <c r="F66"/>
  <c r="B57" i="8"/>
  <c r="F42" i="13"/>
  <c r="C74" l="1"/>
  <c r="J7" i="11"/>
  <c r="J13" s="1"/>
  <c r="D7"/>
  <c r="B48" i="13"/>
  <c r="B43"/>
  <c r="A72" i="4"/>
  <c r="B52" i="13"/>
  <c r="B54" s="1"/>
  <c r="G91" i="4"/>
  <c r="G81"/>
  <c r="G80"/>
  <c r="G97"/>
  <c r="G107"/>
  <c r="G112"/>
  <c r="G115"/>
  <c r="G96"/>
  <c r="G87"/>
  <c r="G88"/>
  <c r="G104"/>
  <c r="G120"/>
  <c r="G93"/>
  <c r="G109"/>
  <c r="G82"/>
  <c r="G98"/>
  <c r="G99"/>
  <c r="G83"/>
  <c r="G89"/>
  <c r="G103"/>
  <c r="G111"/>
  <c r="G119"/>
  <c r="G84"/>
  <c r="G92"/>
  <c r="G100"/>
  <c r="G108"/>
  <c r="G116"/>
  <c r="G95"/>
  <c r="G79"/>
  <c r="G101"/>
  <c r="G117"/>
  <c r="G90"/>
  <c r="G106"/>
  <c r="G114"/>
  <c r="G85"/>
  <c r="G105"/>
  <c r="G113"/>
  <c r="G78"/>
  <c r="G86"/>
  <c r="G94"/>
  <c r="G102"/>
  <c r="G110"/>
  <c r="G118"/>
  <c r="A120"/>
  <c r="A91"/>
  <c r="A73"/>
  <c r="A88"/>
  <c r="A105"/>
  <c r="A104"/>
  <c r="A89"/>
  <c r="A75"/>
  <c r="A107"/>
  <c r="A80"/>
  <c r="A96"/>
  <c r="A112"/>
  <c r="A81"/>
  <c r="A97"/>
  <c r="A113"/>
  <c r="A83"/>
  <c r="A99"/>
  <c r="A115"/>
  <c r="A76"/>
  <c r="A84"/>
  <c r="A92"/>
  <c r="A100"/>
  <c r="A108"/>
  <c r="A116"/>
  <c r="A77"/>
  <c r="A85"/>
  <c r="A93"/>
  <c r="A101"/>
  <c r="A109"/>
  <c r="A117"/>
  <c r="A79"/>
  <c r="A87"/>
  <c r="A95"/>
  <c r="A103"/>
  <c r="A111"/>
  <c r="A119"/>
  <c r="A74"/>
  <c r="A78"/>
  <c r="A82"/>
  <c r="A86"/>
  <c r="A90"/>
  <c r="A94"/>
  <c r="A98"/>
  <c r="A102"/>
  <c r="A106"/>
  <c r="A110"/>
  <c r="A114"/>
  <c r="A118"/>
  <c r="I8"/>
  <c r="G71" s="1"/>
  <c r="I7" s="1"/>
  <c r="B16" i="11" s="1"/>
  <c r="A27"/>
  <c r="A59"/>
  <c r="A43"/>
  <c r="A26"/>
  <c r="A42"/>
  <c r="A23"/>
  <c r="A35"/>
  <c r="A51"/>
  <c r="A67"/>
  <c r="A34"/>
  <c r="A50"/>
  <c r="A31"/>
  <c r="A39"/>
  <c r="A47"/>
  <c r="A55"/>
  <c r="A63"/>
  <c r="A71"/>
  <c r="A30"/>
  <c r="A38"/>
  <c r="A46"/>
  <c r="A54"/>
  <c r="F38" i="13"/>
  <c r="A25" i="11"/>
  <c r="A29"/>
  <c r="A33"/>
  <c r="A37"/>
  <c r="A41"/>
  <c r="A45"/>
  <c r="A49"/>
  <c r="A53"/>
  <c r="A57"/>
  <c r="A61"/>
  <c r="A65"/>
  <c r="A69"/>
  <c r="A24"/>
  <c r="A28"/>
  <c r="A32"/>
  <c r="A36"/>
  <c r="A40"/>
  <c r="A44"/>
  <c r="A48"/>
  <c r="A52"/>
  <c r="A58"/>
  <c r="A62"/>
  <c r="A56"/>
  <c r="A60"/>
  <c r="A64"/>
  <c r="A66"/>
  <c r="A68"/>
  <c r="A70"/>
  <c r="B74" i="13"/>
  <c r="D13" i="11"/>
  <c r="E120" i="4" l="1"/>
  <c r="F40" i="13"/>
  <c r="B77" s="1"/>
  <c r="C79"/>
  <c r="B79"/>
  <c r="B85"/>
  <c r="B86"/>
  <c r="B55"/>
  <c r="E91" i="4"/>
  <c r="E118"/>
  <c r="B118"/>
  <c r="C118" s="1"/>
  <c r="D118" s="1"/>
  <c r="E114"/>
  <c r="B114"/>
  <c r="C114" s="1"/>
  <c r="D114" s="1"/>
  <c r="E110"/>
  <c r="E106"/>
  <c r="E102"/>
  <c r="E98"/>
  <c r="E94"/>
  <c r="B94"/>
  <c r="C94" s="1"/>
  <c r="D94" s="1"/>
  <c r="E90"/>
  <c r="E86"/>
  <c r="E82"/>
  <c r="E78"/>
  <c r="E74"/>
  <c r="E119"/>
  <c r="E111"/>
  <c r="B111"/>
  <c r="C111" s="1"/>
  <c r="D111" s="1"/>
  <c r="E103"/>
  <c r="E95"/>
  <c r="E87"/>
  <c r="E79"/>
  <c r="E117"/>
  <c r="B117"/>
  <c r="C117" s="1"/>
  <c r="D117" s="1"/>
  <c r="E109"/>
  <c r="B109"/>
  <c r="C109" s="1"/>
  <c r="D109" s="1"/>
  <c r="E101"/>
  <c r="E93"/>
  <c r="E85"/>
  <c r="E77"/>
  <c r="E116"/>
  <c r="B116"/>
  <c r="C116" s="1"/>
  <c r="D116" s="1"/>
  <c r="E108"/>
  <c r="E100"/>
  <c r="E92"/>
  <c r="E84"/>
  <c r="E76"/>
  <c r="E115"/>
  <c r="B115"/>
  <c r="C115" s="1"/>
  <c r="D115" s="1"/>
  <c r="E99"/>
  <c r="E83"/>
  <c r="E113"/>
  <c r="B113"/>
  <c r="C113" s="1"/>
  <c r="D113" s="1"/>
  <c r="E97"/>
  <c r="E81"/>
  <c r="E112"/>
  <c r="E96"/>
  <c r="E80"/>
  <c r="E107"/>
  <c r="B107"/>
  <c r="C107" s="1"/>
  <c r="D107" s="1"/>
  <c r="E75"/>
  <c r="E89"/>
  <c r="E104"/>
  <c r="B104"/>
  <c r="C104" s="1"/>
  <c r="D104" s="1"/>
  <c r="E72"/>
  <c r="E105"/>
  <c r="B105"/>
  <c r="C105" s="1"/>
  <c r="D105" s="1"/>
  <c r="E88"/>
  <c r="E73"/>
  <c r="B71" i="11"/>
  <c r="F71" s="1"/>
  <c r="F41" i="13"/>
  <c r="B78" s="1"/>
  <c r="F43"/>
  <c r="B119" i="4" s="1"/>
  <c r="C119" s="1"/>
  <c r="D119" s="1"/>
  <c r="B75" i="13"/>
  <c r="F39"/>
  <c r="B76" s="1"/>
  <c r="G72" i="4"/>
  <c r="A6"/>
  <c r="B49"/>
  <c r="B33"/>
  <c r="B17"/>
  <c r="B44"/>
  <c r="B28"/>
  <c r="B55"/>
  <c r="B39"/>
  <c r="B23"/>
  <c r="B42"/>
  <c r="B26"/>
  <c r="B45"/>
  <c r="B29"/>
  <c r="B48"/>
  <c r="B20"/>
  <c r="B51"/>
  <c r="B35"/>
  <c r="B19"/>
  <c r="B46"/>
  <c r="B24"/>
  <c r="A55"/>
  <c r="A39"/>
  <c r="A50"/>
  <c r="A48"/>
  <c r="A53"/>
  <c r="A29"/>
  <c r="A30"/>
  <c r="A36"/>
  <c r="B41"/>
  <c r="B25"/>
  <c r="B52"/>
  <c r="B36"/>
  <c r="B22"/>
  <c r="B47"/>
  <c r="B31"/>
  <c r="B50"/>
  <c r="B32"/>
  <c r="B53"/>
  <c r="B37"/>
  <c r="B21"/>
  <c r="B40"/>
  <c r="B30"/>
  <c r="B43"/>
  <c r="B27"/>
  <c r="B54"/>
  <c r="B38"/>
  <c r="B34"/>
  <c r="A51"/>
  <c r="A19"/>
  <c r="A24"/>
  <c r="A41"/>
  <c r="A54"/>
  <c r="A44"/>
  <c r="B15"/>
  <c r="B13"/>
  <c r="B14"/>
  <c r="B16"/>
  <c r="B18"/>
  <c r="C71"/>
  <c r="E71"/>
  <c r="B71"/>
  <c r="D71" l="1"/>
  <c r="B103"/>
  <c r="C103" s="1"/>
  <c r="D103" s="1"/>
  <c r="B86"/>
  <c r="C86" s="1"/>
  <c r="D86" s="1"/>
  <c r="B112"/>
  <c r="C112" s="1"/>
  <c r="D112" s="1"/>
  <c r="B92"/>
  <c r="C92" s="1"/>
  <c r="D92" s="1"/>
  <c r="B85"/>
  <c r="C85" s="1"/>
  <c r="D85" s="1"/>
  <c r="B87" i="13"/>
  <c r="B88" i="4"/>
  <c r="C88" s="1"/>
  <c r="D88" s="1"/>
  <c r="B93"/>
  <c r="C93" s="1"/>
  <c r="D93" s="1"/>
  <c r="B96"/>
  <c r="C96" s="1"/>
  <c r="D96" s="1"/>
  <c r="B91"/>
  <c r="C91" s="1"/>
  <c r="D91" s="1"/>
  <c r="B74"/>
  <c r="C74" s="1"/>
  <c r="D74" s="1"/>
  <c r="B89"/>
  <c r="C89" s="1"/>
  <c r="D89" s="1"/>
  <c r="B90"/>
  <c r="C90" s="1"/>
  <c r="D90" s="1"/>
  <c r="B102"/>
  <c r="C102" s="1"/>
  <c r="D102" s="1"/>
  <c r="B100"/>
  <c r="C100" s="1"/>
  <c r="D100" s="1"/>
  <c r="B106"/>
  <c r="C106" s="1"/>
  <c r="D106" s="1"/>
  <c r="H71" i="11"/>
  <c r="B110" i="4"/>
  <c r="C110" s="1"/>
  <c r="D110" s="1"/>
  <c r="B75"/>
  <c r="C75" s="1"/>
  <c r="D75" s="1"/>
  <c r="B98"/>
  <c r="C98" s="1"/>
  <c r="D98" s="1"/>
  <c r="B120"/>
  <c r="C120" s="1"/>
  <c r="D120" s="1"/>
  <c r="E71" i="11"/>
  <c r="B97" i="4"/>
  <c r="C97" s="1"/>
  <c r="D97" s="1"/>
  <c r="B76"/>
  <c r="C76" s="1"/>
  <c r="D76" s="1"/>
  <c r="B99"/>
  <c r="C99" s="1"/>
  <c r="D99" s="1"/>
  <c r="B84"/>
  <c r="C84" s="1"/>
  <c r="D84" s="1"/>
  <c r="B72"/>
  <c r="C72" s="1"/>
  <c r="D72" s="1"/>
  <c r="B73"/>
  <c r="C73" s="1"/>
  <c r="D73" s="1"/>
  <c r="B80"/>
  <c r="C80" s="1"/>
  <c r="D80" s="1"/>
  <c r="B108"/>
  <c r="C108" s="1"/>
  <c r="D108" s="1"/>
  <c r="B95"/>
  <c r="C95" s="1"/>
  <c r="D95" s="1"/>
  <c r="B87"/>
  <c r="C87" s="1"/>
  <c r="D87" s="1"/>
  <c r="B77"/>
  <c r="C77" s="1"/>
  <c r="D77" s="1"/>
  <c r="B82"/>
  <c r="C82" s="1"/>
  <c r="D82" s="1"/>
  <c r="B81"/>
  <c r="C81" s="1"/>
  <c r="D81" s="1"/>
  <c r="B78"/>
  <c r="C78" s="1"/>
  <c r="D78" s="1"/>
  <c r="B79"/>
  <c r="C79" s="1"/>
  <c r="D79" s="1"/>
  <c r="B101"/>
  <c r="C101" s="1"/>
  <c r="D101" s="1"/>
  <c r="B83"/>
  <c r="C83" s="1"/>
  <c r="D83" s="1"/>
  <c r="G73"/>
  <c r="G74" s="1"/>
  <c r="A26"/>
  <c r="A16"/>
  <c r="A38"/>
  <c r="A25"/>
  <c r="A49"/>
  <c r="A40"/>
  <c r="A42"/>
  <c r="A43"/>
  <c r="A52"/>
  <c r="A46"/>
  <c r="A45"/>
  <c r="A32"/>
  <c r="A34"/>
  <c r="A23"/>
  <c r="A47"/>
  <c r="B7"/>
  <c r="A17"/>
  <c r="A8"/>
  <c r="A33"/>
  <c r="A35"/>
  <c r="A20"/>
  <c r="A37"/>
  <c r="A31"/>
  <c r="A13"/>
  <c r="A12"/>
  <c r="A7"/>
  <c r="A28"/>
  <c r="A22"/>
  <c r="A27"/>
  <c r="A21"/>
  <c r="B6"/>
  <c r="A14"/>
  <c r="A9"/>
  <c r="A10"/>
  <c r="A15"/>
  <c r="A11"/>
  <c r="A18"/>
  <c r="D63"/>
  <c r="E63" s="1"/>
  <c r="E121"/>
  <c r="E122" s="1"/>
  <c r="I9" l="1"/>
  <c r="F63"/>
  <c r="I112"/>
  <c r="I117"/>
  <c r="I108"/>
  <c r="H110"/>
  <c r="H114"/>
  <c r="I111"/>
  <c r="H108"/>
  <c r="H116"/>
  <c r="I101"/>
  <c r="H112"/>
  <c r="H100"/>
  <c r="H105"/>
  <c r="H104"/>
  <c r="H101"/>
  <c r="I114"/>
  <c r="I109"/>
  <c r="I100"/>
  <c r="I106"/>
  <c r="I105"/>
  <c r="H107"/>
  <c r="I113"/>
  <c r="I103"/>
  <c r="I118"/>
  <c r="I104"/>
  <c r="I120"/>
  <c r="H113"/>
  <c r="H103"/>
  <c r="H117"/>
  <c r="H119"/>
  <c r="H106"/>
  <c r="H115"/>
  <c r="H109"/>
  <c r="I102"/>
  <c r="I107"/>
  <c r="I116"/>
  <c r="H118"/>
  <c r="I115"/>
  <c r="H120"/>
  <c r="H111"/>
  <c r="H102"/>
  <c r="I119"/>
  <c r="I110"/>
  <c r="I87"/>
  <c r="H89"/>
  <c r="I99"/>
  <c r="I98"/>
  <c r="I88"/>
  <c r="I96"/>
  <c r="H97"/>
  <c r="H86"/>
  <c r="I90"/>
  <c r="H94"/>
  <c r="I93"/>
  <c r="H90"/>
  <c r="I86"/>
  <c r="H92"/>
  <c r="H85"/>
  <c r="H99"/>
  <c r="H93"/>
  <c r="I91"/>
  <c r="H98"/>
  <c r="H88"/>
  <c r="H96"/>
  <c r="I97"/>
  <c r="H87"/>
  <c r="I85"/>
  <c r="I92"/>
  <c r="H95"/>
  <c r="I89"/>
  <c r="I94"/>
  <c r="I95"/>
  <c r="H91"/>
  <c r="I81"/>
  <c r="H82"/>
  <c r="H84"/>
  <c r="H80"/>
  <c r="H79"/>
  <c r="H83"/>
  <c r="H78"/>
  <c r="H81"/>
  <c r="I82"/>
  <c r="I84"/>
  <c r="I80"/>
  <c r="I79"/>
  <c r="I83"/>
  <c r="I78"/>
  <c r="I71"/>
  <c r="I72"/>
  <c r="H72"/>
  <c r="B8"/>
  <c r="G75"/>
  <c r="B9"/>
  <c r="I74" s="1"/>
  <c r="B121"/>
  <c r="B122" s="1"/>
  <c r="D89" i="8" l="1"/>
  <c r="C89"/>
  <c r="B89"/>
  <c r="D94" i="13"/>
  <c r="C94"/>
  <c r="I63" i="4"/>
  <c r="I73"/>
  <c r="H73"/>
  <c r="H74"/>
  <c r="G76"/>
  <c r="B10"/>
  <c r="I75" s="1"/>
  <c r="C121"/>
  <c r="C122" s="1"/>
  <c r="B92" i="8" l="1"/>
  <c r="B90"/>
  <c r="B91"/>
  <c r="B140" s="1"/>
  <c r="D92"/>
  <c r="D90"/>
  <c r="D91"/>
  <c r="C91"/>
  <c r="C90"/>
  <c r="C92"/>
  <c r="D140"/>
  <c r="H75" i="4"/>
  <c r="G77"/>
  <c r="B11"/>
  <c r="I76" s="1"/>
  <c r="C140" i="8" l="1"/>
  <c r="A122" s="1"/>
  <c r="A123"/>
  <c r="D128"/>
  <c r="B29" i="11"/>
  <c r="B30" s="1"/>
  <c r="H76" i="4"/>
  <c r="B64" i="11"/>
  <c r="B57"/>
  <c r="B50"/>
  <c r="B43"/>
  <c r="B22"/>
  <c r="B23" s="1"/>
  <c r="B36"/>
  <c r="D64" i="4"/>
  <c r="B12"/>
  <c r="I77" s="1"/>
  <c r="D127" i="8" l="1"/>
  <c r="E65" i="4"/>
  <c r="E64"/>
  <c r="D65"/>
  <c r="F64"/>
  <c r="H77"/>
  <c r="F64" i="11"/>
  <c r="H64"/>
  <c r="B65"/>
  <c r="C66" s="1"/>
  <c r="E64"/>
  <c r="B58"/>
  <c r="C59" s="1"/>
  <c r="B51"/>
  <c r="C52" s="1"/>
  <c r="B44"/>
  <c r="B24"/>
  <c r="C25" s="1"/>
  <c r="B37"/>
  <c r="B31"/>
  <c r="C65"/>
  <c r="C58"/>
  <c r="C31"/>
  <c r="C51"/>
  <c r="C37"/>
  <c r="C30"/>
  <c r="C23"/>
  <c r="H23" s="1"/>
  <c r="C24"/>
  <c r="C44"/>
  <c r="I121" i="4"/>
  <c r="C78" i="8" l="1"/>
  <c r="C79" s="1"/>
  <c r="D78"/>
  <c r="D79" s="1"/>
  <c r="B78"/>
  <c r="B79" s="1"/>
  <c r="D93" i="13"/>
  <c r="C93"/>
  <c r="I122" i="4"/>
  <c r="D67"/>
  <c r="F65"/>
  <c r="F67" s="1"/>
  <c r="H71"/>
  <c r="B94" i="13"/>
  <c r="B66" i="11"/>
  <c r="F65"/>
  <c r="H65"/>
  <c r="E65"/>
  <c r="B52"/>
  <c r="F58"/>
  <c r="H58"/>
  <c r="E58"/>
  <c r="B59"/>
  <c r="B45"/>
  <c r="C45"/>
  <c r="D45" s="1"/>
  <c r="E23"/>
  <c r="F23"/>
  <c r="C32"/>
  <c r="D32" s="1"/>
  <c r="B32"/>
  <c r="B38"/>
  <c r="B25"/>
  <c r="C38"/>
  <c r="D38" s="1"/>
  <c r="E67" i="4"/>
  <c r="D23" i="11"/>
  <c r="D25"/>
  <c r="D66"/>
  <c r="D31"/>
  <c r="D59"/>
  <c r="D65"/>
  <c r="D24"/>
  <c r="H24" s="1"/>
  <c r="D52"/>
  <c r="D58"/>
  <c r="B93" i="13"/>
  <c r="D121" i="4"/>
  <c r="B106" i="8" l="1"/>
  <c r="C106"/>
  <c r="D106"/>
  <c r="F47" i="13"/>
  <c r="D122" i="4"/>
  <c r="A99" i="13"/>
  <c r="H121" i="4"/>
  <c r="D92" i="13" s="1"/>
  <c r="F66" i="11"/>
  <c r="H66"/>
  <c r="E66"/>
  <c r="B67"/>
  <c r="C67"/>
  <c r="D67" s="1"/>
  <c r="B60"/>
  <c r="F59"/>
  <c r="H59"/>
  <c r="E59"/>
  <c r="C60"/>
  <c r="D60" s="1"/>
  <c r="B53"/>
  <c r="F52"/>
  <c r="E52"/>
  <c r="H52"/>
  <c r="C53"/>
  <c r="D53" s="1"/>
  <c r="B46"/>
  <c r="C46"/>
  <c r="D46" s="1"/>
  <c r="E32"/>
  <c r="E24"/>
  <c r="E25"/>
  <c r="F25" s="1"/>
  <c r="F24"/>
  <c r="B26"/>
  <c r="C26"/>
  <c r="D26" s="1"/>
  <c r="B39"/>
  <c r="C39"/>
  <c r="D39" s="1"/>
  <c r="B33"/>
  <c r="C33"/>
  <c r="D33" s="1"/>
  <c r="G23"/>
  <c r="G67" i="4"/>
  <c r="D6" i="11" l="1"/>
  <c r="J6"/>
  <c r="D90" i="13"/>
  <c r="J12" i="11"/>
  <c r="D12"/>
  <c r="D66" i="8"/>
  <c r="C92" i="13"/>
  <c r="C90"/>
  <c r="B66" i="8"/>
  <c r="B96" s="1"/>
  <c r="C66"/>
  <c r="B108"/>
  <c r="D108"/>
  <c r="C108"/>
  <c r="B90" i="13"/>
  <c r="B92"/>
  <c r="H122" i="4"/>
  <c r="D126" i="8"/>
  <c r="E33" i="11"/>
  <c r="F33" s="1"/>
  <c r="B68"/>
  <c r="E67"/>
  <c r="F67" s="1"/>
  <c r="C68"/>
  <c r="D68" s="1"/>
  <c r="B61"/>
  <c r="E60"/>
  <c r="F60" s="1"/>
  <c r="C61"/>
  <c r="D61" s="1"/>
  <c r="B54"/>
  <c r="E53"/>
  <c r="H53" s="1"/>
  <c r="C54"/>
  <c r="D54" s="1"/>
  <c r="E39"/>
  <c r="E46"/>
  <c r="B47"/>
  <c r="C47"/>
  <c r="D47" s="1"/>
  <c r="E26"/>
  <c r="F26" s="1"/>
  <c r="H25"/>
  <c r="C40"/>
  <c r="D40" s="1"/>
  <c r="B40"/>
  <c r="B34"/>
  <c r="C34"/>
  <c r="D34" s="1"/>
  <c r="B27"/>
  <c r="C27"/>
  <c r="D27" s="1"/>
  <c r="G67"/>
  <c r="G24"/>
  <c r="G52"/>
  <c r="G60"/>
  <c r="G25"/>
  <c r="C67" i="8" l="1"/>
  <c r="C98" s="1"/>
  <c r="C96"/>
  <c r="A121"/>
  <c r="D96"/>
  <c r="D67"/>
  <c r="D98" s="1"/>
  <c r="D69"/>
  <c r="D102" s="1"/>
  <c r="D68"/>
  <c r="D100" s="1"/>
  <c r="C68"/>
  <c r="C100" s="1"/>
  <c r="C69"/>
  <c r="C102" s="1"/>
  <c r="B68"/>
  <c r="B100" s="1"/>
  <c r="B67"/>
  <c r="B69"/>
  <c r="B102" s="1"/>
  <c r="G53" i="11"/>
  <c r="H67"/>
  <c r="B69"/>
  <c r="E68"/>
  <c r="F68" s="1"/>
  <c r="G68" s="1"/>
  <c r="C69"/>
  <c r="D69" s="1"/>
  <c r="B62"/>
  <c r="E61"/>
  <c r="F61" s="1"/>
  <c r="C62"/>
  <c r="D62" s="1"/>
  <c r="F53"/>
  <c r="B55"/>
  <c r="E54"/>
  <c r="F54" s="1"/>
  <c r="G54" s="1"/>
  <c r="C55"/>
  <c r="D55" s="1"/>
  <c r="H60"/>
  <c r="E40"/>
  <c r="F40" s="1"/>
  <c r="B48"/>
  <c r="E47"/>
  <c r="F47" s="1"/>
  <c r="H47" s="1"/>
  <c r="C48"/>
  <c r="D48" s="1"/>
  <c r="E34"/>
  <c r="F34" s="1"/>
  <c r="G34" s="1"/>
  <c r="E27"/>
  <c r="F27" s="1"/>
  <c r="G27" s="1"/>
  <c r="H27" s="1"/>
  <c r="B41"/>
  <c r="C41"/>
  <c r="D41" s="1"/>
  <c r="B28"/>
  <c r="C28"/>
  <c r="D28" s="1"/>
  <c r="B35"/>
  <c r="C35"/>
  <c r="D35" s="1"/>
  <c r="G65"/>
  <c r="G66"/>
  <c r="G58"/>
  <c r="G59"/>
  <c r="G71"/>
  <c r="G64"/>
  <c r="G26"/>
  <c r="H26" s="1"/>
  <c r="B98" i="8" l="1"/>
  <c r="B70" i="11"/>
  <c r="C71" s="1"/>
  <c r="E69"/>
  <c r="F69" s="1"/>
  <c r="C70"/>
  <c r="D70" s="1"/>
  <c r="H68"/>
  <c r="H61"/>
  <c r="G61"/>
  <c r="B56"/>
  <c r="E55"/>
  <c r="C56"/>
  <c r="D56" s="1"/>
  <c r="B63"/>
  <c r="C64" s="1"/>
  <c r="E62"/>
  <c r="F62" s="1"/>
  <c r="C63"/>
  <c r="D63" s="1"/>
  <c r="H54"/>
  <c r="H40"/>
  <c r="G40"/>
  <c r="B49"/>
  <c r="C50" s="1"/>
  <c r="E48"/>
  <c r="C49"/>
  <c r="D49" s="1"/>
  <c r="E41"/>
  <c r="F41" s="1"/>
  <c r="G41" s="1"/>
  <c r="H41" s="1"/>
  <c r="G47"/>
  <c r="E35"/>
  <c r="F35" s="1"/>
  <c r="G35" s="1"/>
  <c r="H35" s="1"/>
  <c r="E28"/>
  <c r="F28" s="1"/>
  <c r="B42"/>
  <c r="C42"/>
  <c r="D42" s="1"/>
  <c r="C29"/>
  <c r="C36"/>
  <c r="D51" l="1"/>
  <c r="D71"/>
  <c r="D64"/>
  <c r="E70"/>
  <c r="F70" s="1"/>
  <c r="G70" s="1"/>
  <c r="G69"/>
  <c r="H69" s="1"/>
  <c r="E56"/>
  <c r="C57"/>
  <c r="E63"/>
  <c r="F63" s="1"/>
  <c r="G63" s="1"/>
  <c r="D50"/>
  <c r="E50" s="1"/>
  <c r="G62"/>
  <c r="H62" s="1"/>
  <c r="F55"/>
  <c r="G55" s="1"/>
  <c r="E49"/>
  <c r="F49" s="1"/>
  <c r="E42"/>
  <c r="F42" s="1"/>
  <c r="G42" s="1"/>
  <c r="H42" s="1"/>
  <c r="C43"/>
  <c r="F48"/>
  <c r="G48" s="1"/>
  <c r="G28"/>
  <c r="H28" s="1"/>
  <c r="D36"/>
  <c r="D37"/>
  <c r="D30"/>
  <c r="D29"/>
  <c r="D57" l="1"/>
  <c r="F57"/>
  <c r="G57" s="1"/>
  <c r="H57" s="1"/>
  <c r="E57"/>
  <c r="E37"/>
  <c r="H37" s="1"/>
  <c r="E38"/>
  <c r="F50"/>
  <c r="H50" s="1"/>
  <c r="E51"/>
  <c r="D43"/>
  <c r="D44"/>
  <c r="E36"/>
  <c r="H70"/>
  <c r="G49"/>
  <c r="H49" s="1"/>
  <c r="H55"/>
  <c r="H63"/>
  <c r="F56"/>
  <c r="G56" s="1"/>
  <c r="H48"/>
  <c r="E29"/>
  <c r="F29" s="1"/>
  <c r="E30"/>
  <c r="E31"/>
  <c r="F32" s="1"/>
  <c r="G37"/>
  <c r="F30" l="1"/>
  <c r="E43"/>
  <c r="F43" s="1"/>
  <c r="H43"/>
  <c r="F51"/>
  <c r="G51" s="1"/>
  <c r="G50"/>
  <c r="F37"/>
  <c r="F38"/>
  <c r="H38" s="1"/>
  <c r="F39"/>
  <c r="E44"/>
  <c r="F44" s="1"/>
  <c r="E45"/>
  <c r="F36"/>
  <c r="H36" s="1"/>
  <c r="G29"/>
  <c r="H29" s="1"/>
  <c r="H56"/>
  <c r="F31"/>
  <c r="G30"/>
  <c r="H30" l="1"/>
  <c r="G43"/>
  <c r="H44"/>
  <c r="G44"/>
  <c r="H51"/>
  <c r="G31"/>
  <c r="H31" s="1"/>
  <c r="G36"/>
  <c r="F45"/>
  <c r="F46"/>
  <c r="G39"/>
  <c r="H39" s="1"/>
  <c r="G33"/>
  <c r="G32"/>
  <c r="H32" s="1"/>
  <c r="G38"/>
  <c r="H33" l="1"/>
  <c r="H34"/>
  <c r="G45"/>
  <c r="H45" s="1"/>
  <c r="G46"/>
  <c r="H46"/>
  <c r="D42" i="12" l="1"/>
  <c r="E43"/>
  <c r="J61"/>
  <c r="E60"/>
  <c r="H61"/>
  <c r="F59"/>
  <c r="D59"/>
  <c r="E42"/>
  <c r="C29"/>
  <c r="D53"/>
  <c r="J59"/>
  <c r="C36"/>
  <c r="F61"/>
  <c r="E61"/>
  <c r="F51"/>
  <c r="D56"/>
  <c r="E57"/>
  <c r="H60"/>
  <c r="O51"/>
  <c r="C15"/>
  <c r="C34"/>
  <c r="C28"/>
  <c r="C22"/>
  <c r="C33"/>
  <c r="F58"/>
  <c r="C32"/>
  <c r="C17"/>
  <c r="C31"/>
  <c r="D61"/>
  <c r="C37"/>
  <c r="D38"/>
  <c r="H41" l="1"/>
  <c r="N47"/>
  <c r="R51"/>
  <c r="X57"/>
  <c r="K44"/>
  <c r="U54"/>
  <c r="Y58"/>
  <c r="J43"/>
  <c r="V55"/>
  <c r="Z59"/>
  <c r="T53"/>
  <c r="D45"/>
  <c r="K52"/>
  <c r="I50"/>
  <c r="T61"/>
  <c r="L53"/>
  <c r="M54"/>
  <c r="Q58"/>
  <c r="H49"/>
  <c r="J51"/>
  <c r="U61"/>
  <c r="D44"/>
  <c r="J50"/>
  <c r="G58"/>
  <c r="D54"/>
  <c r="E55"/>
  <c r="K61"/>
  <c r="I56"/>
  <c r="D51"/>
  <c r="J57"/>
  <c r="L59"/>
  <c r="K58"/>
  <c r="F52"/>
  <c r="K57"/>
  <c r="L58"/>
  <c r="O61"/>
  <c r="I55"/>
  <c r="H54"/>
  <c r="G40"/>
  <c r="Y57"/>
  <c r="X56"/>
  <c r="M45"/>
  <c r="P48"/>
  <c r="Z58"/>
  <c r="AA59"/>
  <c r="R50"/>
  <c r="T52"/>
  <c r="I41"/>
  <c r="H40"/>
  <c r="G42"/>
  <c r="N48"/>
  <c r="L46"/>
  <c r="R52"/>
  <c r="W57"/>
  <c r="AA61"/>
  <c r="H42"/>
  <c r="V56"/>
  <c r="Y59"/>
  <c r="X58"/>
  <c r="S53"/>
  <c r="E39"/>
  <c r="H59"/>
  <c r="G59"/>
  <c r="E56"/>
  <c r="F57"/>
  <c r="F43"/>
  <c r="N51"/>
  <c r="K48"/>
  <c r="D41"/>
  <c r="H45"/>
  <c r="G45"/>
  <c r="P53"/>
  <c r="X61"/>
  <c r="V59"/>
  <c r="O52"/>
  <c r="E58"/>
  <c r="G61"/>
  <c r="M55"/>
  <c r="E47"/>
  <c r="P58"/>
  <c r="O57"/>
  <c r="N56"/>
  <c r="R60"/>
  <c r="K53"/>
  <c r="I51"/>
  <c r="I57"/>
  <c r="G56"/>
  <c r="D52"/>
  <c r="H56"/>
  <c r="K59"/>
  <c r="E59"/>
  <c r="F60"/>
  <c r="Z61"/>
  <c r="L47"/>
  <c r="E40"/>
  <c r="G43"/>
  <c r="N49"/>
  <c r="X59"/>
  <c r="W58"/>
  <c r="Q52"/>
  <c r="M48"/>
  <c r="R53"/>
  <c r="T55"/>
  <c r="H43"/>
  <c r="G52"/>
  <c r="N58"/>
  <c r="E49"/>
  <c r="K55"/>
  <c r="P60"/>
  <c r="J54"/>
  <c r="M57"/>
  <c r="C24"/>
  <c r="H46"/>
  <c r="L50"/>
  <c r="O53"/>
  <c r="G46"/>
  <c r="N52"/>
  <c r="M51"/>
  <c r="Q55"/>
  <c r="T58"/>
  <c r="P54"/>
  <c r="F44"/>
  <c r="C18"/>
  <c r="N57"/>
  <c r="L55"/>
  <c r="G51"/>
  <c r="F49"/>
  <c r="K54"/>
  <c r="C23"/>
  <c r="Q60"/>
  <c r="I52"/>
  <c r="R61"/>
  <c r="S58"/>
  <c r="F45"/>
  <c r="I48"/>
  <c r="U60"/>
  <c r="D43"/>
  <c r="E44"/>
  <c r="H47"/>
  <c r="T59"/>
  <c r="R57"/>
  <c r="O54"/>
  <c r="R54"/>
  <c r="T56"/>
  <c r="E41"/>
  <c r="V58"/>
  <c r="F42"/>
  <c r="P52"/>
  <c r="L48"/>
  <c r="G44"/>
  <c r="Q53"/>
  <c r="Y61"/>
  <c r="X60"/>
  <c r="O60"/>
  <c r="M58"/>
  <c r="D49"/>
  <c r="N59"/>
  <c r="P61"/>
  <c r="G53"/>
  <c r="H57"/>
  <c r="F55"/>
  <c r="L61"/>
  <c r="K60"/>
  <c r="P56"/>
  <c r="E45"/>
  <c r="F46"/>
  <c r="M53"/>
  <c r="N54"/>
  <c r="K51"/>
  <c r="Q57"/>
  <c r="M50"/>
  <c r="U58"/>
  <c r="L49"/>
  <c r="W60"/>
  <c r="J47"/>
  <c r="H58"/>
  <c r="J60"/>
  <c r="H50"/>
  <c r="S61"/>
  <c r="G50"/>
  <c r="Q59"/>
  <c r="H51"/>
  <c r="J53"/>
  <c r="M56"/>
  <c r="P59"/>
  <c r="F38"/>
  <c r="Q49"/>
  <c r="J42"/>
  <c r="W55"/>
  <c r="S51"/>
  <c r="V54"/>
  <c r="H52"/>
  <c r="Q61"/>
  <c r="I53"/>
  <c r="L56"/>
  <c r="Q56"/>
  <c r="M52"/>
  <c r="L51"/>
  <c r="J49"/>
  <c r="V61"/>
  <c r="AA60"/>
  <c r="P49"/>
  <c r="Q50"/>
  <c r="W56"/>
  <c r="O48"/>
  <c r="G54"/>
  <c r="E51"/>
  <c r="N60"/>
  <c r="L60"/>
  <c r="F54"/>
  <c r="J48"/>
  <c r="S57"/>
  <c r="I47"/>
  <c r="N61"/>
  <c r="H55"/>
  <c r="E52"/>
  <c r="N55"/>
  <c r="S60"/>
  <c r="O56"/>
  <c r="F47"/>
  <c r="T54"/>
  <c r="K45"/>
  <c r="P50"/>
  <c r="F40"/>
  <c r="M47"/>
  <c r="J44"/>
  <c r="V57"/>
  <c r="P51"/>
  <c r="I44"/>
  <c r="S54"/>
  <c r="F41"/>
  <c r="E38"/>
  <c r="C21"/>
  <c r="C20"/>
  <c r="C30"/>
  <c r="C27"/>
  <c r="C16"/>
  <c r="C26"/>
  <c r="G60"/>
  <c r="I61"/>
  <c r="W59"/>
  <c r="S55"/>
  <c r="M49"/>
  <c r="D40"/>
  <c r="J46"/>
  <c r="K47"/>
  <c r="N50"/>
  <c r="I45"/>
  <c r="H44"/>
  <c r="U57"/>
  <c r="J55"/>
  <c r="H53"/>
  <c r="L57"/>
  <c r="E50"/>
  <c r="I54"/>
  <c r="K56"/>
  <c r="C25"/>
  <c r="D60"/>
  <c r="G57"/>
  <c r="E54"/>
  <c r="I58"/>
  <c r="T60"/>
  <c r="H48"/>
  <c r="I49"/>
  <c r="G48"/>
  <c r="O55"/>
  <c r="R58"/>
  <c r="S59"/>
  <c r="L52"/>
  <c r="I46"/>
  <c r="S56"/>
  <c r="T57"/>
  <c r="Q54"/>
  <c r="R55"/>
  <c r="F56"/>
  <c r="I59"/>
  <c r="F48"/>
  <c r="D46"/>
  <c r="L54"/>
  <c r="J52"/>
  <c r="E48"/>
  <c r="D47"/>
  <c r="O58"/>
  <c r="C19"/>
  <c r="U53"/>
  <c r="K43"/>
  <c r="O47"/>
  <c r="L44"/>
  <c r="N46"/>
  <c r="D58"/>
  <c r="D57"/>
  <c r="D48"/>
  <c r="O59"/>
  <c r="F50"/>
  <c r="P55"/>
  <c r="N53"/>
  <c r="K50"/>
  <c r="G47"/>
  <c r="L45"/>
  <c r="S52"/>
  <c r="G41"/>
  <c r="M46"/>
  <c r="F39"/>
  <c r="I42"/>
  <c r="D50"/>
  <c r="M59"/>
  <c r="J56"/>
  <c r="D55"/>
  <c r="I60"/>
  <c r="J58"/>
  <c r="M61"/>
  <c r="E53"/>
  <c r="W61"/>
  <c r="V60"/>
  <c r="U59"/>
  <c r="K49"/>
  <c r="R56"/>
  <c r="M60"/>
  <c r="F53"/>
  <c r="G55"/>
  <c r="G49"/>
  <c r="E46"/>
  <c r="R59"/>
  <c r="P57"/>
  <c r="U55"/>
  <c r="Q51"/>
  <c r="I43"/>
  <c r="Z60"/>
  <c r="O49"/>
  <c r="C14"/>
  <c r="U56"/>
  <c r="Y60"/>
  <c r="D39"/>
  <c r="O50"/>
  <c r="K46"/>
  <c r="J45"/>
  <c r="C35"/>
  <c r="S46" s="1"/>
  <c r="D66" l="1"/>
  <c r="E66"/>
  <c r="F66"/>
  <c r="K41"/>
  <c r="L41"/>
  <c r="AA57"/>
  <c r="AA51"/>
  <c r="T48"/>
  <c r="U48"/>
  <c r="W47"/>
  <c r="T45"/>
  <c r="I38"/>
  <c r="M43"/>
  <c r="O39"/>
  <c r="V51"/>
  <c r="M41"/>
  <c r="O42"/>
  <c r="Q42"/>
  <c r="X49"/>
  <c r="Y50"/>
  <c r="W53"/>
  <c r="R48"/>
  <c r="S43"/>
  <c r="P40"/>
  <c r="P45"/>
  <c r="N43"/>
  <c r="K39"/>
  <c r="S47"/>
  <c r="Z53"/>
  <c r="V49"/>
  <c r="S49"/>
  <c r="X48"/>
  <c r="U50"/>
  <c r="S48"/>
  <c r="V50"/>
  <c r="R45"/>
  <c r="Z51"/>
  <c r="N38"/>
  <c r="U51"/>
  <c r="Q47"/>
  <c r="R47"/>
  <c r="W51"/>
  <c r="P43"/>
  <c r="N39"/>
  <c r="M38"/>
  <c r="J40"/>
  <c r="Y55"/>
  <c r="N44"/>
  <c r="M42"/>
  <c r="W52"/>
  <c r="L40"/>
  <c r="P44"/>
  <c r="N42"/>
  <c r="Q44"/>
  <c r="AA42"/>
  <c r="Z41"/>
  <c r="W38"/>
  <c r="X39"/>
  <c r="Y40"/>
  <c r="V44"/>
  <c r="X46"/>
  <c r="Z48"/>
  <c r="W45"/>
  <c r="AA49"/>
  <c r="U43"/>
  <c r="T42"/>
  <c r="R40"/>
  <c r="S41"/>
  <c r="Y47"/>
  <c r="Q39"/>
  <c r="P38"/>
  <c r="X47"/>
  <c r="Z49"/>
  <c r="Q40"/>
  <c r="P39"/>
  <c r="AA50"/>
  <c r="S42"/>
  <c r="U44"/>
  <c r="R41"/>
  <c r="Y48"/>
  <c r="T43"/>
  <c r="V45"/>
  <c r="W46"/>
  <c r="O38"/>
  <c r="Y41"/>
  <c r="X40"/>
  <c r="Z42"/>
  <c r="W39"/>
  <c r="AA43"/>
  <c r="V38"/>
  <c r="AA47"/>
  <c r="Y45"/>
  <c r="S39"/>
  <c r="W43"/>
  <c r="Z46"/>
  <c r="X44"/>
  <c r="U41"/>
  <c r="T40"/>
  <c r="V42"/>
  <c r="R38"/>
  <c r="AA58"/>
  <c r="S50"/>
  <c r="O46"/>
  <c r="L43"/>
  <c r="T51"/>
  <c r="Z57"/>
  <c r="Q48"/>
  <c r="K42"/>
  <c r="H39"/>
  <c r="Y56"/>
  <c r="G39"/>
  <c r="V53"/>
  <c r="R49"/>
  <c r="U52"/>
  <c r="I40"/>
  <c r="P47"/>
  <c r="J41"/>
  <c r="X55"/>
  <c r="M44"/>
  <c r="W54"/>
  <c r="N45"/>
  <c r="S40"/>
  <c r="Z47"/>
  <c r="AA48"/>
  <c r="X45"/>
  <c r="R39"/>
  <c r="Q38"/>
  <c r="V43"/>
  <c r="T41"/>
  <c r="U42"/>
  <c r="W44"/>
  <c r="Y46"/>
  <c r="AA39"/>
  <c r="Z38"/>
  <c r="S45"/>
  <c r="V48"/>
  <c r="AA53"/>
  <c r="Q43"/>
  <c r="R44"/>
  <c r="Z52"/>
  <c r="U47"/>
  <c r="X50"/>
  <c r="W49"/>
  <c r="N40"/>
  <c r="T46"/>
  <c r="P42"/>
  <c r="Y51"/>
  <c r="O41"/>
  <c r="M39"/>
  <c r="L38"/>
  <c r="Z43"/>
  <c r="Y42"/>
  <c r="X41"/>
  <c r="V39"/>
  <c r="AA44"/>
  <c r="W40"/>
  <c r="U38"/>
  <c r="W42"/>
  <c r="T39"/>
  <c r="X43"/>
  <c r="U40"/>
  <c r="S38"/>
  <c r="V41"/>
  <c r="Y44"/>
  <c r="Z45"/>
  <c r="AA46"/>
  <c r="AA41"/>
  <c r="Y39"/>
  <c r="Z40"/>
  <c r="X38"/>
  <c r="Y38"/>
  <c r="W41"/>
  <c r="Z44"/>
  <c r="V40"/>
  <c r="AA38"/>
  <c r="I39"/>
  <c r="T50"/>
  <c r="U45"/>
  <c r="Z50"/>
  <c r="AA45"/>
  <c r="T49"/>
  <c r="Y54"/>
  <c r="R46"/>
  <c r="Q45"/>
  <c r="AA40"/>
  <c r="W50"/>
  <c r="N41"/>
  <c r="W48"/>
  <c r="P41"/>
  <c r="G38"/>
  <c r="T38"/>
  <c r="J38"/>
  <c r="K38"/>
  <c r="V52"/>
  <c r="O45"/>
  <c r="Y49"/>
  <c r="T44"/>
  <c r="Y43"/>
  <c r="Q46"/>
  <c r="O44"/>
  <c r="AA55"/>
  <c r="O43"/>
  <c r="X51"/>
  <c r="L39"/>
  <c r="R43"/>
  <c r="AA52"/>
  <c r="Z39"/>
  <c r="O40"/>
  <c r="S44"/>
  <c r="V47"/>
  <c r="U46"/>
  <c r="H38"/>
  <c r="P46"/>
  <c r="X54"/>
  <c r="L42"/>
  <c r="Z56"/>
  <c r="Q41"/>
  <c r="V46"/>
  <c r="R42"/>
  <c r="X42"/>
  <c r="U39"/>
  <c r="AA56"/>
  <c r="Z55"/>
  <c r="K40"/>
  <c r="X53"/>
  <c r="J39"/>
  <c r="U49"/>
  <c r="Z54"/>
  <c r="X52"/>
  <c r="Y53"/>
  <c r="T47"/>
  <c r="Y52"/>
  <c r="M40"/>
  <c r="AA54"/>
  <c r="B73" i="13"/>
  <c r="B42" s="1"/>
  <c r="H66" i="12" l="1"/>
  <c r="G66"/>
  <c r="J66"/>
  <c r="X66"/>
  <c r="S66"/>
  <c r="L66"/>
  <c r="Z66"/>
  <c r="R66"/>
  <c r="V66"/>
  <c r="O66"/>
  <c r="N66"/>
  <c r="I66"/>
  <c r="K66"/>
  <c r="T66"/>
  <c r="AA66"/>
  <c r="E127" s="1"/>
  <c r="F133" s="1"/>
  <c r="Y66"/>
  <c r="U66"/>
  <c r="Q66"/>
  <c r="P66"/>
  <c r="W66"/>
  <c r="M66"/>
  <c r="F15" i="13"/>
  <c r="B30"/>
  <c r="D68" s="1"/>
  <c r="F16"/>
  <c r="B15"/>
  <c r="B68" s="1"/>
  <c r="E126" i="12" l="1"/>
  <c r="F19" i="13"/>
  <c r="F20" s="1"/>
  <c r="B31"/>
  <c r="B16"/>
  <c r="B34" l="1"/>
  <c r="B35" s="1"/>
  <c r="C70"/>
  <c r="F18"/>
  <c r="F22" s="1"/>
  <c r="B19"/>
  <c r="B20" s="1"/>
  <c r="V130" i="12" l="1"/>
  <c r="V131" s="1"/>
  <c r="V123"/>
  <c r="F26" i="13"/>
  <c r="D95" s="1"/>
  <c r="D70"/>
  <c r="F21"/>
  <c r="B33"/>
  <c r="B37" s="1"/>
  <c r="B18"/>
  <c r="B70"/>
  <c r="C95" l="1"/>
  <c r="B95"/>
  <c r="B36"/>
  <c r="B22"/>
  <c r="B21"/>
  <c r="F25" l="1"/>
  <c r="F27" s="1"/>
  <c r="F28" l="1"/>
  <c r="F29" s="1"/>
  <c r="B45" i="8" l="1"/>
  <c r="D62" s="1"/>
  <c r="F30" i="13"/>
  <c r="D96" s="1"/>
  <c r="B47" i="8"/>
  <c r="B51" s="1"/>
  <c r="D64" s="1"/>
  <c r="B46"/>
  <c r="B50" s="1"/>
  <c r="B48"/>
  <c r="B52" s="1"/>
  <c r="D65" s="1"/>
  <c r="B62" l="1"/>
  <c r="C62"/>
  <c r="C95" s="1"/>
  <c r="C96" i="13"/>
  <c r="B44" i="8"/>
  <c r="B49" s="1"/>
  <c r="B43"/>
  <c r="D63"/>
  <c r="D133" s="1"/>
  <c r="B65"/>
  <c r="B101" s="1"/>
  <c r="C65"/>
  <c r="C101" s="1"/>
  <c r="B64"/>
  <c r="B99" s="1"/>
  <c r="C64"/>
  <c r="C99" s="1"/>
  <c r="C63"/>
  <c r="B63"/>
  <c r="D101"/>
  <c r="D99"/>
  <c r="B96" i="13"/>
  <c r="C77" i="8" l="1"/>
  <c r="D77"/>
  <c r="D105" s="1"/>
  <c r="B77"/>
  <c r="B105" s="1"/>
  <c r="C80"/>
  <c r="C107" s="1"/>
  <c r="C105"/>
  <c r="B80"/>
  <c r="B137" s="1"/>
  <c r="C126" s="1"/>
  <c r="D80"/>
  <c r="D107" s="1"/>
  <c r="C97"/>
  <c r="C133"/>
  <c r="B112" s="1"/>
  <c r="B133"/>
  <c r="B111" s="1"/>
  <c r="D134"/>
  <c r="B128" s="1"/>
  <c r="B113"/>
  <c r="B97"/>
  <c r="B95"/>
  <c r="D97"/>
  <c r="D95"/>
  <c r="B107" l="1"/>
  <c r="D137"/>
  <c r="A116"/>
  <c r="C137"/>
  <c r="C134"/>
  <c r="D135"/>
  <c r="A113"/>
  <c r="B134"/>
  <c r="A126" s="1"/>
  <c r="B138"/>
  <c r="A127" l="1"/>
  <c r="A118"/>
  <c r="A128"/>
  <c r="C128"/>
  <c r="D138"/>
  <c r="A117"/>
  <c r="C127"/>
  <c r="A112"/>
  <c r="B127"/>
  <c r="B126"/>
  <c r="C138"/>
  <c r="C135"/>
  <c r="A111"/>
  <c r="B135"/>
  <c r="C145" l="1"/>
  <c r="C144" s="1"/>
  <c r="B145"/>
  <c r="B146" s="1"/>
  <c r="D145"/>
  <c r="D146" s="1"/>
  <c r="C143"/>
  <c r="D143"/>
  <c r="B143"/>
  <c r="D144"/>
  <c r="C146" l="1"/>
  <c r="B151"/>
  <c r="B144"/>
  <c r="B53" s="1"/>
  <c r="B150"/>
  <c r="B149"/>
  <c r="B152"/>
</calcChain>
</file>

<file path=xl/comments1.xml><?xml version="1.0" encoding="utf-8"?>
<comments xmlns="http://schemas.openxmlformats.org/spreadsheetml/2006/main">
  <authors>
    <author>Ross Smith IV</author>
    <author>rosssmi</author>
    <author>Paul Galjan</author>
  </authors>
  <commentList>
    <comment ref="B24" authorId="0">
      <text>
        <r>
          <rPr>
            <sz val="8"/>
            <color indexed="81"/>
            <rFont val="Tahoma"/>
            <family val="2"/>
          </rPr>
          <t>Enter the Exchange 2007 version being deployed in the environment.
The value entered will affect RAM sizing.</t>
        </r>
      </text>
    </comment>
    <comment ref="E24" authorId="0">
      <text>
        <r>
          <rPr>
            <sz val="9"/>
            <color indexed="81"/>
            <rFont val="Tahoma"/>
            <family val="2"/>
          </rPr>
          <t>Exchange 2007 supports Standby Continuous Replication (SCR).    Each source server can have multiple SCR targets.  If you would like to plan for SCR, please enter the number of SCR targets you would like.</t>
        </r>
      </text>
    </comment>
    <comment ref="B25" authorId="0">
      <text>
        <r>
          <rPr>
            <sz val="9"/>
            <color indexed="81"/>
            <rFont val="Tahoma"/>
            <family val="2"/>
          </rPr>
          <t>Enter the number of mailbox servers for which you would like to design the solution.
The calculator will then take the total number of mailboxes and evenly spread them across all mailbox servers.</t>
        </r>
      </text>
    </comment>
    <comment ref="E25" authorId="0">
      <text>
        <r>
          <rPr>
            <sz val="9"/>
            <color indexed="81"/>
            <rFont val="Tahoma"/>
            <family val="2"/>
          </rPr>
          <t>Choose the type of HA option you would like for your SCR target environments.
Choose single-node if you are doing one of the following:
- Deploying 2-node source clusters (CCR or SCC) and want only a single node to be the standby cluster.
- Deploying standalone mailbox servers (or LCR)
- Performing Database Portability
- Choose Match Source Configuration if you want to perform server recovery and retain the same level of availability as the source environment.</t>
        </r>
      </text>
    </comment>
    <comment ref="B26" authorId="0">
      <text>
        <r>
          <rPr>
            <sz val="8"/>
            <color indexed="81"/>
            <rFont val="Tahoma"/>
            <family val="2"/>
          </rPr>
          <t>Enabling Continuous Replication has additional requirements in terms of storage and memory.
Enabling LCR will require an additional 1GB of physical memory.
Both CCR and LCR will require additional storage identical to the production copy for storage of the replica. 
Also this calculator assumes that each CCR cluster will have storage that is isolated from any other CCR cluster.</t>
        </r>
      </text>
    </comment>
    <comment ref="E26" authorId="0">
      <text>
        <r>
          <rPr>
            <sz val="9"/>
            <color indexed="81"/>
            <rFont val="Tahoma"/>
            <family val="2"/>
          </rPr>
          <t xml:space="preserve">When enabling Standby Continuous Replication, you have the option to specify the amount of time that the Microsoft Exchange Replication Service should wait before replaying log files that have been copied to the SCR target machine.  The default setting for this option is 24 hours. The maximum allowable setting for this option is 7 days. The minimum allowable setting is 0 seconds, although setting this value to 0 seconds effectively eliminates any delay in log replay activity above and beyond the default delay of 50 log files, as described below.
In addition to the administrator-configured delay of replay that is specified using the ReplayLagTime parameter, Exchange will also prevent a fixed number of log files from being replayed on an SCR target, regardless of the value for ReplayLagTime using the following formula:
Max of ("value of ReplayLagTime" or "X log files")
where X=50. This is an additional safeguard against the need to re-seed a storage group in situations when an SCR source that is in a continuous replication environment (e.g., LCR or CCR) experiences a lossy failover and is brought online using the Restore-StorageGroupCopy cmdlet. By delaying replay activity on the SCR targets, when a lossy failover for an SCR source occurs, the chances of needing to re-seed the SCR copies will be minimized because the nature of the data loss on the SCR source puts the two copies closer together in time.
</t>
        </r>
      </text>
    </comment>
    <comment ref="B27" authorId="0">
      <text>
        <r>
          <rPr>
            <sz val="8"/>
            <color indexed="81"/>
            <rFont val="Tahoma"/>
            <family val="2"/>
          </rPr>
          <t>By default Content Indexing is enabled in Exchange 2007 mailbox servers.  The results is about a 5% additional capacity requirement per storage group.</t>
        </r>
      </text>
    </comment>
    <comment ref="E27" authorId="0">
      <text>
        <r>
          <rPr>
            <sz val="9"/>
            <color indexed="81"/>
            <rFont val="Tahoma"/>
            <family val="2"/>
          </rPr>
          <t xml:space="preserve">This parameter is used to specify the amount of time that the Microsoft Exchange Replication service should wait before truncating log files that have been copied to the SCR target computer and replayed into the copy of the database. The time period begins after the log has been successfully replayed into the copy of the database. The format for this parameter is (Days.Hours:Minutes:Seconds). The maximum allowable setting for this value is 7 days. The minimum allowable setting is 0 seconds, although setting this value to 0 seconds effectively eliminates any delay in log truncation activity. After the value for this parameter is set, it cannot be changed without disabling and re-enabling SCR.
On an SCR target, a background thread runs every three minutes to determine if any log files need to be truncated.
If the following two criteria are met, a log file will be truncated:
- The log file generation sequence is below the log file checkpoint for the storage group.
- The log file is older than ReplayLagTime + TruncationLagTime. 
</t>
        </r>
      </text>
    </comment>
    <comment ref="B28" authorId="0">
      <text>
        <r>
          <rPr>
            <sz val="8"/>
            <color indexed="81"/>
            <rFont val="Tahoma"/>
            <family val="2"/>
          </rPr>
          <t>A dedicated Restore LUN can be used by Exchange administrators as a staging point for the restoration of data or could be used during maintenance activities (e.g. ESEUTIL / ISINTEG).  
Selecting Yes to this question will result in the allocation of a dedicated RAID-5 LUN for restore / maintenance operations and will change the capacity allocations for both database and/or transaction log LUN design.</t>
        </r>
      </text>
    </comment>
    <comment ref="B29" authorId="0">
      <text>
        <r>
          <rPr>
            <sz val="9"/>
            <color indexed="81"/>
            <rFont val="Tahoma"/>
            <family val="2"/>
          </rPr>
          <t>Operations Management programs like MOM, Insight Manager, etc will warn when a certain percentage of disk space is utilized on a LUN (usually when there is less than 20% of the disk is left).
To ensure that the LUN design includes enough space so that the LUNs are not designed at capacity, this factor will add additional space to each LUN.</t>
        </r>
      </text>
    </comment>
    <comment ref="B32" authorId="0">
      <text>
        <r>
          <rPr>
            <sz val="8"/>
            <color indexed="81"/>
            <rFont val="Tahoma"/>
            <family val="2"/>
          </rPr>
          <t>The Deleted Item Retention Window refers to how long items will remain in the store after the user empties the Deleted Items Bin.  This feature allows end users to recover items mistakenly deleted without having to call help desk and have the Exchange administrator restore the database.
The default in Exchange 2007 is 14 days.
The value entered in the deleted item retention window will affect the database capacity by increasing the mailbox size footprint.</t>
        </r>
      </text>
    </comment>
    <comment ref="E32" authorId="0">
      <text>
        <r>
          <rPr>
            <sz val="8"/>
            <color indexed="81"/>
            <rFont val="Tahoma"/>
            <family val="2"/>
          </rPr>
          <t>By default the calculator will use the following maximum database sizes:
- For systems without continuous replication, the maximum database size will be 100GB.
- For systems with continuous replication, the maximum database size will be 200GB.
If you want to allow for a larger or smaller database sizes, select No to this question, otherwise use the default settings by selecting Yes.</t>
        </r>
      </text>
    </comment>
    <comment ref="B33" authorId="1">
      <text>
        <r>
          <rPr>
            <sz val="8"/>
            <color indexed="81"/>
            <rFont val="Tahoma"/>
            <family val="2"/>
          </rPr>
          <t xml:space="preserve">For most deployments it is recommended to add a “fluff factor” of 20-30% to the database size after all other factors are considered when creating the database LUN.   </t>
        </r>
      </text>
    </comment>
    <comment ref="E33" authorId="0">
      <text>
        <r>
          <rPr>
            <sz val="8"/>
            <color indexed="81"/>
            <rFont val="Tahoma"/>
            <family val="2"/>
          </rPr>
          <t>Enter in a custom maximum database size you would like to design toward. 
Note: You must select "No" to the question "Use Recommended Maximum Database Sizes" in order for this value to be utilized.</t>
        </r>
      </text>
    </comment>
    <comment ref="B34" authorId="0">
      <text>
        <r>
          <rPr>
            <sz val="8"/>
            <color indexed="81"/>
            <rFont val="Tahoma"/>
            <family val="2"/>
          </rPr>
          <t>Moving mailboxes is a primary capacity factor for large mailbox deployments.  Most large companies move a percentage of their users on a nightly or weekly basis to different databases, servers, or sites.  It may also be necessary to over provision the log LUN to accommodate user migration to Exchange 2007.  While the source Exchange server will log the record deletions, which are small, it is the target server which must write everything transferred to the transaction logs first.  If you generate 10GB of log files in one day, and keep a 3 day buffer of 30GB, moving 50, 2GB mailboxes (100GB), would fill up your target log LUN and cause downtime.  In cases such as these, you may have to allocate additional capacity for the log LUNs to accommodate your move mailbox practices.</t>
        </r>
      </text>
    </comment>
    <comment ref="B37" authorId="0">
      <text>
        <r>
          <rPr>
            <sz val="8"/>
            <color indexed="81"/>
            <rFont val="Tahoma"/>
            <family val="2"/>
          </rPr>
          <t xml:space="preserve">This value is a growth factor that can be used to ensure that additional I/O is available during periods of unexpected high I/O activity.
Microsoft recommends factoring in an additional 20% I/O growth.
</t>
        </r>
      </text>
    </comment>
    <comment ref="B38" authorId="0">
      <text>
        <r>
          <rPr>
            <sz val="8"/>
            <color indexed="81"/>
            <rFont val="Tahoma"/>
            <family val="2"/>
          </rPr>
          <t xml:space="preserve">Add in an additional I/O total value if you know that there will be additional load on the database disk drives that are not included in the mailbox IOPS factor.
Examples:
- Store-based anti-virus
- A third-party mobility solutions
- store-based journaling
- client-side search engines when using online mode clients
To derive at how much overhead is needed, measure it in a controlled environment by comparing a baseline system against a system that has the I/O generating application installed and running.
For example, let’s say Application x generates 500 additional I/Os when compared with the baseline system. In that case, you want to enter 500 into this field.
Or consider this methodology.  You know an application that you will be using will generate an I/O increase per mailbox.  To determine how much I/O you need follow these simple steps:
1.  Determine the I/O requirements without the application's overhead.
For example, you are designing a solution for 1000 heavy profile mailboxes.  From the output of the calculator you know that each mailbox will require .32 IOPS, for a total of 320 host IOPS required to sustain all the databases.
2.  Determine the application overhead.
For example, the application increases the I/O overhead by a factor of 4.  For this scenario that would be (1000 *.32 *4) = 1280.  So the total I/O that has to be sustained from the host perspective for the databases is (1280 + 320) = 1600
3.  Enter in the application overhead into the "Additional I/O Requirements" field.
For our scenario you would enter 1280.
</t>
        </r>
      </text>
    </comment>
    <comment ref="B45" authorId="1">
      <text>
        <r>
          <rPr>
            <sz val="8"/>
            <color indexed="81"/>
            <rFont val="Tahoma"/>
            <family val="2"/>
          </rPr>
          <t>Total number of mailboxes that will be supported in the environment for this mailbox class.
If you want multiple servers, enter in the total number of mailboxes within the environment here and the calculator will evenly distribute them across each server.</t>
        </r>
      </text>
    </comment>
    <comment ref="E45" authorId="1">
      <text>
        <r>
          <rPr>
            <sz val="8"/>
            <color indexed="81"/>
            <rFont val="Tahoma"/>
            <family val="2"/>
          </rPr>
          <t>Expected user concurrency during peak times.  Usually assume 80-100% for most enterprise implementations.  This concurrency number will apply to all mailbox tiers.</t>
        </r>
      </text>
    </comment>
    <comment ref="B46" authorId="0">
      <text>
        <r>
          <rPr>
            <sz val="9"/>
            <color indexed="81"/>
            <rFont val="Tahoma"/>
            <family val="2"/>
          </rPr>
          <t>Enter in the total projected growth in number of mailboxes that you expect this solution will incur during its lifecycle.  This will be used in calculating the performance and capacity requirements.</t>
        </r>
      </text>
    </comment>
    <comment ref="B47" authorId="0">
      <text>
        <r>
          <rPr>
            <sz val="9"/>
            <color indexed="81"/>
            <rFont val="Tahoma"/>
            <family val="2"/>
          </rPr>
          <t xml:space="preserve">Select the knowledge worker profile that fits your user environment.
You can determine what value your environment is by using the Exchange Profile Analyzer.
http://www.microsoft.com/downloads/info.aspx?na=22&amp;p=1&amp;SrcDisplayLang=en&amp;SrcCategoryId=&amp;SrcFamilyId=&amp;u=%2fdownloads%2fdetails.aspx%3fFamilyID%3d8f575f60-bd80-44aa-858b-a1f721108fad%26DisplayLang%3den </t>
        </r>
      </text>
    </comment>
    <comment ref="B48" authorId="0">
      <text>
        <r>
          <rPr>
            <sz val="8"/>
            <color indexed="81"/>
            <rFont val="Tahoma"/>
            <family val="2"/>
          </rPr>
          <t>The average message size within the environment.
Microsoft recommends using an average message size of 50KB if this data point is not known.</t>
        </r>
      </text>
    </comment>
    <comment ref="B49" authorId="1">
      <text>
        <r>
          <rPr>
            <sz val="8"/>
            <color indexed="81"/>
            <rFont val="Tahoma"/>
            <family val="2"/>
          </rPr>
          <t>Send/Receive Quota Limit that will be used for the majority of the mailboxes.</t>
        </r>
      </text>
    </comment>
    <comment ref="B50" authorId="0">
      <text>
        <r>
          <rPr>
            <sz val="8"/>
            <color indexed="81"/>
            <rFont val="Tahoma"/>
            <family val="2"/>
          </rPr>
          <t>By default the storage calculator will determine the IOPS profile per mailbox based on the storage and memory requirements.  If you’d like to design toward a specific IOPS profile, you can override this behavior by selecting No, and entering in an IOPS/Mailbox value.
Note: The IOPS Calculation has an accuracy of +/- 20% accuracy and does not include 3rd Party Products that may generate addition Database Reads and Writes.</t>
        </r>
      </text>
    </comment>
    <comment ref="B51" authorId="1">
      <text>
        <r>
          <rPr>
            <sz val="8"/>
            <color indexed="81"/>
            <rFont val="Tahoma"/>
            <family val="2"/>
          </rPr>
          <t xml:space="preserve">IO per second per mailbox that is gathered based on performance data collected or theoretical number chosen.  If varying classes of users exist on the system, the system should be scaled to handle the larger IO profile than the smaller one.
Note: Actual data gathering should be performed to determine an accurate storage design.  It should include all applications that may increase the I/O (mobility, AV, content indexing,).
</t>
        </r>
        <r>
          <rPr>
            <b/>
            <sz val="8"/>
            <color indexed="81"/>
            <rFont val="Tahoma"/>
            <family val="2"/>
          </rPr>
          <t>Validation</t>
        </r>
        <r>
          <rPr>
            <sz val="8"/>
            <color indexed="81"/>
            <rFont val="Tahoma"/>
            <family val="2"/>
          </rPr>
          <t xml:space="preserve">
If you select No to "Predict IOPS Value", then you must define IOPS and read:write values for this configuration.</t>
        </r>
      </text>
    </comment>
    <comment ref="B52" authorId="0">
      <text>
        <r>
          <rPr>
            <sz val="9"/>
            <color indexed="81"/>
            <rFont val="Tahoma"/>
            <family val="2"/>
          </rPr>
          <t xml:space="preserve">Note: This value is only used when you do not use the IOPS Prediction formula for a mailbox tier.
Read/write mix that will occur in the Exchange infrastructure.  With Exchange 2007, you should see a 1:1 Read:Write mixture for database operations when your clients are mostly Outlook operating in Cached Mode.
Expect a different read/write mix to occur if your clients are mostly Outlook operating in Online Mode.
</t>
        </r>
        <r>
          <rPr>
            <b/>
            <sz val="9"/>
            <color indexed="81"/>
            <rFont val="Tahoma"/>
            <family val="2"/>
          </rPr>
          <t>Validation</t>
        </r>
        <r>
          <rPr>
            <sz val="9"/>
            <color indexed="81"/>
            <rFont val="Tahoma"/>
            <family val="2"/>
          </rPr>
          <t xml:space="preserve">
If you select No to "Predict IOPS Value", then you must define IOPS and read:write values for this configuration.</t>
        </r>
      </text>
    </comment>
    <comment ref="B53" authorId="0">
      <text>
        <r>
          <rPr>
            <sz val="8"/>
            <color indexed="81"/>
            <rFont val="Tahoma"/>
            <family val="2"/>
          </rPr>
          <t>Choose the Outlook mode that the majority of clients utilize.  This will have an effect on the IOPS/mailbox that is calculated.</t>
        </r>
      </text>
    </comment>
    <comment ref="B56" authorId="1">
      <text>
        <r>
          <rPr>
            <sz val="8"/>
            <color indexed="81"/>
            <rFont val="Tahoma"/>
            <family val="2"/>
          </rPr>
          <t>Total number of mailboxes that will be supported in the environment for this mailbox class.
If you want multiple servers, enter in the total number of mailboxes within the environment here and the calculator will evenly distribute them across each server.</t>
        </r>
      </text>
    </comment>
    <comment ref="E56" authorId="1">
      <text>
        <r>
          <rPr>
            <sz val="8"/>
            <color indexed="81"/>
            <rFont val="Tahoma"/>
            <family val="2"/>
          </rPr>
          <t>Total number of mailboxes that will be supported in the environment for this mailbox class.
If you want multiple servers, enter in the total number of mailboxes within the environment here and the calculator will evenly distribute them across each server.</t>
        </r>
      </text>
    </comment>
    <comment ref="B57" authorId="0">
      <text>
        <r>
          <rPr>
            <sz val="9"/>
            <color indexed="81"/>
            <rFont val="Tahoma"/>
            <family val="2"/>
          </rPr>
          <t>Enter in the total projected growth in number of mailboxes that you expect this solution will incur during its lifecycle.  This will be used in calculating the performance and capacity requirements.</t>
        </r>
      </text>
    </comment>
    <comment ref="E57" authorId="0">
      <text>
        <r>
          <rPr>
            <sz val="9"/>
            <color indexed="81"/>
            <rFont val="Tahoma"/>
            <family val="2"/>
          </rPr>
          <t>Enter in the total projected growth in number of mailboxes that you expect this solution will incur during its lifecycle.  This will be used in calculating the performance and capacity requirements.</t>
        </r>
      </text>
    </comment>
    <comment ref="B58" authorId="0">
      <text>
        <r>
          <rPr>
            <sz val="9"/>
            <color indexed="81"/>
            <rFont val="Tahoma"/>
            <family val="2"/>
          </rPr>
          <t xml:space="preserve">Select the knowledge worker profile that fits your user environment.
You can determine what value your environment is by using the Exchange Profile Analyzer.
http://www.microsoft.com/downloads/info.aspx?na=22&amp;p=1&amp;SrcDisplayLang=en&amp;SrcCategoryId=&amp;SrcFamilyId=&amp;u=%2fdownloads%2fdetails.aspx%3fFamilyID%3d8f575f60-bd80-44aa-858b-a1f721108fad%26DisplayLang%3den </t>
        </r>
      </text>
    </comment>
    <comment ref="E58" authorId="0">
      <text>
        <r>
          <rPr>
            <sz val="9"/>
            <color indexed="81"/>
            <rFont val="Tahoma"/>
            <family val="2"/>
          </rPr>
          <t xml:space="preserve">Select the knowledge worker profile that fits your user environment.
You can determine what value your environment is by using the Exchange Profile Analyzer.
http://www.microsoft.com/downloads/info.aspx?na=22&amp;p=1&amp;SrcDisplayLang=en&amp;SrcCategoryId=&amp;SrcFamilyId=&amp;u=%2fdownloads%2fdetails.aspx%3fFamilyID%3d8f575f60-bd80-44aa-858b-a1f721108fad%26DisplayLang%3den </t>
        </r>
      </text>
    </comment>
    <comment ref="B59" authorId="0">
      <text>
        <r>
          <rPr>
            <sz val="8"/>
            <color indexed="81"/>
            <rFont val="Tahoma"/>
            <family val="2"/>
          </rPr>
          <t>The average message size within the environment.
Microsoft recommends using an average message size of 50KB if this data point is not known.</t>
        </r>
      </text>
    </comment>
    <comment ref="E59" authorId="0">
      <text>
        <r>
          <rPr>
            <sz val="8"/>
            <color indexed="81"/>
            <rFont val="Tahoma"/>
            <family val="2"/>
          </rPr>
          <t>The average message size within the environment.
Microsoft recommends using an average message size of 50KB if this data point is not known.</t>
        </r>
      </text>
    </comment>
    <comment ref="B60" authorId="1">
      <text>
        <r>
          <rPr>
            <sz val="8"/>
            <color indexed="81"/>
            <rFont val="Tahoma"/>
            <family val="2"/>
          </rPr>
          <t>Send/Receive Quota Limit that will be used for the majority of the mailboxes.</t>
        </r>
      </text>
    </comment>
    <comment ref="E60" authorId="1">
      <text>
        <r>
          <rPr>
            <sz val="8"/>
            <color indexed="81"/>
            <rFont val="Tahoma"/>
            <family val="2"/>
          </rPr>
          <t>Send/Receive Quota Limit that will be used for the majority of the mailboxes.</t>
        </r>
      </text>
    </comment>
    <comment ref="B61" authorId="0">
      <text>
        <r>
          <rPr>
            <sz val="8"/>
            <color indexed="81"/>
            <rFont val="Tahoma"/>
            <family val="2"/>
          </rPr>
          <t>By default the storage calculator will determine the IOPS profile per mailbox based on the storage and memory requirements.  If you’d like to design toward a specific IOPS profile, you can override this behavior by selecting No, and entering in an IOPS/Mailbox value.
Note: The IOPS Calculation has an accuracy of +/- 20% accuracy and does not include 3rd Party Products that may generate addition Database Reads and Writes.</t>
        </r>
      </text>
    </comment>
    <comment ref="E61" authorId="0">
      <text>
        <r>
          <rPr>
            <sz val="8"/>
            <color indexed="81"/>
            <rFont val="Tahoma"/>
            <family val="2"/>
          </rPr>
          <t>By default the storage calculator will determine the IOPS profile per mailbox based on the storage and memory requirements.  If you’d like to design toward a specific IOPS profile, you can override this behavior by selecting No, and entering in an IOPS/Mailbox value.
Note: The IOPS Calculation has an accuracy of +/- 20% accuracy and does not include 3rd Party Products that may generate addition Database Reads and Writes.</t>
        </r>
      </text>
    </comment>
    <comment ref="B62" authorId="1">
      <text>
        <r>
          <rPr>
            <sz val="8"/>
            <color indexed="81"/>
            <rFont val="Tahoma"/>
            <family val="2"/>
          </rPr>
          <t xml:space="preserve">IO per second per mailbox that is gathered based on performance data collected or theoretical number chosen.  If varying classes of users exist on the system, the system should be scaled to handle the larger IO profile than the smaller one.
Note: Actual data gathering should be performed to determine an accurate storage design.  It should include all applications that may increase the I/O (mobility, AV, content indexing,).
</t>
        </r>
        <r>
          <rPr>
            <b/>
            <sz val="8"/>
            <color indexed="81"/>
            <rFont val="Tahoma"/>
            <family val="2"/>
          </rPr>
          <t>Validation</t>
        </r>
        <r>
          <rPr>
            <sz val="8"/>
            <color indexed="81"/>
            <rFont val="Tahoma"/>
            <family val="2"/>
          </rPr>
          <t xml:space="preserve">
If you select No to "Predict IOPS Value", then you must define IOPS and read:write values for this configuration.</t>
        </r>
      </text>
    </comment>
    <comment ref="E62" authorId="1">
      <text>
        <r>
          <rPr>
            <sz val="8"/>
            <color indexed="81"/>
            <rFont val="Tahoma"/>
            <family val="2"/>
          </rPr>
          <t xml:space="preserve">IO per second per mailbox that is gathered based on performance data collected or theoretical number chosen.  If varying classes of users exist on the system, the system should be scaled to handle the larger IO profile than the smaller one.
Note: Actual data gathering should be performed to determine an accurate storage design.  It should include all applications that may increase the I/O (mobility, AV, content indexing,).
</t>
        </r>
        <r>
          <rPr>
            <b/>
            <sz val="8"/>
            <color indexed="81"/>
            <rFont val="Tahoma"/>
            <family val="2"/>
          </rPr>
          <t>Validation</t>
        </r>
        <r>
          <rPr>
            <sz val="8"/>
            <color indexed="81"/>
            <rFont val="Tahoma"/>
            <family val="2"/>
          </rPr>
          <t xml:space="preserve">
If you select No to "Predict IOPS Value", then you must define IOPS and read:write values for this configuration.</t>
        </r>
      </text>
    </comment>
    <comment ref="B63" authorId="0">
      <text>
        <r>
          <rPr>
            <sz val="9"/>
            <color indexed="81"/>
            <rFont val="Tahoma"/>
            <family val="2"/>
          </rPr>
          <t xml:space="preserve">Note: This value is only used when you do not use the IOPS Prediction formula for a mailbox tier.
Read/write mix that will occur in the Exchange infrastructure.  With Exchange 2007, you should see a 1:1 Read:Write mixture for database operations when your clients are mostly Outlook operating in Cached Mode.
Expect a different read/write mix to occur if your clients are mostly Outlook operating in Online Mode.
</t>
        </r>
        <r>
          <rPr>
            <b/>
            <sz val="9"/>
            <color indexed="81"/>
            <rFont val="Tahoma"/>
            <family val="2"/>
          </rPr>
          <t>Validation</t>
        </r>
        <r>
          <rPr>
            <sz val="9"/>
            <color indexed="81"/>
            <rFont val="Tahoma"/>
            <family val="2"/>
          </rPr>
          <t xml:space="preserve">
If you select No to "Predict IOPS Value", then you must define IOPS and read:write values for this configuration.</t>
        </r>
      </text>
    </comment>
    <comment ref="E63" authorId="0">
      <text>
        <r>
          <rPr>
            <sz val="9"/>
            <color indexed="81"/>
            <rFont val="Tahoma"/>
            <family val="2"/>
          </rPr>
          <t xml:space="preserve">Note: This value is only used when you do not use the IOPS Prediction formula for a mailbox tier.
Read/write mix that will occur in the Exchange infrastructure.  With Exchange 2007, you should see a 1:1 Read:Write mixture for database operations when your clients are mostly Outlook operating in Cached Mode.
Expect a different read/write mix to occur if your clients are mostly Outlook operating in Online Mode.
</t>
        </r>
        <r>
          <rPr>
            <b/>
            <sz val="9"/>
            <color indexed="81"/>
            <rFont val="Tahoma"/>
            <family val="2"/>
          </rPr>
          <t>Validation</t>
        </r>
        <r>
          <rPr>
            <sz val="9"/>
            <color indexed="81"/>
            <rFont val="Tahoma"/>
            <family val="2"/>
          </rPr>
          <t xml:space="preserve">
If you select No to "Predict IOPS Value", then you must define IOPS and read:write values for this configuration.</t>
        </r>
      </text>
    </comment>
    <comment ref="B64" authorId="0">
      <text>
        <r>
          <rPr>
            <sz val="8"/>
            <color indexed="81"/>
            <rFont val="Tahoma"/>
            <family val="2"/>
          </rPr>
          <t>Choose the Outlook mode that the majority of clients utilize.  This will have an effect on the IOPS/mailbox that is calculated.</t>
        </r>
      </text>
    </comment>
    <comment ref="E64" authorId="0">
      <text>
        <r>
          <rPr>
            <sz val="8"/>
            <color indexed="81"/>
            <rFont val="Tahoma"/>
            <family val="2"/>
          </rPr>
          <t>Choose the Outlook mode that the majority of clients utilize.  This will have an effect on the IOPS/mailbox that is calculated.</t>
        </r>
      </text>
    </comment>
    <comment ref="B70" authorId="0">
      <text>
        <r>
          <rPr>
            <sz val="8"/>
            <color indexed="81"/>
            <rFont val="Tahoma"/>
            <family val="2"/>
          </rPr>
          <t>The type of backup methodology you are planning to use.
If you plan to implement LCR or CCR, or increase mailbox sizes significantly, you should consider VSS over streaming.</t>
        </r>
      </text>
    </comment>
    <comment ref="B71" authorId="0">
      <text>
        <r>
          <rPr>
            <sz val="8"/>
            <color indexed="81"/>
            <rFont val="Tahoma"/>
            <family val="2"/>
          </rPr>
          <t>The frequency at which you perform a backup.</t>
        </r>
      </text>
    </comment>
    <comment ref="B72" authorId="0">
      <text>
        <r>
          <rPr>
            <sz val="8"/>
            <color indexed="81"/>
            <rFont val="Tahoma"/>
            <family val="2"/>
          </rPr>
          <t xml:space="preserve">The backup rate helps to provide an estimation of how long it will take to complete backup on an Exchange server.
The backup rate is based on the assumption that the backup process can sustain the rate against each Storage Group concurrently.
The backup window is a critical section of planning to ensure that the backup window is run within a timeframe to minimize the impact on other workloads (if running against active node).
The actual backup rate that can be achieved will depend on four things:
1. Read rate from source LUN – if designed properly, this should not be a huge problem unless you run backup during peak times or you’re running multiple threads from the same set of disks.
2. Media Write rate – same situation as above but it can vary on the native tape drive performance:
a. LTO2-40MB/s
b. LTO3-80MB/s
c. LTO4-120MB/s
g. There is also a back hitching phenomenon which happens when you cannot saturate the tape (tape stops/rewinds/starts frequently and you loose a great deal of throughput). Most modern drives are able to adjust their tape speed usually down to 50%-70% of the nominal, but when you are writing 20mb/sec to an LTO3, it’s going to hurt and in the end you’ll end up with something like 3MB/sec.
3. Backup application limitations – mostly NTBackup illness (20MB/s tops) – all other backup applications should scale higher.
4. In rare cases when you run backups over the network, it can be a bottleneck too.
</t>
        </r>
      </text>
    </comment>
    <comment ref="B73" authorId="0">
      <text>
        <r>
          <rPr>
            <sz val="8"/>
            <color indexed="81"/>
            <rFont val="Tahoma"/>
            <family val="2"/>
          </rPr>
          <t>The rate at which you can restore data.</t>
        </r>
      </text>
    </comment>
    <comment ref="B74" authorId="0">
      <text>
        <r>
          <rPr>
            <sz val="8"/>
            <color indexed="81"/>
            <rFont val="Tahoma"/>
            <family val="2"/>
          </rPr>
          <t>The backup failure tolerance allows you to choose how many days you can go without a backup that performs truncation.  Full Backups and Incremental backups purge the transaction logs since the last full/incremental backup.  However if a backup job fails you need to ensure that you have enough capacity to allow for either restoration or continuation of service until the next backup window.</t>
        </r>
      </text>
    </comment>
    <comment ref="B83" authorId="0">
      <text>
        <r>
          <rPr>
            <sz val="9"/>
            <color indexed="81"/>
            <rFont val="Tahoma"/>
            <family val="2"/>
          </rPr>
          <t>This column represents the hours in the day.</t>
        </r>
      </text>
    </comment>
    <comment ref="C83" authorId="0">
      <text>
        <r>
          <rPr>
            <sz val="9"/>
            <color indexed="81"/>
            <rFont val="Tahoma"/>
            <family val="2"/>
          </rPr>
          <t>This is the total number of logs generated on the server for each hour in the day.</t>
        </r>
      </text>
    </comment>
    <comment ref="E83" authorId="0">
      <text>
        <r>
          <rPr>
            <sz val="9"/>
            <color indexed="81"/>
            <rFont val="Tahoma"/>
            <family val="2"/>
          </rPr>
          <t>Select the network link that will be used between the two physical locations.</t>
        </r>
      </text>
    </comment>
    <comment ref="E84" authorId="0">
      <text>
        <r>
          <rPr>
            <sz val="9"/>
            <color indexed="81"/>
            <rFont val="Tahoma"/>
            <family val="2"/>
          </rPr>
          <t>Enter the network link latency.</t>
        </r>
      </text>
    </comment>
    <comment ref="E85" authorId="0">
      <text>
        <r>
          <rPr>
            <sz val="9"/>
            <color indexed="81"/>
            <rFont val="Tahoma"/>
            <family val="2"/>
          </rPr>
          <t>When deploying geographically dispersed CCR or SCR across a WAN link there is the possibility that the network link between the two locations will become unavailable.  As a result, truncation on the source cannot occur.  To ensure you have enough space to survive the network outage, enter a value for Network Failure Tolerance (measured in days).</t>
        </r>
      </text>
    </comment>
    <comment ref="E88" authorId="2">
      <text>
        <r>
          <rPr>
            <sz val="8"/>
            <color indexed="81"/>
            <rFont val="Tahoma"/>
            <family val="2"/>
          </rPr>
          <t>Recover Point Objective (RPO) is the acceptable amount of data loss you can have measured in hours.
In terms of log replication, this means how behind can you get in log shipping?
For geographically dispersed CCR, this value does not apply since you cannot get behind in log replication; otherwise your storage groups will not mount upon failover.  
For SCR, the RPO choice will determine your bandwidth requirements.  The lower the RPO (a value of 1 essentially means you want to only lose the open log file), the higher the bandwidth you need because you cannot get behind in log replication.  The higher the RPO (approaching 24) less bandwidth is needed as you are expecting to be behind (up to x hours) in log replication.</t>
        </r>
      </text>
    </comment>
  </commentList>
</comments>
</file>

<file path=xl/comments2.xml><?xml version="1.0" encoding="utf-8"?>
<comments xmlns="http://schemas.openxmlformats.org/spreadsheetml/2006/main">
  <authors>
    <author>Ross Smith IV</author>
    <author>rosssmi</author>
  </authors>
  <commentList>
    <comment ref="A10" authorId="0">
      <text>
        <r>
          <rPr>
            <sz val="9"/>
            <color indexed="81"/>
            <rFont val="Tahoma"/>
            <family val="2"/>
          </rPr>
          <t>Calculated number of mailboxes that includes growth factor.</t>
        </r>
      </text>
    </comment>
    <comment ref="E10" authorId="0">
      <text>
        <r>
          <rPr>
            <sz val="9"/>
            <color indexed="81"/>
            <rFont val="Tahoma"/>
            <family val="2"/>
          </rPr>
          <t>Calculated number of mailboxes that includes growth factor.</t>
        </r>
      </text>
    </comment>
    <comment ref="A11" authorId="0">
      <text>
        <r>
          <rPr>
            <sz val="8"/>
            <color indexed="81"/>
            <rFont val="Tahoma"/>
            <family val="2"/>
          </rPr>
          <t>This is the user profile based on the number of messages a user sends and receives each day.</t>
        </r>
      </text>
    </comment>
    <comment ref="E11" authorId="0">
      <text>
        <r>
          <rPr>
            <sz val="8"/>
            <color indexed="81"/>
            <rFont val="Tahoma"/>
            <family val="2"/>
          </rPr>
          <t>This is the user profile based on the number of messages a user sends and receives each day.</t>
        </r>
      </text>
    </comment>
    <comment ref="A12" authorId="0">
      <text>
        <r>
          <rPr>
            <sz val="8"/>
            <color indexed="81"/>
            <rFont val="Tahoma"/>
            <family val="2"/>
          </rPr>
          <t xml:space="preserve">This is the memory profile per user based on the send/receive capability.
The memory configuration process for the Mailbox role is more involved than the other roles since the optimal memory configuration depends upon the mailbox count and the client profile (similar to estimating processor core requirements). Memory sizing for the Mailbox role is critical to reducing the I/O requirements of the server. The more memory you add to the Mailbox server, the less I/O will be generated by the Exchange databases. There is a point of diminishing returns; in which adding additional memory to the server may not be justified based on price/performance. Memory guidance outlined here takes this point of diminishing returns in to account based on current memory prices and performance metrics. Also, defining the memory configuration of the Exchange 2007 Mailbox server is required prior to defining the storage requirements/configuration. The following table can be used to assist in estimating the memory requirements of a given mailbox server with a given number of hosted mailboxes with a given profile type:
Light Profile- 2MB/mailbox 
Average Profile - 3.5MB/mailbox
Heavy Profile - 5MB/mailbox
For more information, please see http://msexchangeteam.com/archive/2006/09/25/428994.aspx </t>
        </r>
      </text>
    </comment>
    <comment ref="E12" authorId="0">
      <text>
        <r>
          <rPr>
            <sz val="8"/>
            <color indexed="81"/>
            <rFont val="Tahoma"/>
            <family val="2"/>
          </rPr>
          <t xml:space="preserve">This is the memory profile per user based on the send/receive capability.
The memory configuration process for the Mailbox role is more involved than the other roles since the optimal memory configuration depends upon the mailbox count and the client profile (similar to estimating processor core requirements). Memory sizing for the Mailbox role is critical to reducing the I/O requirements of the server. The more memory you add to the Mailbox server, the less I/O will be generated by the Exchange databases. There is a point of diminishing returns; in which adding additional memory to the server may not be justified based on price/performance. Memory guidance outlined here takes this point of diminishing returns in to account based on current memory prices and performance metrics. Also, defining the memory configuration of the Exchange 2007 Mailbox server is required prior to defining the storage requirements/configuration. The following table can be used to assist in estimating the memory requirements of a given mailbox server with a given number of hosted mailboxes with a given profile type:
Light Profile- 2MB/mailbox 
Average Profile - 3.5MB/mailbox
Heavy Profile - 5MB/mailbox
For more information, please see http://msexchangeteam.com/archive/2006/09/25/428994.aspx </t>
        </r>
      </text>
    </comment>
    <comment ref="A13" authorId="0">
      <text>
        <r>
          <rPr>
            <sz val="9"/>
            <color indexed="81"/>
            <rFont val="Tahoma"/>
            <family val="2"/>
          </rPr>
          <t xml:space="preserve">This is the number of transaction logs that are generated per mailbox per day.  This number is based on the message profile; as the message profile increases, the number of transaction logs will increase.
The transaction logs generated / mailbox is based on the message profile selected and the message size.  The default values are based on a 50KB message size.  
The initial impact to the transaction log generation occurs when the message size doubles; in this case the transaction log generation will increase by a factor of 1.9.  Thereafter, as the message size doubles, the impact to the log generation will also double.  </t>
        </r>
      </text>
    </comment>
    <comment ref="E13" authorId="0">
      <text>
        <r>
          <rPr>
            <sz val="9"/>
            <color indexed="81"/>
            <rFont val="Tahoma"/>
            <family val="2"/>
          </rPr>
          <t xml:space="preserve">This is the number of transaction logs that are generated per mailbox per day.  This number is based on the message profile; as the message profile increases, the number of transaction logs will increase.
The transaction logs generated / mailbox is based on the message profile selected and the message size.  The default values are based on a 50KB message size.  
The initial impact to the transaction log generation occurs when the message size doubles; in this case the transaction log generation will increase by a factor of 1.9.  Thereafter, as the message size doubles, the impact to the log generation will also double.  </t>
        </r>
      </text>
    </comment>
    <comment ref="A14" authorId="0">
      <text>
        <r>
          <rPr>
            <sz val="8"/>
            <color indexed="81"/>
            <rFont val="Tahoma"/>
            <family val="2"/>
          </rPr>
          <t>This is the actual mailbox you must allocate in terms of capacity design.  This value includes deleted item retention and whitespace calculations.
The Whitespace calculation is based on the number of messages sent and received in a single day and can basically be considered the average database daily churn per mailbox.
The deleted item retention is based on the number of messages sent and received per day times the deleted item retention window.</t>
        </r>
      </text>
    </comment>
    <comment ref="E14" authorId="0">
      <text>
        <r>
          <rPr>
            <sz val="8"/>
            <color indexed="81"/>
            <rFont val="Tahoma"/>
            <family val="2"/>
          </rPr>
          <t>This is the actual mailbox you must allocate in terms of capacity design.  This value includes deleted item retention and whitespace calculations.
The Whitespace calculation is based on the number of messages sent and received in a single day and can basically be considered the average database daily churn per mailbox.
The deleted item retention is based on the number of messages sent and received per day times the deleted item retention window.</t>
        </r>
      </text>
    </comment>
    <comment ref="A15" authorId="0">
      <text>
        <r>
          <rPr>
            <sz val="8"/>
            <color indexed="81"/>
            <rFont val="Tahoma"/>
            <family val="2"/>
          </rPr>
          <t>This is the calculated database cache / mailbox based on the number of mailboxes, number of mailbox stores, and the necessary amount of RAM to sustain the user.</t>
        </r>
      </text>
    </comment>
    <comment ref="E15" authorId="0">
      <text>
        <r>
          <rPr>
            <sz val="8"/>
            <color indexed="81"/>
            <rFont val="Tahoma"/>
            <family val="2"/>
          </rPr>
          <t>This is the calculated database cache / mailbox based on the number of mailboxes, number of mailbox stores, and the necessary amount of RAM to sustain the user.</t>
        </r>
      </text>
    </comment>
    <comment ref="A16" authorId="0">
      <text>
        <r>
          <rPr>
            <sz val="8"/>
            <color indexed="81"/>
            <rFont val="Tahoma"/>
            <family val="2"/>
          </rPr>
          <t xml:space="preserve">This calculation determines the database reads that will occur per mailbox.
Unlike Cached Exchange Mode clients, all Online Mode client operations occur against the database. As a result, read I/O operations will increase against the database. Therefore, the following guidelines have been established if the majority of clients will operate in Online Mode:
- 250 MB Online Mode clients will increase database read operations by a factor of 1.5 when compared with Cached Exchange Mode clients. Below 250 MB, the impact is negligible.
- As mailbox size doubles, the database read IOPS will also double (assuming equal item distribution between key folders remains the same).
</t>
        </r>
      </text>
    </comment>
    <comment ref="E16" authorId="0">
      <text>
        <r>
          <rPr>
            <sz val="8"/>
            <color indexed="81"/>
            <rFont val="Tahoma"/>
            <family val="2"/>
          </rPr>
          <t xml:space="preserve">This calculation determines the database reads that will occur per mailbox.
Unlike Cached Exchange Mode clients, all Online Mode client operations occur against the database. As a result, read I/O operations will increase against the database. Therefore, the following guidelines have been established if the majority of clients will operate in Online Mode:
- 250 MB Online Mode clients will increase database read operations by a factor of 1.5 when compared with Cached Exchange Mode clients. Below 250 MB, the impact is negligible.
- As mailbox size doubles, the database read IOPS will also double (assuming equal item distribution between key folders remains the same).
</t>
        </r>
      </text>
    </comment>
    <comment ref="A17" authorId="0">
      <text>
        <r>
          <rPr>
            <sz val="8"/>
            <color indexed="81"/>
            <rFont val="Tahoma"/>
            <family val="2"/>
          </rPr>
          <t>This calculation will determine the number of database writes / mailbox.</t>
        </r>
      </text>
    </comment>
    <comment ref="E17" authorId="0">
      <text>
        <r>
          <rPr>
            <sz val="8"/>
            <color indexed="81"/>
            <rFont val="Tahoma"/>
            <family val="2"/>
          </rPr>
          <t>This calculation will determine the number of database writes / mailbox.</t>
        </r>
      </text>
    </comment>
    <comment ref="A18" authorId="0">
      <text>
        <r>
          <rPr>
            <sz val="9"/>
            <color indexed="81"/>
            <rFont val="Tahoma"/>
            <family val="2"/>
          </rPr>
          <t>This is the calculated read:write ratio for the mailbox tier based on the calculated database reads and writes as a result of the IOPS prediction formula.</t>
        </r>
      </text>
    </comment>
    <comment ref="E18" authorId="0">
      <text>
        <r>
          <rPr>
            <sz val="9"/>
            <color indexed="81"/>
            <rFont val="Tahoma"/>
            <family val="2"/>
          </rPr>
          <t>This is the calculated read:write ratio for the mailbox tier based on the calculated database reads and writes as a result of the IOPS prediction formula.</t>
        </r>
      </text>
    </comment>
    <comment ref="A19" authorId="0">
      <text>
        <r>
          <rPr>
            <sz val="8"/>
            <color indexed="81"/>
            <rFont val="Tahoma"/>
            <family val="2"/>
          </rPr>
          <t xml:space="preserve">This is the calculated IOPS profile / mailbox based on the input factors.
Note: The IOPS Calculation has an accuracy of +/- 20% accuracy and does not include 3rd Party Products that may generate addition Database Reads and Writes.
</t>
        </r>
      </text>
    </comment>
    <comment ref="E19" authorId="0">
      <text>
        <r>
          <rPr>
            <sz val="8"/>
            <color indexed="81"/>
            <rFont val="Tahoma"/>
            <family val="2"/>
          </rPr>
          <t xml:space="preserve">This is the calculated IOPS profile / mailbox based on the input factors.
Note: The IOPS Calculation has an accuracy of +/- 20% accuracy and does not include 3rd Party Products that may generate addition Database Reads and Writes.
</t>
        </r>
      </text>
    </comment>
    <comment ref="A20" authorId="0">
      <text>
        <r>
          <rPr>
            <sz val="9"/>
            <color indexed="81"/>
            <rFont val="Tahoma"/>
            <family val="2"/>
          </rPr>
          <t>This is the amount of database disk transfers (host perspective) generated by the mailbox tier.  This value also takes into account user concurrency.</t>
        </r>
      </text>
    </comment>
    <comment ref="E20" authorId="0">
      <text>
        <r>
          <rPr>
            <sz val="9"/>
            <color indexed="81"/>
            <rFont val="Tahoma"/>
            <family val="2"/>
          </rPr>
          <t>This is the amount of database disk transfers (host perspective) generated by the mailbox tier.  This value also takes into account user concurrency.</t>
        </r>
      </text>
    </comment>
    <comment ref="A21" authorId="0">
      <text>
        <r>
          <rPr>
            <sz val="9"/>
            <color indexed="81"/>
            <rFont val="Tahoma"/>
            <family val="2"/>
          </rPr>
          <t>This is the number of database read disk transfers (host perspective) generated by the mailbox tier.</t>
        </r>
      </text>
    </comment>
    <comment ref="E21" authorId="0">
      <text>
        <r>
          <rPr>
            <sz val="9"/>
            <color indexed="81"/>
            <rFont val="Tahoma"/>
            <family val="2"/>
          </rPr>
          <t>This is the number of database read disk transfers (host perspective) generated by the mailbox tier.</t>
        </r>
      </text>
    </comment>
    <comment ref="A22" authorId="0">
      <text>
        <r>
          <rPr>
            <sz val="9"/>
            <color indexed="81"/>
            <rFont val="Tahoma"/>
            <family val="2"/>
          </rPr>
          <t>This is the number of database write transfers (host perspective) generated by the mailbox tier.</t>
        </r>
      </text>
    </comment>
    <comment ref="E22" authorId="0">
      <text>
        <r>
          <rPr>
            <sz val="9"/>
            <color indexed="81"/>
            <rFont val="Tahoma"/>
            <family val="2"/>
          </rPr>
          <t>This is the number of database write transfers (host perspective) generated by the mailbox tier.</t>
        </r>
      </text>
    </comment>
    <comment ref="A25" authorId="0">
      <text>
        <r>
          <rPr>
            <sz val="9"/>
            <color indexed="81"/>
            <rFont val="Tahoma"/>
            <family val="2"/>
          </rPr>
          <t>Calculated number of mailboxes that includes growth factor.</t>
        </r>
      </text>
    </comment>
    <comment ref="E25" authorId="0">
      <text>
        <r>
          <rPr>
            <sz val="9"/>
            <color indexed="81"/>
            <rFont val="Tahoma"/>
            <family val="2"/>
          </rPr>
          <t>This is the aggregate database read:write ratio based on the different mailbox tier's read:write ratios.</t>
        </r>
      </text>
    </comment>
    <comment ref="A26" authorId="0">
      <text>
        <r>
          <rPr>
            <sz val="8"/>
            <color indexed="81"/>
            <rFont val="Tahoma"/>
            <family val="2"/>
          </rPr>
          <t>This is the user profile based on the number of messages a user sends and receives each day.</t>
        </r>
      </text>
    </comment>
    <comment ref="E26" authorId="1">
      <text>
        <r>
          <rPr>
            <sz val="8"/>
            <color indexed="81"/>
            <rFont val="Tahoma"/>
            <family val="2"/>
          </rPr>
          <t>This is the amount of database IOPS that the must be sustained from the host server perspective for the concurrent users during peak hours.
This value will take into account the I/O overhead value and the additional IOPS requirement.</t>
        </r>
      </text>
    </comment>
    <comment ref="A27" authorId="0">
      <text>
        <r>
          <rPr>
            <sz val="8"/>
            <color indexed="81"/>
            <rFont val="Tahoma"/>
            <family val="2"/>
          </rPr>
          <t xml:space="preserve">This is the memory profile per user based on the send/receive capability.
The memory configuration process for the Mailbox role is more involved than the other roles since the optimal memory configuration depends upon the mailbox count and the client profile (similar to estimating processor core requirements). Memory sizing for the Mailbox role is critical to reducing the I/O requirements of the server. The more memory you add to the Mailbox server, the less I/O will be generated by the Exchange databases. There is a point of diminishing returns; in which adding additional memory to the server may not be justified based on price/performance. Memory guidance outlined here takes this point of diminishing returns in to account based on current memory prices and performance metrics. Also, defining the memory configuration of the Exchange 2007 Mailbox server is required prior to defining the storage requirements/configuration. The following table can be used to assist in estimating the memory requirements of a given mailbox server with a given number of hosted mailboxes with a given profile type:
Light Profile- 2MB/mailbox 
Average Profile - 3.5MB/mailbox
Heavy Profile - 5MB/mailbox
For more information, please see http://msexchangeteam.com/archive/2006/09/25/428994.aspx </t>
        </r>
      </text>
    </comment>
    <comment ref="E27" authorId="1">
      <text>
        <r>
          <rPr>
            <sz val="8"/>
            <color indexed="81"/>
            <rFont val="Tahoma"/>
            <family val="2"/>
          </rPr>
          <t>Number of database read transfers per second measured at the host that must be supported.</t>
        </r>
      </text>
    </comment>
    <comment ref="A28" authorId="0">
      <text>
        <r>
          <rPr>
            <sz val="9"/>
            <color indexed="81"/>
            <rFont val="Tahoma"/>
            <family val="2"/>
          </rPr>
          <t xml:space="preserve">This is the number of transaction logs that are generated per mailbox per day.  This number is based on the message profile; as the message profile increases, the number of transaction logs will increase.
The transaction logs generated / mailbox is based on the message profile selected and the message size.  The default values are based on a 50KB message size.  
The initial impact to the transaction log generation occurs when the message size doubles; in this case the transaction log generation will increase by a factor of 1.9.  Thereafter, as the message size doubles, the impact to the log generation will also double.  </t>
        </r>
      </text>
    </comment>
    <comment ref="E28" authorId="1">
      <text>
        <r>
          <rPr>
            <sz val="8"/>
            <color indexed="81"/>
            <rFont val="Tahoma"/>
            <family val="2"/>
          </rPr>
          <t>Number of database write transfers per second measured at the host that must be supported.</t>
        </r>
      </text>
    </comment>
    <comment ref="A29" authorId="0">
      <text>
        <r>
          <rPr>
            <sz val="8"/>
            <color indexed="81"/>
            <rFont val="Tahoma"/>
            <family val="2"/>
          </rPr>
          <t>This is the actual mailbox you must allocate in terms of capacity design.  This value includes deleted item retention and whitespace calculations.
The Whitespace calculation is based on the number of messages sent and received in a single day and can basically be considered the average database daily churn per mailbox.
The deleted item retention is based on the number of messages sent and received per day times the deleted item retention window.</t>
        </r>
      </text>
    </comment>
    <comment ref="E29" authorId="1">
      <text>
        <r>
          <rPr>
            <sz val="8"/>
            <color indexed="81"/>
            <rFont val="Tahoma"/>
            <family val="2"/>
          </rPr>
          <t>With Exchange 2007 a reduction in database reads, a smaller log file size, and more storage groups have the log to database write ratio being fairly equal.  For example, if the database LUN is consuming 500 write I/Os, you could expect your log LUN to consume approximately 375 write I/Os.  The ratio of log to database writes is roughly 3:4, or you can expect 3/4th's the number of log writes and compared to database writes for the same storage group.  After measuring or predicting the transactional log I/O, apply a 20% I/O overhead factor to ensure adequate headroom for busier than normal periods.</t>
        </r>
      </text>
    </comment>
    <comment ref="A30" authorId="0">
      <text>
        <r>
          <rPr>
            <sz val="8"/>
            <color indexed="81"/>
            <rFont val="Tahoma"/>
            <family val="2"/>
          </rPr>
          <t>This is the calculated database cache / mailbox based on the number of mailboxes, number of mailbox stores, and the necessary amount of RAM to sustain the user.</t>
        </r>
      </text>
    </comment>
    <comment ref="E30" authorId="0">
      <text>
        <r>
          <rPr>
            <sz val="8"/>
            <color indexed="81"/>
            <rFont val="Tahoma"/>
            <family val="2"/>
          </rPr>
          <t>When using continuous replication, the primary transaction logs must be read and sent to the passive LUN.  This additional overhead, only with continuous replication, is an additional 10% in log reads.  If the transaction log for a storage group, was consuming 500 write I/Os, you could expect an additional 50 read I/Os with continuous replication.</t>
        </r>
      </text>
    </comment>
    <comment ref="A31" authorId="0">
      <text>
        <r>
          <rPr>
            <sz val="8"/>
            <color indexed="81"/>
            <rFont val="Tahoma"/>
            <family val="2"/>
          </rPr>
          <t xml:space="preserve">This calculation determines the database reads that will occur per mailbox.
Unlike Cached Exchange Mode clients, all Online Mode client operations occur against the database. As a result, read I/O operations will increase against the database. Therefore, the following guidelines have been established if the majority of clients will operate in Online Mode:
- 250 MB Online Mode clients will increase database read operations by a factor of 1.5 when compared with Cached Exchange Mode clients. Below 250 MB, the impact is negligible.
- As mailbox size doubles, the database read IOPS will also double (assuming equal item distribution between key folders remains the same).
</t>
        </r>
      </text>
    </comment>
    <comment ref="A32" authorId="0">
      <text>
        <r>
          <rPr>
            <sz val="8"/>
            <color indexed="81"/>
            <rFont val="Tahoma"/>
            <family val="2"/>
          </rPr>
          <t>This calculation will determine the number of database writes / mailbox.</t>
        </r>
      </text>
    </comment>
    <comment ref="A33" authorId="0">
      <text>
        <r>
          <rPr>
            <sz val="9"/>
            <color indexed="81"/>
            <rFont val="Tahoma"/>
            <family val="2"/>
          </rPr>
          <t>This is the calculated read:write ratio for the mailbox tier based on the calculated database reads and writes as a result of the IOPS prediction formula.</t>
        </r>
      </text>
    </comment>
    <comment ref="A34" authorId="0">
      <text>
        <r>
          <rPr>
            <sz val="8"/>
            <color indexed="81"/>
            <rFont val="Tahoma"/>
            <family val="2"/>
          </rPr>
          <t xml:space="preserve">This is the calculated IOPS profile / mailbox based on the input factors.
Note: The IOPS Calculation has an accuracy of +/- 20% accuracy and does not include 3rd Party Products that may generate addition Database Reads and Writes.
</t>
        </r>
      </text>
    </comment>
    <comment ref="E34" authorId="0">
      <text>
        <r>
          <rPr>
            <sz val="9"/>
            <color indexed="81"/>
            <rFont val="Tahoma"/>
            <family val="2"/>
          </rPr>
          <t>This is the ratio for the number of Tier-1 mailboxes when compared with the total mailboxes on the server.</t>
        </r>
      </text>
    </comment>
    <comment ref="A35" authorId="0">
      <text>
        <r>
          <rPr>
            <sz val="9"/>
            <color indexed="81"/>
            <rFont val="Tahoma"/>
            <family val="2"/>
          </rPr>
          <t>This is the amount of database disk transfers (host perspective) generated by the mailbox tier.  This value also takes into account user concurrency.</t>
        </r>
      </text>
    </comment>
    <comment ref="E35" authorId="0">
      <text>
        <r>
          <rPr>
            <sz val="9"/>
            <color indexed="81"/>
            <rFont val="Tahoma"/>
            <family val="2"/>
          </rPr>
          <t>This is the ratio for the number of Tier-2 mailboxes when compared with the total mailboxes on the server.</t>
        </r>
      </text>
    </comment>
    <comment ref="A36" authorId="0">
      <text>
        <r>
          <rPr>
            <sz val="9"/>
            <color indexed="81"/>
            <rFont val="Tahoma"/>
            <family val="2"/>
          </rPr>
          <t>This is the number of database read disk transfers (host perspective) generated by the mailbox tier.</t>
        </r>
      </text>
    </comment>
    <comment ref="E36" authorId="0">
      <text>
        <r>
          <rPr>
            <sz val="9"/>
            <color indexed="81"/>
            <rFont val="Tahoma"/>
            <family val="2"/>
          </rPr>
          <t>This is the ratio for the number of Tier-3 mailboxes when compared with the total mailboxes on the server.</t>
        </r>
      </text>
    </comment>
    <comment ref="A37" authorId="0">
      <text>
        <r>
          <rPr>
            <sz val="9"/>
            <color indexed="81"/>
            <rFont val="Tahoma"/>
            <family val="2"/>
          </rPr>
          <t>This is the number of database write transfers (host perspective) generated by the mailbox tier.</t>
        </r>
      </text>
    </comment>
    <comment ref="E37" authorId="0">
      <text>
        <r>
          <rPr>
            <sz val="8"/>
            <color indexed="81"/>
            <rFont val="Tahoma"/>
            <family val="2"/>
          </rPr>
          <t>The number of users per database that is calculated here is based on ensuring that the recommended maximum database size is not exceeded.</t>
        </r>
      </text>
    </comment>
    <comment ref="E38" authorId="0">
      <text>
        <r>
          <rPr>
            <sz val="8"/>
            <color indexed="81"/>
            <rFont val="Tahoma"/>
            <family val="2"/>
          </rPr>
          <t>This is the recommended number of mailboxes per database that should be deployed.  This value may differ from the calculated number of mailboxes per database when the recommended number of databases reaches 50.</t>
        </r>
      </text>
    </comment>
    <comment ref="E39" authorId="0">
      <text>
        <r>
          <rPr>
            <sz val="9"/>
            <color indexed="81"/>
            <rFont val="Tahoma"/>
            <family val="2"/>
          </rPr>
          <t>This is the number of mailboxes within the specified tier that will be placed on each database.</t>
        </r>
      </text>
    </comment>
    <comment ref="A40" authorId="0">
      <text>
        <r>
          <rPr>
            <sz val="9"/>
            <color indexed="81"/>
            <rFont val="Tahoma"/>
            <family val="2"/>
          </rPr>
          <t>This is the total number of mailboxes in the environment.</t>
        </r>
      </text>
    </comment>
    <comment ref="E40" authorId="0">
      <text>
        <r>
          <rPr>
            <sz val="9"/>
            <color indexed="81"/>
            <rFont val="Tahoma"/>
            <family val="2"/>
          </rPr>
          <t>This is the number of mailboxes within the specified tier that will be placed on each database.</t>
        </r>
      </text>
    </comment>
    <comment ref="A41" authorId="0">
      <text>
        <r>
          <rPr>
            <sz val="9"/>
            <color indexed="81"/>
            <rFont val="Tahoma"/>
            <family val="2"/>
          </rPr>
          <t>This is the total number of mailboxes on the server.</t>
        </r>
      </text>
    </comment>
    <comment ref="E41" authorId="0">
      <text>
        <r>
          <rPr>
            <sz val="9"/>
            <color indexed="81"/>
            <rFont val="Tahoma"/>
            <family val="2"/>
          </rPr>
          <t>This is the number of mailboxes within the specified tier that will be placed on each database.</t>
        </r>
      </text>
    </comment>
    <comment ref="A42" authorId="0">
      <text>
        <r>
          <rPr>
            <sz val="8"/>
            <color indexed="81"/>
            <rFont val="Tahoma"/>
            <family val="2"/>
          </rPr>
          <t>This is the amount needed by Store/ESE to help alleviate database reads and writes per user.</t>
        </r>
      </text>
    </comment>
    <comment ref="E42" authorId="0">
      <text>
        <r>
          <rPr>
            <sz val="8"/>
            <color indexed="81"/>
            <rFont val="Tahoma"/>
            <family val="2"/>
          </rPr>
          <t xml:space="preserve">This is the recommended number of databases that should be deployed, with a maximum number being 50 databases.  </t>
        </r>
      </text>
    </comment>
    <comment ref="A43" authorId="0">
      <text>
        <r>
          <rPr>
            <sz val="8"/>
            <color indexed="81"/>
            <rFont val="Tahoma"/>
            <family val="2"/>
          </rPr>
          <t>The maximum number of Storage Groups configurable in Exchange 2007 has been increased to 50 in the Enterprise Edition (up from 4 with Exchange 2003).  This increase provides much greater flexibility in server/storage architecture, but the increase has a significant effect on the memory utilization of the Exchange 2007 Mailbox server so Storage Group count is now a factor in minimum memory configuration for Mailbox servers.  Increasing the number of Storage Groups primarily effects the Database Cache utilization of ESE (Extensible Storage Engine).  The ESE Database Cache is used for both read and write activity.  Due to the way Checkpointing works, adding a Storage Group effectively increases the amount of the Database Cache used for write activity.  This has a positive impact of reducing database write I/O; but if too many Storage Groups are configured on a server with insufficient physical memory, the effectiveness of the database read cache may be reduced which may have an overall negative effect on the performance of the server.
If LCR is enabled, we will also add an additional 1GB of RAM to the system.</t>
        </r>
      </text>
    </comment>
    <comment ref="A44" authorId="0">
      <text>
        <r>
          <rPr>
            <sz val="8"/>
            <color indexed="81"/>
            <rFont val="Tahoma"/>
            <family val="2"/>
          </rPr>
          <t>This is the calculated amount of RAM required for the  Exchange 2007 mailbox server based on the message profile.
If LCR is enabled, we will also add an additional 1GB of RAM to the system.</t>
        </r>
      </text>
    </comment>
    <comment ref="A47" authorId="0">
      <text>
        <r>
          <rPr>
            <sz val="8"/>
            <color indexed="81"/>
            <rFont val="Tahoma"/>
            <family val="2"/>
          </rPr>
          <t>This is the calculated number of transaction logs that are generated per day for the server.
This includes the data overhead factor.</t>
        </r>
      </text>
    </comment>
    <comment ref="E47" authorId="1">
      <text>
        <r>
          <rPr>
            <sz val="8"/>
            <color indexed="81"/>
            <rFont val="Tahoma"/>
            <family val="2"/>
          </rPr>
          <t>The calculated amount of database disk space required based on the mailbox size and number of users.</t>
        </r>
      </text>
    </comment>
    <comment ref="A48" authorId="0">
      <text>
        <r>
          <rPr>
            <sz val="8"/>
            <color indexed="81"/>
            <rFont val="Tahoma"/>
            <family val="2"/>
          </rPr>
          <t>This is the number of transaction logs generated per storage group per day.
This includes the data overhead factor.</t>
        </r>
      </text>
    </comment>
    <comment ref="E48" authorId="0">
      <text>
        <r>
          <rPr>
            <sz val="8"/>
            <color indexed="81"/>
            <rFont val="Tahoma"/>
            <family val="2"/>
          </rPr>
          <t>This calculation determines the amount of transaction log disk space needed for backup/recovery and mailbox moves and incorporates data growth overhead.</t>
        </r>
      </text>
    </comment>
    <comment ref="A49" authorId="0">
      <text>
        <r>
          <rPr>
            <sz val="8"/>
            <color indexed="81"/>
            <rFont val="Tahoma"/>
            <family val="2"/>
          </rPr>
          <t xml:space="preserve">Calculated log disk capacity required based on the number of backups (full and incremental/differential) performed. 
This is basically the formula being used:
NumTLogs x factor
= [If SCRReplayLagTime=0 and SCRTargets&lt;&gt;0 then 50 + NumTLogs, otherwise just NumTLogs] x factor
Where factor is
- If performing daily differential backups, factor  = MAX(MAX(7,MAX(BackupFailureTol, NetFailureTol)SCRReplayLagTime+SCRTruncationLagTime),7*MAX(BackupFailureTol, NetFailureTol))
  - If restore LUN = yes, factor = MAX(SCRReplayLagTime+SCRTruncationLagTime,MAX(BackupFailureTol, NetFailureTol))
   - If restore LUN =no and performing daily incremental backups, factor = MAX(MAX(BackupFailureTol, NetFailureTol),SCRReplayLagTime+SCRTruncationLagTime,7)
  - If restore LUN=no and performing daily full backups, factor = MAX(SCRReplayLagTime+SCRTruncationLagTime,MAX(BackupFailureTol, NetFailureTol))
</t>
        </r>
      </text>
    </comment>
    <comment ref="A50" authorId="0">
      <text>
        <r>
          <rPr>
            <sz val="8"/>
            <color indexed="81"/>
            <rFont val="Tahoma"/>
            <family val="2"/>
          </rPr>
          <t>Calculated log disk capacity required based on the number of mailboxes that may be moved in a single night.
This includes the data overhead factor.</t>
        </r>
      </text>
    </comment>
    <comment ref="A51" authorId="0">
      <text>
        <r>
          <rPr>
            <sz val="9"/>
            <color indexed="81"/>
            <rFont val="Tahoma"/>
            <family val="2"/>
          </rPr>
          <t>This is the number of transaction logs that will be generated throughout the week during mailbox moves.</t>
        </r>
      </text>
    </comment>
    <comment ref="E51" authorId="0">
      <text>
        <r>
          <rPr>
            <sz val="9"/>
            <color indexed="81"/>
            <rFont val="Tahoma"/>
            <family val="2"/>
          </rPr>
          <t>The number of days the SCR target waits before replaying logs into the database.</t>
        </r>
      </text>
    </comment>
    <comment ref="A52" authorId="0">
      <text>
        <r>
          <rPr>
            <sz val="9"/>
            <color indexed="81"/>
            <rFont val="Tahoma"/>
            <family val="2"/>
          </rPr>
          <t>This is the number of storage group transaction logs that will be generated throughout the week during mailbox moves.</t>
        </r>
      </text>
    </comment>
    <comment ref="E52" authorId="0">
      <text>
        <r>
          <rPr>
            <sz val="9"/>
            <color indexed="81"/>
            <rFont val="Tahoma"/>
            <family val="2"/>
          </rPr>
          <t>The number of days the SCR target waits before truncating logs.</t>
        </r>
      </text>
    </comment>
    <comment ref="A53" authorId="0">
      <text>
        <r>
          <rPr>
            <sz val="9"/>
            <color indexed="81"/>
            <rFont val="Tahoma"/>
            <family val="2"/>
          </rPr>
          <t>This is the number of transaction logs that will be generated throughout the day during mailbox moves (assuming that mailboxes are moved throughout the whole week as opposed to being moved on a single day).
This includes the data overhead factor.</t>
        </r>
      </text>
    </comment>
    <comment ref="A54" authorId="0">
      <text>
        <r>
          <rPr>
            <sz val="9"/>
            <color indexed="81"/>
            <rFont val="Tahoma"/>
            <family val="2"/>
          </rPr>
          <t>This is the number of storage group transaction logs that will be generated throughout the day during mailbox moves (assuming that mailboxes are moved throughout the whole week as opposed to being moved on a single day).
This includes the data overhead factor.</t>
        </r>
      </text>
    </comment>
    <comment ref="A55" authorId="0">
      <text>
        <r>
          <rPr>
            <sz val="9"/>
            <color indexed="81"/>
            <rFont val="Tahoma"/>
            <family val="2"/>
          </rPr>
          <t>This is the total transaction logs generated for both user and mailbox moves per storage group each day.</t>
        </r>
      </text>
    </comment>
    <comment ref="A56" authorId="0">
      <text>
        <r>
          <rPr>
            <sz val="9"/>
            <color indexed="81"/>
            <rFont val="Tahoma"/>
            <family val="2"/>
          </rPr>
          <t>This is the total transaction logs generated for both user and mailbox moves for the server each day.</t>
        </r>
      </text>
    </comment>
    <comment ref="A61" authorId="0">
      <text>
        <r>
          <rPr>
            <sz val="9"/>
            <color indexed="81"/>
            <rFont val="Tahoma"/>
            <family val="2"/>
          </rPr>
          <t>The number of mailbox server instances that are being deployed in this environment.</t>
        </r>
      </text>
    </comment>
    <comment ref="A62" authorId="0">
      <text>
        <r>
          <rPr>
            <sz val="9"/>
            <color indexed="81"/>
            <rFont val="Tahoma"/>
            <family val="2"/>
          </rPr>
          <t>The number of SCR target servers that will exist in the environment.
For SCR targets, it is assumed that if you are utilizing CCR as the source and you are matching the source HA configuration for the SCR target, then you will be replicating the storage groups to both nodes of the SCR standby cluster.</t>
        </r>
      </text>
    </comment>
    <comment ref="A63" authorId="0">
      <text>
        <r>
          <rPr>
            <sz val="9"/>
            <color indexed="81"/>
            <rFont val="Tahoma"/>
            <family val="2"/>
          </rPr>
          <t>If Continuous Replication is enabled at the source (i.e. CCR or LCR), then there will be 2 copies of data.
In addition, if you will be using Standby Continuous Replication (SCR), then additional copies will be listed.
For SCR targets, it is assumed that if you are utilizing CCR as the source and you are matching the source HA configuration for the SCR target, then you will be replicating the storage groups to both nodes of the SCR standby cluster.</t>
        </r>
      </text>
    </comment>
    <comment ref="A66" authorId="0">
      <text>
        <r>
          <rPr>
            <sz val="8"/>
            <color indexed="81"/>
            <rFont val="Tahoma"/>
            <family val="2"/>
          </rPr>
          <t>Number of users per mailbox server.</t>
        </r>
      </text>
    </comment>
    <comment ref="A67" authorId="0">
      <text>
        <r>
          <rPr>
            <sz val="8"/>
            <color indexed="81"/>
            <rFont val="Tahoma"/>
            <family val="2"/>
          </rPr>
          <t>This is the actual mailbox you must allocate in terms of capacity design.  This value includes deleted item retention and whitespace calculations.
The Whitespace calculation is based on the number of messages sent and received in a single day and can basically be considered the average database daily churn per mailbox.
The deleted item retention is based on the number of messages sent and received per day times the deleted item retention window.</t>
        </r>
      </text>
    </comment>
    <comment ref="A68" authorId="0">
      <text>
        <r>
          <rPr>
            <sz val="8"/>
            <color indexed="81"/>
            <rFont val="Tahoma"/>
            <family val="2"/>
          </rPr>
          <t>This is the database cache  per mailbox calculated from the amount of RAM available to the store process.</t>
        </r>
      </text>
    </comment>
    <comment ref="A69" authorId="0">
      <text>
        <r>
          <rPr>
            <sz val="9"/>
            <color indexed="81"/>
            <rFont val="Tahoma"/>
            <family val="2"/>
          </rPr>
          <t>Number of transaction logs generated per mailbox.</t>
        </r>
      </text>
    </comment>
    <comment ref="A70" authorId="0">
      <text>
        <r>
          <rPr>
            <sz val="8"/>
            <color indexed="81"/>
            <rFont val="Tahoma"/>
            <family val="2"/>
          </rPr>
          <t>This is the calculated IOPS profile / mailbox based on the input factors.</t>
        </r>
      </text>
    </comment>
    <comment ref="A73" authorId="0">
      <text>
        <r>
          <rPr>
            <sz val="8"/>
            <color indexed="81"/>
            <rFont val="Tahoma"/>
            <family val="2"/>
          </rPr>
          <t>This is the recommended amount of RAM the  Exchange 2007 mailbox server should contain based on design requirements.</t>
        </r>
      </text>
    </comment>
    <comment ref="A74" authorId="0">
      <text>
        <r>
          <rPr>
            <sz val="8"/>
            <color indexed="81"/>
            <rFont val="Tahoma"/>
            <family val="2"/>
          </rPr>
          <t>This is the recommended number databases that should be created on the server based on the design requirements.</t>
        </r>
      </text>
    </comment>
    <comment ref="A75" authorId="0">
      <text>
        <r>
          <rPr>
            <sz val="8"/>
            <color indexed="81"/>
            <rFont val="Tahoma"/>
            <family val="2"/>
          </rPr>
          <t>This is the recommended number of users per database based on the design requirements.</t>
        </r>
      </text>
    </comment>
    <comment ref="A76" authorId="0">
      <text>
        <r>
          <rPr>
            <sz val="9"/>
            <color indexed="81"/>
            <rFont val="Tahoma"/>
            <family val="2"/>
          </rPr>
          <t>This is the recommended number of Tier-1 mailboxes per database based on the design requirements.</t>
        </r>
      </text>
    </comment>
    <comment ref="A77" authorId="0">
      <text>
        <r>
          <rPr>
            <sz val="9"/>
            <color indexed="81"/>
            <rFont val="Tahoma"/>
            <family val="2"/>
          </rPr>
          <t>This is the recommended number of Tier-2 mailboxes per database based on the design requirements.</t>
        </r>
      </text>
    </comment>
    <comment ref="A78" authorId="0">
      <text>
        <r>
          <rPr>
            <sz val="9"/>
            <color indexed="81"/>
            <rFont val="Tahoma"/>
            <family val="2"/>
          </rPr>
          <t>This is the recommended number of Tier-3 mailboxes per database based on the design requirements.</t>
        </r>
      </text>
    </comment>
    <comment ref="A79" authorId="0">
      <text>
        <r>
          <rPr>
            <sz val="9"/>
            <color indexed="81"/>
            <rFont val="Tahoma"/>
            <family val="2"/>
          </rPr>
          <t>This is the total number of mailboxes deployed on each server and within the environment.</t>
        </r>
      </text>
    </comment>
    <comment ref="A82" authorId="0">
      <text>
        <r>
          <rPr>
            <sz val="8"/>
            <color indexed="81"/>
            <rFont val="Tahoma"/>
            <family val="2"/>
          </rPr>
          <t>This is the number of transaction logs generated for the server per day on the server based on the configuration chosen and includes a data overhead factor.</t>
        </r>
      </text>
    </comment>
    <comment ref="A83" authorId="0">
      <text>
        <r>
          <rPr>
            <sz val="9"/>
            <color indexed="81"/>
            <rFont val="Tahoma"/>
            <family val="2"/>
          </rPr>
          <t>This is the average number of transaction logs that will be generated throughout the day during mailbox moves (assuming that mailboxes are moved throughout the whole week as opposed to being moved on a single day).  This value also includes  a data overhead factor.</t>
        </r>
      </text>
    </comment>
    <comment ref="A84" authorId="0">
      <text>
        <r>
          <rPr>
            <sz val="9"/>
            <color indexed="81"/>
            <rFont val="Tahoma"/>
            <family val="2"/>
          </rPr>
          <t>This is the total transaction logs generated for both user and mailbox moves for the server each day.</t>
        </r>
      </text>
    </comment>
    <comment ref="A85" authorId="0">
      <text>
        <r>
          <rPr>
            <sz val="8"/>
            <color indexed="81"/>
            <rFont val="Tahoma"/>
            <family val="2"/>
          </rPr>
          <t>This is the number of transaction logs generated per storage group per day on the server based on the configuration chosen and includes a data overhead factor.</t>
        </r>
      </text>
    </comment>
    <comment ref="A86" authorId="0">
      <text>
        <r>
          <rPr>
            <sz val="9"/>
            <color indexed="81"/>
            <rFont val="Tahoma"/>
            <family val="2"/>
          </rPr>
          <t>This is the average number of storage group transaction logs that will be generated throughout the day during mailbox moves (assuming that mailboxes are moved throughout the whole week as opposed to being moved on a single day).  This value also includes  a data overhead factor.</t>
        </r>
      </text>
    </comment>
    <comment ref="A87" authorId="0">
      <text>
        <r>
          <rPr>
            <sz val="9"/>
            <color indexed="81"/>
            <rFont val="Tahoma"/>
            <family val="2"/>
          </rPr>
          <t>This is the total transaction logs generated for both user and mailbox moves per storage group each day.</t>
        </r>
      </text>
    </comment>
    <comment ref="A90" authorId="0">
      <text>
        <r>
          <rPr>
            <sz val="9"/>
            <color indexed="81"/>
            <rFont val="Tahoma"/>
            <family val="2"/>
          </rPr>
          <t>This is the total amount of disk space required for the database per replica.</t>
        </r>
      </text>
    </comment>
    <comment ref="A91" authorId="0">
      <text>
        <r>
          <rPr>
            <sz val="9"/>
            <color indexed="81"/>
            <rFont val="Tahoma"/>
            <family val="2"/>
          </rPr>
          <t>This is the total amount of disk space required to support the logs per replica.</t>
        </r>
      </text>
    </comment>
    <comment ref="A92" authorId="0">
      <text>
        <r>
          <rPr>
            <sz val="8"/>
            <color indexed="81"/>
            <rFont val="Tahoma"/>
            <family val="2"/>
          </rPr>
          <t>This is the total amount of LUN disk space required for each replica to support the databases based on the design requirements.
If using Continuous Replication, then this number must be doubled.  You must also factor in the number of SCR targets you will have as well.</t>
        </r>
      </text>
    </comment>
    <comment ref="A93" authorId="0">
      <text>
        <r>
          <rPr>
            <sz val="8"/>
            <color indexed="81"/>
            <rFont val="Tahoma"/>
            <family val="2"/>
          </rPr>
          <t>This is the total amount of LUN disk space required per replica to support the transaction logs based on the design requirements.
If using Continuous Replication, then this number must be doubled.  You must also factor in the number of SCR targets you will have as well.</t>
        </r>
      </text>
    </comment>
    <comment ref="A94" authorId="0">
      <text>
        <r>
          <rPr>
            <sz val="8"/>
            <color indexed="81"/>
            <rFont val="Tahoma"/>
            <family val="2"/>
          </rPr>
          <t>This is the amount of space required for a Restore LUN to support restoring a set of databases and transaction logs based on the design requirements.
This space is required per node and per SCR target.</t>
        </r>
      </text>
    </comment>
    <comment ref="A95" authorId="0">
      <text>
        <r>
          <rPr>
            <sz val="8"/>
            <color indexed="81"/>
            <rFont val="Tahoma"/>
            <family val="2"/>
          </rPr>
          <t>This is the amount of I/O that must be sustained from the host perspective for each replica.  This value does not take into account RAID parity overhead.</t>
        </r>
      </text>
    </comment>
    <comment ref="A96" authorId="0">
      <text>
        <r>
          <rPr>
            <sz val="8"/>
            <color indexed="81"/>
            <rFont val="Tahoma"/>
            <family val="2"/>
          </rPr>
          <t>This is the amount of I/O that must be sustained from the host perspective for each replica.  This value does not take into account RAID parity overhead.</t>
        </r>
      </text>
    </comment>
  </commentList>
</comments>
</file>

<file path=xl/comments3.xml><?xml version="1.0" encoding="utf-8"?>
<comments xmlns="http://schemas.openxmlformats.org/spreadsheetml/2006/main">
  <authors>
    <author>Ross Smith IV</author>
    <author>rosssmi</author>
  </authors>
  <commentList>
    <comment ref="G6" authorId="0">
      <text>
        <r>
          <rPr>
            <sz val="9"/>
            <color indexed="81"/>
            <rFont val="Tahoma"/>
            <family val="2"/>
          </rPr>
          <t>Number of storage groups placed on a single LUN.  Based on the backup methodology/frequency.</t>
        </r>
      </text>
    </comment>
    <comment ref="G7" authorId="0">
      <text>
        <r>
          <rPr>
            <sz val="9"/>
            <color indexed="81"/>
            <rFont val="Tahoma"/>
            <family val="2"/>
          </rPr>
          <t>This is used to help determine the SG LUN size calculations.</t>
        </r>
      </text>
    </comment>
    <comment ref="G8" authorId="0">
      <text>
        <r>
          <rPr>
            <sz val="9"/>
            <color indexed="81"/>
            <rFont val="Tahoma"/>
            <family val="2"/>
          </rPr>
          <t>This is the number of databases that will be placed on a single LUN.</t>
        </r>
      </text>
    </comment>
    <comment ref="G9" authorId="0">
      <text>
        <r>
          <rPr>
            <sz val="9"/>
            <color indexed="81"/>
            <rFont val="Tahoma"/>
            <family val="2"/>
          </rPr>
          <t>The calculated size of the restore LUN based on the 1/7th approach.</t>
        </r>
      </text>
    </comment>
    <comment ref="A60" authorId="0">
      <text>
        <r>
          <rPr>
            <sz val="9"/>
            <color indexed="81"/>
            <rFont val="Tahoma"/>
            <family val="2"/>
          </rPr>
          <t>This is the type of LUN Design that should be used with this Exchange server based on the requirements entered.
--2 LUNs per Storage Group--
Creating 2 LUNs (log &amp; db) for a storage group is the standard best practice for Exchange 2003. With Exchange 2007, in the maximum case of 50 storage groups, the number of LUNs you provision will depend upon your backup strategy. If your recovery time objective (RTO) is very small, or if you use VSS clones for fast recovery, it may be best to place each storage group on its own transaction log LUN and database LUN. Because doing this will exceed the number of available drive letters, volume mount points must be used. 
Some of the benefits of this strategy include:
- Enables hardware-based VSS at a storage group level, providing single storage group backup and restore. 
- Flexibility to isolate the performance between storage groups when not sharing spindles between LUNs. 
- Increased reliability. A capacity or corruption problem on a single LUN will only impact one storage group. 
Some of the concerns with this strategy include:
- 50 storage groups using continuous replication could require 200 LUNs which would exceed some storage array maximums. CCR solutions could have 100 LUNs on each node, while LCR could have all 200 LUNs presented to a single server. 
- A separate LUN for each storage group causes more LUNs per server increasing the administrative costs and complexity. 
--2 LUNs per Backup Set--
A backup set is the number of databases that are fully backed up in a night. A solution that performs a full backup on 1/7th of the databases nightly could reduce complexity by placing all of the storage groups to be backed up on the same log and db LUN. This can reduce the number of LUNs on the server. 
Some of the benefits of this strategy include:
- Simplified storage administration. Fewer LUNs to manage. 
- Potentially reduce the number of backup jobs. 
Some of the concerns with this strategy include:
- Limits the ability to take hardware based VSS backup and restores. 
- Best Practices for Using Volume Shadow Copy Service with Exchange Server 2003 for more VSS details.
- The 2TB limit on an MBR partition would limit how far this would scale in capacity. (See MBR vs. GPT) 
- A capacity or corruption problem on a single LUN could impact more than one storage group.</t>
        </r>
      </text>
    </comment>
    <comment ref="A63" authorId="0">
      <text>
        <r>
          <rPr>
            <sz val="8"/>
            <color indexed="81"/>
            <rFont val="Tahoma"/>
            <family val="2"/>
          </rPr>
          <t>This is the number of databases that will be placed on a single LUN.</t>
        </r>
      </text>
    </comment>
    <comment ref="H63" authorId="0">
      <text>
        <r>
          <rPr>
            <sz val="9"/>
            <color indexed="81"/>
            <rFont val="Tahoma"/>
            <family val="2"/>
          </rPr>
          <t>The size needed for the restore and maintenance LUN.</t>
        </r>
      </text>
    </comment>
    <comment ref="A64" authorId="0">
      <text>
        <r>
          <rPr>
            <sz val="8"/>
            <color indexed="81"/>
            <rFont val="Tahoma"/>
            <family val="2"/>
          </rPr>
          <t>This is the number of database LUNs that will be required based to support the design.
If a Continuous Replication model is enabled, this value will be doubled.</t>
        </r>
      </text>
    </comment>
    <comment ref="A65" authorId="0">
      <text>
        <r>
          <rPr>
            <sz val="8"/>
            <color indexed="81"/>
            <rFont val="Tahoma"/>
            <family val="2"/>
          </rPr>
          <t>This is the number of transaction log LUNs that will be required to support the design.
If a Continuous Replication model is enabled, this value will be doubled.</t>
        </r>
      </text>
    </comment>
    <comment ref="A66" authorId="0">
      <text>
        <r>
          <rPr>
            <sz val="8"/>
            <color indexed="81"/>
            <rFont val="Tahoma"/>
            <family val="2"/>
          </rPr>
          <t>This is the recommended number of Restore LUNs based on the design.
If Cluster Continuous Replication is used, two restore LUNs will be required, one for each node.</t>
        </r>
      </text>
    </comment>
    <comment ref="B70" authorId="1">
      <text>
        <r>
          <rPr>
            <sz val="8"/>
            <color indexed="81"/>
            <rFont val="Tahoma"/>
            <family val="2"/>
          </rPr>
          <t>Number of mailboxes per storage group.</t>
        </r>
      </text>
    </comment>
    <comment ref="C70" authorId="0">
      <text>
        <r>
          <rPr>
            <sz val="9"/>
            <color indexed="81"/>
            <rFont val="Tahoma"/>
            <family val="2"/>
          </rPr>
          <t>This is the database size based on the number of mailboxes and the mailbox size on disk.</t>
        </r>
      </text>
    </comment>
    <comment ref="D70" authorId="1">
      <text>
        <r>
          <rPr>
            <sz val="8"/>
            <color indexed="81"/>
            <rFont val="Tahoma"/>
            <family val="2"/>
          </rPr>
          <t xml:space="preserve">This is the database size plus the data overhead factor.
</t>
        </r>
      </text>
    </comment>
    <comment ref="E70" authorId="0">
      <text>
        <r>
          <rPr>
            <sz val="8"/>
            <color indexed="81"/>
            <rFont val="Tahoma"/>
            <family val="2"/>
          </rPr>
          <t>The Log Size is based on the backup or move mailbox requirements and also includes a data growth factor to ensure service availability in the event of spike in transactions.</t>
        </r>
      </text>
    </comment>
    <comment ref="H70" authorId="1">
      <text>
        <r>
          <rPr>
            <sz val="8"/>
            <color indexed="81"/>
            <rFont val="Tahoma"/>
            <family val="2"/>
          </rPr>
          <t>This field takes the total disk space required for the storage group and adds to it the size of a database plus 110% (if a dedicated restore LUN does not exist) for offline maintenance operations plus adds an amount based on expected growth.</t>
        </r>
      </text>
    </comment>
    <comment ref="I70" authorId="1">
      <text>
        <r>
          <rPr>
            <sz val="8"/>
            <color indexed="81"/>
            <rFont val="Tahoma"/>
            <family val="2"/>
          </rPr>
          <t>This field lists the amount of space required to support the transaction logs for a given set of storage groups.</t>
        </r>
      </text>
    </comment>
  </commentList>
</comments>
</file>

<file path=xl/comments4.xml><?xml version="1.0" encoding="utf-8"?>
<comments xmlns="http://schemas.openxmlformats.org/spreadsheetml/2006/main">
  <authors>
    <author>rosssmi</author>
    <author>Ross Smith IV</author>
  </authors>
  <commentList>
    <comment ref="A6" authorId="0">
      <text>
        <r>
          <rPr>
            <sz val="8"/>
            <color indexed="81"/>
            <rFont val="Tahoma"/>
            <family val="2"/>
          </rPr>
          <t>This is the number of hours that will take to back up a single storage group using the streaming online backup methodology.</t>
        </r>
      </text>
    </comment>
    <comment ref="G6" authorId="0">
      <text>
        <r>
          <rPr>
            <sz val="8"/>
            <color indexed="81"/>
            <rFont val="Tahoma"/>
            <family val="2"/>
          </rPr>
          <t>This is the number of hours that will take to back up a single storage group using the streaming online backup methodology.</t>
        </r>
      </text>
    </comment>
    <comment ref="A7" authorId="1">
      <text>
        <r>
          <rPr>
            <sz val="8"/>
            <color indexed="81"/>
            <rFont val="Tahoma"/>
            <family val="2"/>
          </rPr>
          <t>This is the number of minutes that will take to back up a single storage group using an incremental or differential backup methodology.</t>
        </r>
      </text>
    </comment>
    <comment ref="G7" authorId="1">
      <text>
        <r>
          <rPr>
            <sz val="8"/>
            <color indexed="81"/>
            <rFont val="Tahoma"/>
            <family val="2"/>
          </rPr>
          <t>This is the number of minutes that will take to back up a single storage group using an incremental or differential backup methodology.</t>
        </r>
      </text>
    </comment>
    <comment ref="A12" authorId="1">
      <text>
        <r>
          <rPr>
            <sz val="9"/>
            <color indexed="81"/>
            <rFont val="Tahoma"/>
            <family val="2"/>
          </rPr>
          <t>This is the number of hours that will take to back up a single storage group performing a full online (streaming) backup.</t>
        </r>
      </text>
    </comment>
    <comment ref="F12" authorId="1">
      <text>
        <r>
          <rPr>
            <sz val="9"/>
            <color indexed="81"/>
            <rFont val="Tahoma"/>
            <family val="2"/>
          </rPr>
          <t>This is the number of hours that will take to perform a streaming restore of a single storage group.</t>
        </r>
      </text>
    </comment>
    <comment ref="A13" authorId="1">
      <text>
        <r>
          <rPr>
            <sz val="9"/>
            <color indexed="81"/>
            <rFont val="Tahoma"/>
            <family val="2"/>
          </rPr>
          <t>This is the number of minutes that will take to back up a single storage group using an incremental or differential online (streaming) backup methodology.</t>
        </r>
      </text>
    </comment>
    <comment ref="F13" authorId="1">
      <text>
        <r>
          <rPr>
            <sz val="9"/>
            <color indexed="81"/>
            <rFont val="Tahoma"/>
            <family val="2"/>
          </rPr>
          <t>This is the number of minutes that will take to perform an incremental or differential streaming restore of a single storage group.</t>
        </r>
      </text>
    </comment>
    <comment ref="A16" authorId="1">
      <text>
        <r>
          <rPr>
            <sz val="8"/>
            <color indexed="81"/>
            <rFont val="Tahoma"/>
            <family val="2"/>
          </rPr>
          <t>The LUN Design is based on the backup requirements.  
If Daily Full with Incremental or Differential backup is chosen the recommended strategy is to place 1/7th of the  databases on a single LUN and 1/7th of the transaction log sets on a single LUN.
If the backup frequency is daily full, then the recommended design is to place a single database on a LUN and a single transaction set on a LUN. 
If the backup methodology is VSS Backup/Restore, then the recommended design is to place a single database on a LUN and a single transaction set on a LUN.</t>
        </r>
      </text>
    </comment>
    <comment ref="A17" authorId="1">
      <text>
        <r>
          <rPr>
            <sz val="8"/>
            <color indexed="81"/>
            <rFont val="Tahoma"/>
            <family val="2"/>
          </rPr>
          <t>The type of backup methodology you are planning to use.</t>
        </r>
      </text>
    </comment>
    <comment ref="A18" authorId="1">
      <text>
        <r>
          <rPr>
            <sz val="8"/>
            <color indexed="81"/>
            <rFont val="Tahoma"/>
            <family val="2"/>
          </rPr>
          <t>The frequency at which you perform a backup.</t>
        </r>
      </text>
    </comment>
  </commentList>
</comments>
</file>

<file path=xl/comments5.xml><?xml version="1.0" encoding="utf-8"?>
<comments xmlns="http://schemas.openxmlformats.org/spreadsheetml/2006/main">
  <authors>
    <author>Ross Smith IV</author>
    <author>Paul Galjan</author>
  </authors>
  <commentList>
    <comment ref="A6" authorId="0">
      <text>
        <r>
          <rPr>
            <sz val="9"/>
            <color indexed="81"/>
            <rFont val="Tahoma"/>
            <family val="2"/>
          </rPr>
          <t>This is the required bandwidth necessary to replicate the transaction logs based on the peak transaction log generation hour.  This value will ensure that a geographically dispersed CCR cluster will have the necessary bandwidth such that replication lag does not affect availability if a failover has to occur.
Note: This does not account for latency.  Latency can affect how fast logs are replicated.  Please ensure that latency does not affect log replication.</t>
        </r>
      </text>
    </comment>
    <comment ref="A7" authorId="0">
      <text>
        <r>
          <rPr>
            <sz val="8"/>
            <color indexed="81"/>
            <rFont val="Tahoma"/>
            <family val="2"/>
          </rPr>
          <t>Amount of available throughput per second  based on latency for the network link.</t>
        </r>
      </text>
    </comment>
    <comment ref="A9" authorId="0">
      <text>
        <r>
          <rPr>
            <sz val="9"/>
            <color indexed="81"/>
            <rFont val="Tahoma"/>
            <family val="2"/>
          </rPr>
          <t>This is the required bandwidth necessary to replicate the transaction logs based on the peak transaction log generation hour.  This value will ensure that a geographically dispersed CCR cluster will have the necessary bandwidth such that replication lag does not affect availability if a failover has to occur.
Note: This does not account for latency.  Latency can affect how fast logs are replicated.  Please ensure that latency does not affect log replication.</t>
        </r>
      </text>
    </comment>
    <comment ref="A10" authorId="0">
      <text>
        <r>
          <rPr>
            <sz val="9"/>
            <color indexed="81"/>
            <rFont val="Tahoma"/>
            <family val="2"/>
          </rPr>
          <t>This is the required throughput necessary to replicate the transaction logs based on the peak transaction log generation hour.  This value will ensure that a geographically dispersed CCR cluster will have the necessary bandwidth such that replication lag does not affect availability if a failover has to occur.
Note1: This does not account for latency, packet loss, jitter, etc.  These things can affect how fast logs are replicated and thus must be accounted for when designing your solution.
Note2: This value incorporates into it the data overhead factor associated with transaction log generation.  Additional buffer may be required.
Important: This value does not take into account the following items and thus, a more thorough analysis of the environment must be performed to determine the total bandwidth required when operating in a geographically dispersed model:
- Bandwidth For File Notifications
- Bandwidth For DC Traffic
- Bandwidth For Client Access
- Bandwidth For CAS, Hub access
- Bandwidth For Heartbeat
- Bandwidth For Cluster DB Updates
- Bandwidth for Other Applications that use the network</t>
        </r>
      </text>
    </comment>
    <comment ref="A12" authorId="0">
      <text>
        <r>
          <rPr>
            <sz val="9"/>
            <color indexed="81"/>
            <rFont val="Tahoma"/>
            <family val="2"/>
          </rPr>
          <t>This is the hour of the day.</t>
        </r>
      </text>
    </comment>
    <comment ref="B12" authorId="0">
      <text>
        <r>
          <rPr>
            <sz val="9"/>
            <color indexed="81"/>
            <rFont val="Tahoma"/>
            <family val="2"/>
          </rPr>
          <t>This is the percentage of total logs that are generated for the specified hour.</t>
        </r>
      </text>
    </comment>
    <comment ref="C12" authorId="0">
      <text>
        <r>
          <rPr>
            <sz val="9"/>
            <color indexed="81"/>
            <rFont val="Tahoma"/>
            <family val="2"/>
          </rPr>
          <t>This is the amount of transaction log data generated for the specified hour.</t>
        </r>
      </text>
    </comment>
    <comment ref="D12" authorId="1">
      <text>
        <r>
          <rPr>
            <sz val="8"/>
            <color indexed="81"/>
            <rFont val="Tahoma"/>
            <family val="2"/>
          </rPr>
          <t>This is the Mbps required for the specified hour given the specified RPO.</t>
        </r>
      </text>
    </comment>
    <comment ref="D63" authorId="0">
      <text>
        <r>
          <rPr>
            <sz val="9"/>
            <color indexed="81"/>
            <rFont val="Tahoma"/>
            <family val="2"/>
          </rPr>
          <t xml:space="preserve">This is the required bandwidth necessary to replicate the transaction logs to meet the required RPO for the peak business hours when using Standby Continuous Replication.
The effect of this table is that this table takes into account non-contiguous peak hours, say 8am and 4pm, the resulting bandwidth requirement will assume that you can take the time in between 8 and 4 to catch up, (within the specified RPO of course).  </t>
        </r>
      </text>
    </comment>
    <comment ref="D64" authorId="0">
      <text>
        <r>
          <rPr>
            <sz val="9"/>
            <color indexed="81"/>
            <rFont val="Tahoma"/>
            <family val="2"/>
          </rPr>
          <t>This is the RPO specified.</t>
        </r>
      </text>
    </comment>
    <comment ref="A66" authorId="0">
      <text>
        <r>
          <rPr>
            <sz val="9"/>
            <color indexed="81"/>
            <rFont val="Tahoma"/>
            <family val="2"/>
          </rPr>
          <t>This is the throughput required necessary to replicate the transaction logs given the RPO for a single  Standby Continuous Replication target for all source storage groups.
Important: This value does not take into account the following items and thus, a more thorough analysis of the environment must be performed to determine the total throughput required when operating in a geographically dispersed model:
- Bandwidth For File Notifications
- Bandwidth For DC Traffic
- Bandwidth For Client Access
- Bandwidth For CAS, Hub access
- Bandwidth For Heartbeat
- Bandwidth For Cluster DB Updates
- Bandwidth for Other Applications that use the network
Note:1 This value incorporates into it the data overhead factor associated with transaction log generation.  Additional buffer may be required.
Note2: This does not account for latency, packet loss, jitter, etc.  These things can affect how fast logs are replicated and thus must be accounted for when designing your solution.</t>
        </r>
      </text>
    </comment>
    <comment ref="A116" authorId="0">
      <text>
        <r>
          <rPr>
            <sz val="8"/>
            <color indexed="81"/>
            <rFont val="Tahoma"/>
            <family val="2"/>
          </rPr>
          <t>These only need to be set on source or target machines that are running Windows Server 2003.  Windows Server 2008 will dynamically adjust the TCP Window Size.</t>
        </r>
      </text>
    </comment>
    <comment ref="A117" authorId="0">
      <text>
        <r>
          <rPr>
            <sz val="8"/>
            <color indexed="81"/>
            <rFont val="Tahoma"/>
            <family val="2"/>
          </rPr>
          <t xml:space="preserve">To increase the throughput during log shipping, it may be beneficial to adjust this setting.    The TCP receive window size is the amount of receive data (in bytes) that can be buffered during a connection. The sending host can send only that amount of data before it must wait for an acknowledgment and window update from the receiving host.
To set the receive window size to a specific value, add the TcpWindowSize value to the registry subkey. To do this, follow these steps:
1. Click Start, click Run, type Regedit, and then click OK. 
2. Expand the following subkey: 
HKEY_LOCAL_MACHINE\SYSTEM\CurrentControlSet\Services\Tcpip\Parameters 
3. On the Edit menu, point to New, and then click DWORD Value. 
4. Type TcpWindowSize in the New Value box, and then press Enter 
5. Click Modify on the Edit menu. 
6. Type the desired window size in the Value data box.
</t>
        </r>
      </text>
    </comment>
    <comment ref="K121" authorId="0">
      <text>
        <r>
          <rPr>
            <sz val="9"/>
            <color indexed="81"/>
            <rFont val="Tahoma"/>
            <family val="2"/>
          </rPr>
          <t>This is the network link you should deploy based on your latency and the amount of data you need to replicate.
This is only populated if the chosen network link is found to be unacceptable.</t>
        </r>
      </text>
    </comment>
    <comment ref="A122" authorId="0">
      <text>
        <r>
          <rPr>
            <sz val="8"/>
            <color indexed="81"/>
            <rFont val="Tahoma"/>
            <family val="2"/>
          </rPr>
          <t>This is the amount of transaction log data generated per day for all mailbox servers.</t>
        </r>
      </text>
    </comment>
    <comment ref="K122" authorId="0">
      <text>
        <r>
          <rPr>
            <sz val="9"/>
            <color indexed="81"/>
            <rFont val="Tahoma"/>
            <family val="2"/>
          </rPr>
          <t>This is the network link you should deploy based on your latency and the amount of data you need to replicate.</t>
        </r>
      </text>
    </comment>
    <comment ref="A123" authorId="0">
      <text>
        <r>
          <rPr>
            <sz val="9"/>
            <color indexed="81"/>
            <rFont val="Tahoma"/>
            <family val="2"/>
          </rPr>
          <t xml:space="preserve">This is the required throughput necessary to replicate the transaction logs based on the peak transaction log generation hour.  This value will ensure that a single geographically dispersed CCR cluster will have the necessary bandwidth such that replication lag does not affect availability if a failover has to occur.
Note1: This does not account for latency, packet loss, jitter, etc.  These things can affect how fast logs are replicated and thus must be accounted for when designing your solution.
Note2: This value incorporates into it the data overhead factor associated with transaction log generation.  Additional buffer may be required.
Important: This value does not take into account the following items and thus, a more thorough analysis of the environment must be performed to determine the total bandwidth required when operating in a geographically dispersed model:
- Bandwidth For File Notifications
- Bandwidth For DC Traffic
- Bandwidth For Client Access
- Bandwidth For CAS, Hub access
- Bandwidth For Heartbeat
- Bandwidth For Cluster DB Updates
- Bandwidth for Other Applications that use the network
- Bandwidth required for content indexing (the passive node search service crawls the active db copy (via RPC) to populate the passive search catalog) </t>
        </r>
      </text>
    </comment>
    <comment ref="K123" authorId="0">
      <text>
        <r>
          <rPr>
            <sz val="9"/>
            <color indexed="81"/>
            <rFont val="Tahoma"/>
            <family val="2"/>
          </rPr>
          <t>This is the network link you should deploy based on your latency and the amount of data you need to replicate.</t>
        </r>
      </text>
    </comment>
    <comment ref="A124" authorId="0">
      <text>
        <r>
          <rPr>
            <sz val="9"/>
            <color indexed="81"/>
            <rFont val="Tahoma"/>
            <family val="2"/>
          </rPr>
          <t>This is the required throughput necessary to replicate the transaction logs based on the peak transaction log generation hour.  This value will ensure that all geographically dispersed CCR clusters will have the necessary bandwidth such that replication lag does not affect availability if a failover has to occur.
Note1: This does not account for latency, packet loss, jitter, etc.  These things can affect how fast logs are replicated and thus must be accounted for when designing your solution.
Note2: This value incorporates into it the data overhead factor associated with transaction log generation.  Additional buffer may be required.
Important: This value does not take into account the following items and thus, a more thorough analysis of the environment must be performed to determine the total bandwidth required when operating in a geographically dispersed model:
- Bandwidth For File Notifications
- Bandwidth For DC Traffic
- Bandwidth For Client Access
- Bandwidth For CAS, Hub access
- Bandwidth For Heartbeat
- Bandwidth For Cluster DB Updates
- Bandwidth for Other Applications that use the network</t>
        </r>
      </text>
    </comment>
    <comment ref="A125" authorId="0">
      <text>
        <r>
          <rPr>
            <sz val="8"/>
            <color indexed="81"/>
            <rFont val="Tahoma"/>
            <family val="2"/>
          </rPr>
          <t>Recover Point Objective (RPO) is the acceptable amount of data loss you can have measured in hours.
In terms of log replication, this means how behind can you get in log shipping?
For geographically dispersed CCR, this value does not apply since you cannot get behind in log replication; otherwise your storage groups will not mount upon failover.  
For SCR, the RPO choice will determine your bandwidth requirements.  The lower the RPO (a value of 1 essentially means you want to only lose the open log file), the higher the bandwidth you need because you cannot get behind in log replication.  The higher the RPO (approaching 24) less bandwidth is needed as you are expecting to be behind (up to x hours) in log replication.</t>
        </r>
      </text>
    </comment>
    <comment ref="K125" authorId="0">
      <text>
        <r>
          <rPr>
            <sz val="9"/>
            <color indexed="81"/>
            <rFont val="Tahoma"/>
            <family val="2"/>
          </rPr>
          <t>This is the network link you should deploy based on your latency and the amount of data you need to replicate.
This is only populated if the chosen network link is found to be unacceptable.</t>
        </r>
      </text>
    </comment>
    <comment ref="A126" authorId="0">
      <text>
        <r>
          <rPr>
            <sz val="9"/>
            <color indexed="81"/>
            <rFont val="Tahoma"/>
            <family val="2"/>
          </rPr>
          <t>This is the throughput required necessary to replicate the transaction logs given the RPO for a single  Standby Continuous Replication target for all source storage groups.
This value does not take into account the following items and thus, a more thorough analysis of the environment must be performed to determine the total throughput required when operating in a geographically dispersed model:
- Bandwidth For File Notifications
- Bandwidth For DC Traffic
- Bandwidth For Client Access
- Bandwidth For CAS, Hub access
- Bandwidth For Heartbeat
- Bandwidth For Cluster DB Updates
- Bandwidth for Other Applications that use the network
Note1: This value incorporates into it the data overhead factor associated with transaction log generation.  Additional buffer may be required.
Note2: This does not account for latency, packet loss, jitter, etc.  These things can affect how fast logs are replicated and thus must be accounted for when designing your solution.</t>
        </r>
      </text>
    </comment>
    <comment ref="K126" authorId="0">
      <text>
        <r>
          <rPr>
            <sz val="9"/>
            <color indexed="81"/>
            <rFont val="Tahoma"/>
            <family val="2"/>
          </rPr>
          <t xml:space="preserve">
To increase the throughput during log shipping, it may be beneficial to adjust this setting.    The TCP receive window size is the amount of receive data (in bytes) that can be buffered during a connection. The sending host can send only that amount of data before it must wait for an acknowledgment and window update from the receiving host.
To set the receive window size to a specific value, add the TcpWindowSize value to the registry subkey. To do this, follow these steps:
1. Click Start, click Run, type Regedit, and then click OK. 
2. Expand the following subkey: 
HKEY_LOCAL_MACHINE\SYSTEM\CurrentControlSet\Services\Tcpip\Parameters 
3. On the Edit menu, point to New, and then click DWORD Value. 
4. Type TcpWindowSize in the New Value box, and then press Enter 
5. Click Modify on the Edit menu. 
6. Type the desired window size in the Value data box.</t>
        </r>
      </text>
    </comment>
    <comment ref="A127" authorId="0">
      <text>
        <r>
          <rPr>
            <sz val="9"/>
            <color indexed="81"/>
            <rFont val="Tahoma"/>
            <family val="2"/>
          </rPr>
          <t>This is the total SCR log throughput required which should be considered when you have multiple SCR targets and potentially multiple source servers.</t>
        </r>
      </text>
    </comment>
    <comment ref="K127" authorId="0">
      <text>
        <r>
          <rPr>
            <sz val="9"/>
            <color indexed="81"/>
            <rFont val="Tahoma"/>
            <family val="2"/>
          </rPr>
          <t>For more efficient use of high bandwidth networks, a larger TCP window size may be used. The TCP window size field controls the flow of data and is limited to 2 bytes, or a window size of 65,535 bytes.
Since the size field cannot be expanded, a scaling factor is used. TCP window scale is an option used to increase the maximum window size from 65,535 bytes to 1 Gigabyte.
The Tcp1323Opts value in the following registry key can be added to control scaling windows and timestamp: 
HKEY_LOCAL_MACHINE\System\CurrentControlSet\Services\Tcpip\Parameters 
1. On the toolbar click Start, click Run, and then type Regedit to start the Registry Editor. 
2. In the Registry Editor, click Edit, point to New, and then click DWORD Value. 
3. In the New Value box, type Tcp1323Opts, press ENTER, and then on the Edit menu, click Modify. 
Note The valid range is 0,1,2 or 3 where: 
0 (disable RFC 1323 options)
1 (window scale enabled only)
2 (timestamps enabled only)
3 (both options enabled) 
This registry entry controls RFC 1323 timestamps and window scaling options. Timestamps and Window scaling are enabled by default, but can be manipulated with flag bits. Bit 0 controls window scaling, and bit 1 controls timestamps. 
For more information, please see http://support.microsoft.com/?id=224829</t>
        </r>
      </text>
    </comment>
    <comment ref="K129" authorId="0">
      <text>
        <r>
          <rPr>
            <sz val="9"/>
            <color indexed="81"/>
            <rFont val="Tahoma"/>
            <family val="2"/>
          </rPr>
          <t>This is the network link you should deploy based on your latency and the amount of data you need to replicate.
This is only populated if the chosen network link is found to be unacceptable.</t>
        </r>
      </text>
    </comment>
    <comment ref="A130" authorId="0">
      <text>
        <r>
          <rPr>
            <sz val="9"/>
            <color indexed="81"/>
            <rFont val="Tahoma"/>
            <family val="2"/>
          </rPr>
          <t>This is the network link selected on the Input worksheet.</t>
        </r>
      </text>
    </comment>
    <comment ref="K130" authorId="0">
      <text>
        <r>
          <rPr>
            <sz val="9"/>
            <color indexed="81"/>
            <rFont val="Tahoma"/>
            <family val="2"/>
          </rPr>
          <t>To increase the throughput during log shipping, it may be beneficial to adjust this setting.    The TCP receive window size is the amount of receive data (in bytes) that can be buffered during a connection. The sending host can send only that amount of data before it must wait for an acknowledgment and window update from the receiving host.
To set the receive window size to a specific value, add the TcpWindowSize value to the registry subkey. To do this, follow these steps:
1. Click Start, click Run, type Regedit, and then click OK. 
2. Expand the following subkey: 
HKEY_LOCAL_MACHINE\SYSTEM\CurrentControlSet\Services\Tcpip\Parameters 
3. On the Edit menu, point to New, and then click DWORD Value. 
4. Type TcpWindowSize in the New Value box, and then press Enter 
5. Click Modify on the Edit menu. 
6. Type the desired window size in the Value data box.</t>
        </r>
      </text>
    </comment>
    <comment ref="A131" authorId="0">
      <text>
        <r>
          <rPr>
            <sz val="9"/>
            <color indexed="81"/>
            <rFont val="Tahoma"/>
            <family val="2"/>
          </rPr>
          <t>This is the network link latency entered on the Input worksheet.</t>
        </r>
      </text>
    </comment>
    <comment ref="K131" authorId="0">
      <text>
        <r>
          <rPr>
            <sz val="9"/>
            <color indexed="81"/>
            <rFont val="Tahoma"/>
            <family val="2"/>
          </rPr>
          <t>For more efficient use of high bandwidth networks, a larger TCP window size may be used. The TCP window size field controls the flow of data and is limited to 2 bytes, or a window size of 65,535 bytes.
Since the size field cannot be expanded, a scaling factor is used. TCP window scale is an option used to increase the maximum window size from 65,535 bytes to 1 Gigabyte.
The Tcp1323Opts value in the following registry key can be added to control scaling windows: 
HKEY_LOCAL_MACHINE\System\CurrentControlSet\Services\Tcpip\Parameters 
1. On the toolbar click Start, click Run, and then type Regedit to start the Registry Editor. 
2. In the Registry Editor, click Edit, point to New, and then click DWORD Value. 
3. In the New Value box, type Tcp1323Opts, press ENTER, and then on the Edit menu, click Modify. 
Note The valid range is 0,1,2 or 3 where: 
0 (disable RFC 1323 options)
1 (window scale enabled only)
2 (timestamps enabled only)
3 (both options enabled) 
This registry entry controls RFC 1323 timestamps and window scaling options. Timestamps and Window scaling are enabled by default, but can be manipulated with flag bits. Bit 0 controls window scaling, and bit 1 controls timestamps. 
For more information, please see http://support.microsoft.com/?id=224829</t>
        </r>
      </text>
    </comment>
    <comment ref="A132" authorId="0">
      <text>
        <r>
          <rPr>
            <sz val="9"/>
            <color indexed="81"/>
            <rFont val="Tahoma"/>
            <family val="2"/>
          </rPr>
          <t xml:space="preserve">Here we determine if the chosen network link is acceptable by comparing the required throughput with the achievable throughput.
</t>
        </r>
      </text>
    </comment>
    <comment ref="A133" authorId="0">
      <text>
        <r>
          <rPr>
            <sz val="9"/>
            <color indexed="81"/>
            <rFont val="Tahoma"/>
            <family val="2"/>
          </rPr>
          <t>Here we determine if the chosen network link is acceptable by comparing the required throughput with the achievable throughput.</t>
        </r>
      </text>
    </comment>
  </commentList>
</comments>
</file>

<file path=xl/comments6.xml><?xml version="1.0" encoding="utf-8"?>
<comments xmlns="http://schemas.openxmlformats.org/spreadsheetml/2006/main">
  <authors>
    <author>Ross Smith IV</author>
    <author>rosssmi</author>
  </authors>
  <commentList>
    <comment ref="A16" authorId="0">
      <text>
        <r>
          <rPr>
            <sz val="8"/>
            <color indexed="81"/>
            <rFont val="Tahoma"/>
            <family val="2"/>
          </rPr>
          <t xml:space="preserve">Select the building block that is used by the storage array for RAID-1/0.
For example, a 2d+2p configuration uses the capacity of two disks for capacity and two disks for parity. 
Different vendors provide different data+parity combinations.
</t>
        </r>
      </text>
    </comment>
    <comment ref="D16" authorId="0">
      <text>
        <r>
          <rPr>
            <sz val="9"/>
            <color indexed="81"/>
            <rFont val="Tahoma"/>
            <family val="2"/>
          </rPr>
          <t>By default the calculator will recommend either RAID-1/0 or RAID-5 by evaluating capacity and I/O factors and determining which configuration utilizes the least amount of disks while satisfying the requirements.  If you would like to override this and force the calculator to utilize a particular RAID configuration, select "Yes" to this option and then select the appropriate RAID configuration in the cell labeled "Desired RAID Configuration".</t>
        </r>
      </text>
    </comment>
    <comment ref="A17" authorId="0">
      <text>
        <r>
          <rPr>
            <sz val="8"/>
            <color indexed="81"/>
            <rFont val="Tahoma"/>
            <family val="2"/>
          </rPr>
          <t>Select the building block that is used by the storage array for RAID-5.
For example, a 3d+1p configuration uses the capacity of three disks for data and one for parity—although the parity is distributed across all disks. 
Different vendors provide different data+parity combinations.</t>
        </r>
      </text>
    </comment>
    <comment ref="D17" authorId="0">
      <text>
        <r>
          <rPr>
            <sz val="9"/>
            <color indexed="81"/>
            <rFont val="Tahoma"/>
            <family val="2"/>
          </rPr>
          <t>By default the calculator will recommend either RAID-1/0 or RAID-5 by evaluating capacity and I/O factors and determining which configuration utilizes the least amount of disks while satisfying the requirements.  
If you would like to override this and force the calculator to utilize a particular RAID configuration, select "Yes" to the "Override RAID Configuration" option and then select the appropriate RAID configuration in this cell.</t>
        </r>
      </text>
    </comment>
    <comment ref="A18" authorId="0">
      <text>
        <r>
          <rPr>
            <sz val="8"/>
            <color indexed="81"/>
            <rFont val="Tahoma"/>
            <family val="2"/>
          </rPr>
          <t>Select the building block that is used by the storage array for RAID-6.
RAID 6 extends RAID 5 by adding an additional parity block, thus it uses block-level striping with two parity blocks distributed across all member disks.
Different vendors provide different data+parity combinations.</t>
        </r>
      </text>
    </comment>
    <comment ref="D18" authorId="0">
      <text>
        <r>
          <rPr>
            <sz val="9"/>
            <color indexed="81"/>
            <rFont val="Tahoma"/>
            <family val="2"/>
          </rPr>
          <t>Select the appropriate RAID configuration you would like to utilize for your Restore / Maintenance LUN.</t>
        </r>
      </text>
    </comment>
    <comment ref="A21" authorId="0">
      <text>
        <r>
          <rPr>
            <sz val="8"/>
            <color indexed="81"/>
            <rFont val="Tahoma"/>
            <family val="2"/>
          </rPr>
          <t>This is the overhead that should be provisioned into the performance calculations when designing for RAID-1/0 parity.   Most RAID-1/0 implementations will suffer a 25% performance penalty during a rebuild.
Microsoft recommends factoring in a 35% overhead for RAID-1/0 to account for the rebuild penalty.</t>
        </r>
      </text>
    </comment>
    <comment ref="A22" authorId="0">
      <text>
        <r>
          <rPr>
            <sz val="8"/>
            <color indexed="81"/>
            <rFont val="Tahoma"/>
            <family val="2"/>
          </rPr>
          <t xml:space="preserve">This is the overhead that should be provisioned into the performance calculations when designing for RAID-5 parity.   Most RAID-5 implementations will suffer a 50% performance penalty during a rebuild.
Microsoft recommends factoring in a 100% overhead for RAID-5 to account for the rebuild penalty.
</t>
        </r>
      </text>
    </comment>
    <comment ref="A23" authorId="0">
      <text>
        <r>
          <rPr>
            <sz val="8"/>
            <color indexed="81"/>
            <rFont val="Tahoma"/>
            <family val="2"/>
          </rPr>
          <t xml:space="preserve">This is the overhead that should be provisioned into the performance calculations when designing for RAID-6 parity.   Most RAID-6 implementations will suffer a 50% or higher performance penalty during a rebuild.
Microsoft recommends factoring in a 100% overhead for RAID-6 to account for the rebuild penalty.
</t>
        </r>
      </text>
    </comment>
    <comment ref="A29" authorId="1">
      <text>
        <r>
          <rPr>
            <sz val="8"/>
            <color indexed="81"/>
            <rFont val="Tahoma"/>
            <family val="2"/>
          </rPr>
          <t>Select the disk capacity that will be used in the storage design.
Note: Not all capacity choices are available in each disk type.</t>
        </r>
      </text>
    </comment>
    <comment ref="A30" authorId="0">
      <text>
        <r>
          <rPr>
            <sz val="9"/>
            <color indexed="81"/>
            <rFont val="Tahoma"/>
            <family val="2"/>
          </rPr>
          <t>Choose the disk type that you will be using in your design.
Note: Not all capacity choices are available in each disk type.</t>
        </r>
      </text>
    </comment>
    <comment ref="A33" authorId="1">
      <text>
        <r>
          <rPr>
            <sz val="8"/>
            <color indexed="81"/>
            <rFont val="Tahoma"/>
            <family val="2"/>
          </rPr>
          <t>Select the disk capacity that will be used in the storage design.
Note: Not all capacity choices are available in each disk type.</t>
        </r>
      </text>
    </comment>
    <comment ref="A34" authorId="0">
      <text>
        <r>
          <rPr>
            <sz val="9"/>
            <color indexed="81"/>
            <rFont val="Tahoma"/>
            <family val="2"/>
          </rPr>
          <t>Choose the disk type that you will be using in your design.
Note: Not all capacity choices are available in each disk type.</t>
        </r>
      </text>
    </comment>
    <comment ref="A37" authorId="1">
      <text>
        <r>
          <rPr>
            <sz val="8"/>
            <color indexed="81"/>
            <rFont val="Tahoma"/>
            <family val="2"/>
          </rPr>
          <t>Select the disk capacity that will be used in the storage design.
Note: Not all capacity choices are available in each disk type.</t>
        </r>
      </text>
    </comment>
    <comment ref="A38" authorId="0">
      <text>
        <r>
          <rPr>
            <sz val="9"/>
            <color indexed="81"/>
            <rFont val="Tahoma"/>
            <family val="2"/>
          </rPr>
          <t>Choose the disk type that you will be using in your design.
Note: Not all capacity choices are available in each disk type.</t>
        </r>
      </text>
    </comment>
    <comment ref="A43" authorId="0">
      <text>
        <r>
          <rPr>
            <sz val="9"/>
            <color indexed="81"/>
            <rFont val="Tahoma"/>
            <family val="2"/>
          </rPr>
          <t>Total IO per second the Log LUN must support when configured in a RAID-0 array.</t>
        </r>
      </text>
    </comment>
    <comment ref="A44" authorId="0">
      <text>
        <r>
          <rPr>
            <sz val="8"/>
            <color indexed="81"/>
            <rFont val="Tahoma"/>
            <family val="2"/>
          </rPr>
          <t>Total IO per second the Log LUN must support when configured in a RAID-1/0 array.
This value also incorporates the RAID-1/0 rebuild penalty.</t>
        </r>
      </text>
    </comment>
    <comment ref="A45" authorId="0">
      <text>
        <r>
          <rPr>
            <sz val="9"/>
            <color indexed="81"/>
            <rFont val="Tahoma"/>
            <family val="2"/>
          </rPr>
          <t>Total IO per second the database LUN must support when configured in a RAID-0 array.</t>
        </r>
      </text>
    </comment>
    <comment ref="A46" authorId="1">
      <text>
        <r>
          <rPr>
            <sz val="8"/>
            <color indexed="81"/>
            <rFont val="Tahoma"/>
            <family val="2"/>
          </rPr>
          <t>Total IO per second the database LUN must support when configured in a RAID-1/0 array.</t>
        </r>
      </text>
    </comment>
    <comment ref="A47" authorId="1">
      <text>
        <r>
          <rPr>
            <sz val="8"/>
            <color indexed="81"/>
            <rFont val="Tahoma"/>
            <family val="2"/>
          </rPr>
          <t>Total IO per second the database LUN must support when configured in a RAID-5 array.</t>
        </r>
      </text>
    </comment>
    <comment ref="A48" authorId="0">
      <text>
        <r>
          <rPr>
            <sz val="8"/>
            <color indexed="81"/>
            <rFont val="Tahoma"/>
            <family val="2"/>
          </rPr>
          <t>Total IO per second the database LUN must support when configured in a RAID-6 array.</t>
        </r>
      </text>
    </comment>
    <comment ref="A49" authorId="0">
      <text>
        <r>
          <rPr>
            <sz val="9"/>
            <color indexed="81"/>
            <rFont val="Tahoma"/>
            <family val="2"/>
          </rPr>
          <t>This is the required number of IOPS required when utilizing RAID-1/0 to ensure that the system can handle the rebuild during a drive failure.</t>
        </r>
      </text>
    </comment>
    <comment ref="A50" authorId="0">
      <text>
        <r>
          <rPr>
            <sz val="8"/>
            <color indexed="81"/>
            <rFont val="Tahoma"/>
            <family val="2"/>
          </rPr>
          <t>This is the required number of IOPS required when utilizing RAID-1/0 to ensure that the system can handle the rebuild during a drive failure.</t>
        </r>
      </text>
    </comment>
    <comment ref="A51" authorId="0">
      <text>
        <r>
          <rPr>
            <sz val="8"/>
            <color indexed="81"/>
            <rFont val="Tahoma"/>
            <family val="2"/>
          </rPr>
          <t xml:space="preserve">This is the required number of IOPS required when utilizing RAID-5 to ensure that the system can handle the rebuild during a drive failure.
</t>
        </r>
      </text>
    </comment>
    <comment ref="A52" authorId="0">
      <text>
        <r>
          <rPr>
            <sz val="8"/>
            <color indexed="81"/>
            <rFont val="Tahoma"/>
            <family val="2"/>
          </rPr>
          <t xml:space="preserve">This is the required number of IOPS required when utilizing RAID-6 to ensure that the system can handle the rebuild during a drive failure.
</t>
        </r>
      </text>
    </comment>
    <comment ref="A53" authorId="0">
      <text>
        <r>
          <rPr>
            <sz val="8"/>
            <color indexed="81"/>
            <rFont val="Tahoma"/>
            <family val="2"/>
          </rPr>
          <t>This is the throughput required based on the transactional I/O characteristics of the database and transaction logs given the RAID implementation.
This value does not factor in non-transactional I/O requirements (e.g. backup).</t>
        </r>
      </text>
    </comment>
    <comment ref="A56" authorId="1">
      <text>
        <r>
          <rPr>
            <sz val="8"/>
            <color indexed="81"/>
            <rFont val="Tahoma"/>
            <family val="2"/>
          </rPr>
          <t>This is the  raw capacity of the disk (the unformatted capacity).</t>
        </r>
      </text>
    </comment>
    <comment ref="A57" authorId="1">
      <text>
        <r>
          <rPr>
            <sz val="8"/>
            <color indexed="81"/>
            <rFont val="Tahoma"/>
            <family val="2"/>
          </rPr>
          <t>This is the formatted capacity of the physical disk. This calculator uses 91% of the raw capacity, though different storage controllers and different disk manufacturers may be able to utilize more or less of the disk capacity.</t>
        </r>
      </text>
    </comment>
    <comment ref="A58" authorId="1">
      <text>
        <r>
          <rPr>
            <sz val="8"/>
            <color indexed="81"/>
            <rFont val="Tahoma"/>
            <family val="2"/>
          </rPr>
          <t>Some vendors believe that you shouldn't use all the I/O capacity of a disk as that can lead to disk bottlenecks.
Microsoft does not recommend changing this value.</t>
        </r>
      </text>
    </comment>
    <comment ref="A59" authorId="1">
      <text>
        <r>
          <rPr>
            <sz val="8"/>
            <color indexed="81"/>
            <rFont val="Tahoma"/>
            <family val="2"/>
          </rPr>
          <t xml:space="preserve">This is how much I/O the physical disk can sustain at the controller using a random 8K read and writes with 80% capacity utilization.
Assuming cache avoidance, a 10K RPM spindle supports approximately 130 random or 150 sequential IOPS; a 15K RPM spindle supports approximately 180 random or 200 sequential IOPS.
</t>
        </r>
      </text>
    </comment>
    <comment ref="A62" authorId="1">
      <text>
        <r>
          <rPr>
            <sz val="8"/>
            <color indexed="81"/>
            <rFont val="Tahoma"/>
            <family val="2"/>
          </rPr>
          <t>This is the number of disks that must support the database design based on I/O performance in a RAID-1/0 configuration.</t>
        </r>
      </text>
    </comment>
    <comment ref="A63" authorId="1">
      <text>
        <r>
          <rPr>
            <sz val="8"/>
            <color indexed="81"/>
            <rFont val="Tahoma"/>
            <family val="2"/>
          </rPr>
          <t>This is the number of disks that must support the database design based on I/O performance in a RAID-1/0 configuration.</t>
        </r>
      </text>
    </comment>
    <comment ref="A64" authorId="1">
      <text>
        <r>
          <rPr>
            <sz val="8"/>
            <color indexed="81"/>
            <rFont val="Tahoma"/>
            <family val="2"/>
          </rPr>
          <t>This is the number of disks that must support the database design based on I/O performance utilizing RAID-5 and the desired parity grouping.
Since not all storage arrays utilize this type of configuration, please consult with the storage vendor to determine if this is the correct number of disks.</t>
        </r>
      </text>
    </comment>
    <comment ref="A65" authorId="0">
      <text>
        <r>
          <rPr>
            <sz val="8"/>
            <color indexed="81"/>
            <rFont val="Tahoma"/>
            <family val="2"/>
          </rPr>
          <t>This is the number of disks that must support the database design based on I/O performance utilizing RAID-6 and the desired parity grouping.  
Since not all storage arrays utilize this type of configuration, please consult with the storage vendor to determine if this is the correct number of disks.</t>
        </r>
      </text>
    </comment>
    <comment ref="A66" authorId="1">
      <text>
        <r>
          <rPr>
            <sz val="8"/>
            <color indexed="81"/>
            <rFont val="Tahoma"/>
            <family val="2"/>
          </rPr>
          <t>This value is the amount of disks required to hold the data in a RAID0 configuration.  RAID0 has no resilience, so this should not be used.</t>
        </r>
      </text>
    </comment>
    <comment ref="A67" authorId="1">
      <text>
        <r>
          <rPr>
            <sz val="8"/>
            <color indexed="81"/>
            <rFont val="Tahoma"/>
            <family val="2"/>
          </rPr>
          <t>This value is the number of disks required to support the design based on capacity alone.  
This value should only be used when the capacity requirements outweigh the I/O requirements.</t>
        </r>
      </text>
    </comment>
    <comment ref="A68" authorId="1">
      <text>
        <r>
          <rPr>
            <sz val="8"/>
            <color indexed="81"/>
            <rFont val="Tahoma"/>
            <family val="2"/>
          </rPr>
          <t xml:space="preserve">This is the number of disks that must support the database design based on the capacity requirements utilizing RAID-5 based on the desired parity grouping.
This value should only be used when the capacity requirements outweigh the I/O requirements.
Since not all storage arrays utilize this type of configuration, please consult with the storage vendor to determine if this is the correct number of disks.
</t>
        </r>
      </text>
    </comment>
    <comment ref="A69" authorId="0">
      <text>
        <r>
          <rPr>
            <sz val="8"/>
            <color indexed="81"/>
            <rFont val="Tahoma"/>
            <family val="2"/>
          </rPr>
          <t>This is the number of disks that must support the database design based on the capacity requirements utilizing RAID-6 based on the desired parity grouping.
This value should only be used when the capacity requirements outweigh the I/O requirements.
Since not all storage arrays utilize this type of configuration, please consult with the storage vendor to determine if this is the correct number of disks.</t>
        </r>
      </text>
    </comment>
    <comment ref="A72" authorId="1">
      <text>
        <r>
          <rPr>
            <sz val="8"/>
            <color indexed="81"/>
            <rFont val="Tahoma"/>
            <family val="2"/>
          </rPr>
          <t>This is the  raw capacity of the disk (the unformatted capacity).</t>
        </r>
      </text>
    </comment>
    <comment ref="A73" authorId="1">
      <text>
        <r>
          <rPr>
            <sz val="8"/>
            <color indexed="81"/>
            <rFont val="Tahoma"/>
            <family val="2"/>
          </rPr>
          <t>This is the formatted capacity of the physical disk. This calculator uses 91% of the raw capacity, though different storage controllers and different disk manufacturers may be able to utilize more or less of the disk capacity.</t>
        </r>
      </text>
    </comment>
    <comment ref="A74" authorId="1">
      <text>
        <r>
          <rPr>
            <sz val="8"/>
            <color indexed="81"/>
            <rFont val="Tahoma"/>
            <family val="2"/>
          </rPr>
          <t>Some vendors believe that you shouldn't use all the I/O capacity of a disk as that can lead to disk bottlenecks.
Microsoft does not recommend changing this value.</t>
        </r>
      </text>
    </comment>
    <comment ref="A77" authorId="0">
      <text>
        <r>
          <rPr>
            <sz val="8"/>
            <color indexed="81"/>
            <rFont val="Tahoma"/>
            <family val="2"/>
          </rPr>
          <t>This is the number of disks based on the amount of transaction log I/O with respect to the minimum number of sequential writes a disk can sustain (for this calculator this value is 300) utilizing a RAID-0 parity.</t>
        </r>
      </text>
    </comment>
    <comment ref="A78" authorId="0">
      <text>
        <r>
          <rPr>
            <sz val="8"/>
            <color indexed="81"/>
            <rFont val="Tahoma"/>
            <family val="2"/>
          </rPr>
          <t>Number of disks required to support the transaction log capacity.</t>
        </r>
      </text>
    </comment>
    <comment ref="A79" authorId="0">
      <text>
        <r>
          <rPr>
            <sz val="9"/>
            <color indexed="81"/>
            <rFont val="Tahoma"/>
            <family val="2"/>
          </rPr>
          <t>This value is the number of disks required to support the design based on capacity alone utilizing RAID-1/0 parity.  
This value should only be used when the capacity requirements outweigh the I/O requirements.</t>
        </r>
      </text>
    </comment>
    <comment ref="A80" authorId="0">
      <text>
        <r>
          <rPr>
            <sz val="8"/>
            <color indexed="81"/>
            <rFont val="Tahoma"/>
            <family val="2"/>
          </rPr>
          <t>This is the number of disks based on the amount of transaction log I/O with respect to the minimum number of sequential writes a disk can sustain (for this calculator this value is 300) utilizing a RAID-1/0 parity.</t>
        </r>
      </text>
    </comment>
    <comment ref="A83" authorId="1">
      <text>
        <r>
          <rPr>
            <sz val="8"/>
            <color indexed="81"/>
            <rFont val="Tahoma"/>
            <family val="2"/>
          </rPr>
          <t>This is the  raw capacity of the disk (the unformatted capacity).</t>
        </r>
      </text>
    </comment>
    <comment ref="A84" authorId="1">
      <text>
        <r>
          <rPr>
            <sz val="8"/>
            <color indexed="81"/>
            <rFont val="Tahoma"/>
            <family val="2"/>
          </rPr>
          <t>This is the formatted capacity of the physical disk. This calculator uses 91% of the raw capacity, though different storage controllers and different disk manufacturers may be able to utilize more or less of the disk capacity.</t>
        </r>
      </text>
    </comment>
    <comment ref="A85" authorId="1">
      <text>
        <r>
          <rPr>
            <sz val="8"/>
            <color indexed="81"/>
            <rFont val="Tahoma"/>
            <family val="2"/>
          </rPr>
          <t>Some vendors believe that you shouldn't use all the I/O capacity of a disk as that can lead to disk bottlenecks.
Microsoft does not recommend changing this value.</t>
        </r>
      </text>
    </comment>
    <comment ref="A86" authorId="1">
      <text>
        <r>
          <rPr>
            <sz val="8"/>
            <color indexed="81"/>
            <rFont val="Tahoma"/>
            <family val="2"/>
          </rPr>
          <t xml:space="preserve">This is how much I/O the physical disk can sustain at the controller using a random 8K read and writes.
Assuming cache avoidance, a 10K RPM spindle supports approximately 130 random or 150 sequential IOPS; a 15K RPM spindle supports approximately 180 random or 200 sequential IOPS.
</t>
        </r>
      </text>
    </comment>
    <comment ref="A89" authorId="0">
      <text>
        <r>
          <rPr>
            <sz val="8"/>
            <color indexed="81"/>
            <rFont val="Tahoma"/>
            <family val="2"/>
          </rPr>
          <t>This is the number of disks needed to meet the capacity requirements of the Restore LUN.</t>
        </r>
      </text>
    </comment>
    <comment ref="A90" authorId="0">
      <text>
        <r>
          <rPr>
            <sz val="8"/>
            <color indexed="81"/>
            <rFont val="Tahoma"/>
            <family val="2"/>
          </rPr>
          <t>This calculation determines the number of disks necessary to support the Restore LUN based on the capacity requirements in a RAID-1/0 configuration.</t>
        </r>
      </text>
    </comment>
    <comment ref="A91" authorId="0">
      <text>
        <r>
          <rPr>
            <sz val="8"/>
            <color indexed="81"/>
            <rFont val="Tahoma"/>
            <family val="2"/>
          </rPr>
          <t>This calculation determines the number of disks necessary to support the Restore LUN based on the capacity requirements in a RAID-5 configuration.</t>
        </r>
      </text>
    </comment>
    <comment ref="A92" authorId="0">
      <text>
        <r>
          <rPr>
            <sz val="8"/>
            <color indexed="81"/>
            <rFont val="Tahoma"/>
            <family val="2"/>
          </rPr>
          <t>This calculation determines the number of disks necessary to support the Restore LUN based on the capacity requirements in a RAID-6 configuration.</t>
        </r>
      </text>
    </comment>
    <comment ref="A95" authorId="0">
      <text>
        <r>
          <rPr>
            <sz val="9"/>
            <color indexed="81"/>
            <rFont val="Tahoma"/>
            <family val="2"/>
          </rPr>
          <t>Number of disks required to meet the I/O requirements for the given RAID configuration.</t>
        </r>
      </text>
    </comment>
    <comment ref="A96" authorId="0">
      <text>
        <r>
          <rPr>
            <sz val="9"/>
            <color indexed="81"/>
            <rFont val="Tahoma"/>
            <family val="2"/>
          </rPr>
          <t>Number of disks required to meet the capacity requirements for the given RAID configuration.</t>
        </r>
        <r>
          <rPr>
            <b/>
            <sz val="9"/>
            <color indexed="81"/>
            <rFont val="Tahoma"/>
            <family val="2"/>
          </rPr>
          <t xml:space="preserve">
</t>
        </r>
      </text>
    </comment>
    <comment ref="A97" authorId="0">
      <text>
        <r>
          <rPr>
            <sz val="9"/>
            <color indexed="81"/>
            <rFont val="Tahoma"/>
            <family val="2"/>
          </rPr>
          <t>Number of disks required to meet the I/O requirements for the given RAID configuration.</t>
        </r>
      </text>
    </comment>
    <comment ref="A98" authorId="0">
      <text>
        <r>
          <rPr>
            <sz val="9"/>
            <color indexed="81"/>
            <rFont val="Tahoma"/>
            <family val="2"/>
          </rPr>
          <t>Number of disks required to meet the capacity requirements for the given RAID configuration.</t>
        </r>
      </text>
    </comment>
    <comment ref="A99" authorId="0">
      <text>
        <r>
          <rPr>
            <sz val="9"/>
            <color indexed="81"/>
            <rFont val="Tahoma"/>
            <family val="2"/>
          </rPr>
          <t>Number of disks required to meet the I/O requirements for the given RAID configuration.</t>
        </r>
      </text>
    </comment>
    <comment ref="A100" authorId="0">
      <text>
        <r>
          <rPr>
            <sz val="9"/>
            <color indexed="81"/>
            <rFont val="Tahoma"/>
            <family val="2"/>
          </rPr>
          <t>Number of disks required to meet the capacity requirements for the given RAID configuration.</t>
        </r>
      </text>
    </comment>
    <comment ref="A101" authorId="0">
      <text>
        <r>
          <rPr>
            <sz val="9"/>
            <color indexed="81"/>
            <rFont val="Tahoma"/>
            <family val="2"/>
          </rPr>
          <t>Number of disks required to meet the I/O requirements for the given RAID configuration.</t>
        </r>
      </text>
    </comment>
    <comment ref="A102" authorId="0">
      <text>
        <r>
          <rPr>
            <sz val="9"/>
            <color indexed="81"/>
            <rFont val="Tahoma"/>
            <family val="2"/>
          </rPr>
          <t>Number of disks required to meet the capacity requirements for the given RAID configuration.</t>
        </r>
      </text>
    </comment>
    <comment ref="A105" authorId="0">
      <text>
        <r>
          <rPr>
            <sz val="9"/>
            <color indexed="81"/>
            <rFont val="Tahoma"/>
            <family val="2"/>
          </rPr>
          <t>Number of disks required to meet the I/O requirements for the given RAID configuration.</t>
        </r>
      </text>
    </comment>
    <comment ref="A106" authorId="0">
      <text>
        <r>
          <rPr>
            <sz val="9"/>
            <color indexed="81"/>
            <rFont val="Tahoma"/>
            <family val="2"/>
          </rPr>
          <t>Number of disks required to meet the capacity requirements for the given RAID configuration.</t>
        </r>
      </text>
    </comment>
    <comment ref="A107" authorId="0">
      <text>
        <r>
          <rPr>
            <sz val="9"/>
            <color indexed="81"/>
            <rFont val="Tahoma"/>
            <family val="2"/>
          </rPr>
          <t>Number of disks required to meet the I/O requirements for the given RAID configuration.</t>
        </r>
      </text>
    </comment>
    <comment ref="A108" authorId="0">
      <text>
        <r>
          <rPr>
            <sz val="9"/>
            <color indexed="81"/>
            <rFont val="Tahoma"/>
            <family val="2"/>
          </rPr>
          <t>Number of disks required to meet the capacity requirements for the given RAID configuration.</t>
        </r>
      </text>
    </comment>
    <comment ref="A133" authorId="0">
      <text>
        <r>
          <rPr>
            <sz val="9"/>
            <color indexed="81"/>
            <rFont val="Tahoma"/>
            <family val="2"/>
          </rPr>
          <t>When RAIDOverride=No, this calculation determines the optimum RAID configuration (RAID-1/0 or RAID-5) for the solution by determining which RAID configuration requires the least amount of disks while still satisfying the capacity and performance requirements.  
If RAIDOverride=Yes, then the desired RAID configuration, inputted by the user, will be shown.</t>
        </r>
      </text>
    </comment>
    <comment ref="A134" authorId="0">
      <text>
        <r>
          <rPr>
            <sz val="9"/>
            <color indexed="81"/>
            <rFont val="Tahoma"/>
            <family val="2"/>
          </rPr>
          <t>Number of disks required for the optimum RAID configuration.</t>
        </r>
      </text>
    </comment>
    <comment ref="A135" authorId="0">
      <text>
        <r>
          <rPr>
            <sz val="9"/>
            <color indexed="81"/>
            <rFont val="Tahoma"/>
            <family val="2"/>
          </rPr>
          <t>Required number of disks for the replica for the optimum RAID configuration.</t>
        </r>
      </text>
    </comment>
    <comment ref="A136" authorId="0">
      <text>
        <r>
          <rPr>
            <sz val="9"/>
            <color indexed="81"/>
            <rFont val="Tahoma"/>
            <family val="2"/>
          </rPr>
          <t>When RAIDOverride=No, this calculation utilizes RAID-1/0 for the solution by determining which RAID configuration requires the least amount of disks while still satisfying the capacity and performance requirements.  
If RAIDOverride=Yes, then either RAID-0 or RAID-1/0, inputted by the user, will be shown.  If the user selected RAID-5 or RAID-6, RAID-1/0 will be used.</t>
        </r>
      </text>
    </comment>
    <comment ref="A137" authorId="0">
      <text>
        <r>
          <rPr>
            <sz val="9"/>
            <color indexed="81"/>
            <rFont val="Tahoma"/>
            <family val="2"/>
          </rPr>
          <t>Number of disks required for the optimum RAID configuration.</t>
        </r>
      </text>
    </comment>
    <comment ref="A138" authorId="0">
      <text>
        <r>
          <rPr>
            <sz val="9"/>
            <color indexed="81"/>
            <rFont val="Tahoma"/>
            <family val="2"/>
          </rPr>
          <t>Required number of disks for the replica for the optimum RAID configuration.</t>
        </r>
      </text>
    </comment>
    <comment ref="A139" authorId="0">
      <text>
        <r>
          <rPr>
            <sz val="9"/>
            <color indexed="81"/>
            <rFont val="Tahoma"/>
            <family val="2"/>
          </rPr>
          <t>This calculation determines the desired RAID configuration based on user input.</t>
        </r>
      </text>
    </comment>
    <comment ref="A140" authorId="0">
      <text>
        <r>
          <rPr>
            <sz val="9"/>
            <color indexed="81"/>
            <rFont val="Tahoma"/>
            <family val="2"/>
          </rPr>
          <t>Number of disks required for the optimum RAID configuration.</t>
        </r>
      </text>
    </comment>
    <comment ref="A143" authorId="0">
      <text>
        <r>
          <rPr>
            <sz val="9"/>
            <color indexed="81"/>
            <rFont val="Tahoma"/>
            <family val="2"/>
          </rPr>
          <t>This is the optimum disk configuration (capacity and type) for the mailbox server solution.</t>
        </r>
      </text>
    </comment>
    <comment ref="A144" authorId="0">
      <text>
        <r>
          <rPr>
            <sz val="8"/>
            <color indexed="81"/>
            <rFont val="Tahoma"/>
            <family val="2"/>
          </rPr>
          <t>This is the recommended RAID configuration for the database disk group.</t>
        </r>
      </text>
    </comment>
    <comment ref="A145" authorId="0">
      <text>
        <r>
          <rPr>
            <sz val="8"/>
            <color indexed="81"/>
            <rFont val="Tahoma"/>
            <family val="2"/>
          </rPr>
          <t>The optimum number of database disks will be determined based on ensuring performance is achieved first with the minimal number of disks followed by capacity.</t>
        </r>
      </text>
    </comment>
    <comment ref="A146" authorId="0">
      <text>
        <r>
          <rPr>
            <sz val="8"/>
            <color indexed="81"/>
            <rFont val="Tahoma"/>
            <family val="2"/>
          </rPr>
          <t>This is the recommended number of disks that should be used for the replica (continuous replication) data disk set.  
1.  If CCR, these disks should be on a separate storage array.
2.  If LCR, these disks should not be the same ones that make up the production data disk set.
Also, please do not share the production data spindles with the replica data spindles for recovery purposes.</t>
        </r>
      </text>
    </comment>
    <comment ref="A149" authorId="0">
      <text>
        <r>
          <rPr>
            <sz val="8"/>
            <color indexed="81"/>
            <rFont val="Tahoma"/>
            <family val="2"/>
          </rPr>
          <t>This is the total number of disks required to support the active copy.
This includes:
- Database disks
- Log disks
- Restore LUN disks</t>
        </r>
      </text>
    </comment>
    <comment ref="A150" authorId="0">
      <text>
        <r>
          <rPr>
            <sz val="8"/>
            <color indexed="81"/>
            <rFont val="Tahoma"/>
            <family val="2"/>
          </rPr>
          <t>This is the total number of disks required to support the LCR or CCR replica.
This includes:
- Database disks
- Log disks
- Restore LUN disks (if CCR)</t>
        </r>
      </text>
    </comment>
    <comment ref="A151" authorId="0">
      <text>
        <r>
          <rPr>
            <sz val="9"/>
            <color indexed="81"/>
            <rFont val="Tahoma"/>
            <family val="2"/>
          </rPr>
          <t>This is the total number of disks required to support each SCR target.</t>
        </r>
      </text>
    </comment>
    <comment ref="A152" authorId="0">
      <text>
        <r>
          <rPr>
            <sz val="9"/>
            <color indexed="81"/>
            <rFont val="Tahoma"/>
            <family val="2"/>
          </rPr>
          <t>This is the total number of disks required to support each mailbox server (and its respective database copy) as well as each SCR target.</t>
        </r>
      </text>
    </comment>
  </commentList>
</comments>
</file>

<file path=xl/comments7.xml><?xml version="1.0" encoding="utf-8"?>
<comments xmlns="http://schemas.openxmlformats.org/spreadsheetml/2006/main">
  <authors>
    <author>Ross Smith IV</author>
  </authors>
  <commentList>
    <comment ref="C84" authorId="0">
      <text>
        <r>
          <rPr>
            <sz val="8"/>
            <color indexed="81"/>
            <rFont val="Tahoma"/>
            <family val="2"/>
          </rPr>
          <t>Random disk I/O measured at the controller</t>
        </r>
      </text>
    </comment>
    <comment ref="B244" authorId="0">
      <text>
        <r>
          <rPr>
            <sz val="8"/>
            <color indexed="81"/>
            <rFont val="Tahoma"/>
            <family val="2"/>
          </rPr>
          <t>Random disk I/O measured at the controller</t>
        </r>
      </text>
    </comment>
  </commentList>
</comments>
</file>

<file path=xl/sharedStrings.xml><?xml version="1.0" encoding="utf-8"?>
<sst xmlns="http://schemas.openxmlformats.org/spreadsheetml/2006/main" count="1086" uniqueCount="700">
  <si>
    <t>DB Read Transfers/s</t>
  </si>
  <si>
    <t>DB Write Transfers/s</t>
  </si>
  <si>
    <r>
      <t>Note1</t>
    </r>
    <r>
      <rPr>
        <sz val="10"/>
        <rFont val="Arial"/>
        <family val="2"/>
      </rPr>
      <t>: Do not make any changes to this sheet.  This sheet is only used for calculation purposes.</t>
    </r>
  </si>
  <si>
    <t>Raw Disk Capacity (GB)</t>
  </si>
  <si>
    <t>Formatted Disk Capacity (GB)</t>
  </si>
  <si>
    <t>User Concurrency</t>
  </si>
  <si>
    <t>Peak IOPS</t>
  </si>
  <si>
    <t>I/O Calculations</t>
  </si>
  <si>
    <r>
      <t>Instructions</t>
    </r>
    <r>
      <rPr>
        <sz val="10"/>
        <rFont val="Arial"/>
        <family val="2"/>
      </rPr>
      <t xml:space="preserve">:  Fill in the </t>
    </r>
    <r>
      <rPr>
        <sz val="10"/>
        <color indexed="12"/>
        <rFont val="Arial"/>
        <family val="2"/>
      </rPr>
      <t>blue variables</t>
    </r>
    <r>
      <rPr>
        <sz val="10"/>
        <rFont val="Arial"/>
        <family val="2"/>
      </rPr>
      <t xml:space="preserve">.  Choose the appropriate drop-downs for the </t>
    </r>
    <r>
      <rPr>
        <sz val="10"/>
        <color indexed="10"/>
        <rFont val="Arial"/>
        <family val="2"/>
      </rPr>
      <t>red variables</t>
    </r>
    <r>
      <rPr>
        <sz val="10"/>
        <rFont val="Arial"/>
        <family val="2"/>
      </rPr>
      <t>.</t>
    </r>
  </si>
  <si>
    <t>Exchange Server Configuration</t>
  </si>
  <si>
    <t>Exchange Data Configuration</t>
  </si>
  <si>
    <t>YNQuestion</t>
  </si>
  <si>
    <t>Yes</t>
  </si>
  <si>
    <t>No</t>
  </si>
  <si>
    <t>IOPS Configuration</t>
  </si>
  <si>
    <t>Maximum Disk I/O Capacity Percentage</t>
  </si>
  <si>
    <t>Content Indexing?</t>
  </si>
  <si>
    <t>Author: Ross Smith IV</t>
  </si>
  <si>
    <t>5 sent/20 received</t>
  </si>
  <si>
    <t>10 sent/40 received</t>
  </si>
  <si>
    <t>20 sent/80 received</t>
  </si>
  <si>
    <t>30 sent/120 received</t>
  </si>
  <si>
    <t>User Type</t>
  </si>
  <si>
    <t>Light</t>
  </si>
  <si>
    <t>Average</t>
  </si>
  <si>
    <t>Heavy</t>
  </si>
  <si>
    <t>Mailbox Memory Recommendation (+ MB)</t>
  </si>
  <si>
    <t>Very Heavy</t>
  </si>
  <si>
    <t>Mailboxes / DB</t>
  </si>
  <si>
    <t>Disk Drive</t>
  </si>
  <si>
    <t>Capacity</t>
  </si>
  <si>
    <t>Disk Type</t>
  </si>
  <si>
    <t>Backup Configuration</t>
  </si>
  <si>
    <t>Backup Calculations</t>
  </si>
  <si>
    <t>Mailbox Size (MB)</t>
  </si>
  <si>
    <t>CCR</t>
  </si>
  <si>
    <t>LCR</t>
  </si>
  <si>
    <t>None</t>
  </si>
  <si>
    <t>Continuous Replication Model</t>
  </si>
  <si>
    <t>Database Calculations</t>
  </si>
  <si>
    <t>Log Read Transfers/s</t>
  </si>
  <si>
    <t>Recommended RAID-5 Total DB IOPS</t>
  </si>
  <si>
    <t>Deleted Item Retention Window (Days)</t>
  </si>
  <si>
    <t>Recommended RAM Configuration (GB)</t>
  </si>
  <si>
    <t>Totals</t>
  </si>
  <si>
    <t>Memory Profile / Mailbox</t>
  </si>
  <si>
    <t>IOPS Profile / Mailbox</t>
  </si>
  <si>
    <t>Message Profile / Mailbox</t>
  </si>
  <si>
    <t>Light (2MB)</t>
  </si>
  <si>
    <t>Average (3.5MB)</t>
  </si>
  <si>
    <t>Heavy (5MB)</t>
  </si>
  <si>
    <t>Exchange 2007 Mailbox Server Role Storage Requirements Calculator</t>
  </si>
  <si>
    <t>RAID I/O Calculations</t>
  </si>
  <si>
    <t>Recommended RAID-6 Total DB IOPS</t>
  </si>
  <si>
    <t>RAID-1/0</t>
  </si>
  <si>
    <t>DB LUN Size Required (GB)</t>
  </si>
  <si>
    <t>Log LUN Size Required (GB)</t>
  </si>
  <si>
    <t>Total Log Disk Space Required (GB)</t>
  </si>
  <si>
    <t>Incremental or Differential Backup Window / SG (min)</t>
  </si>
  <si>
    <t>Incremental/Differential Backup Window / SG (min)</t>
  </si>
  <si>
    <t>Backup Methodology</t>
  </si>
  <si>
    <t>Backup Method</t>
  </si>
  <si>
    <t>VSS Backup/Restore</t>
  </si>
  <si>
    <t>VSS Backup Only</t>
  </si>
  <si>
    <t>Streaming</t>
  </si>
  <si>
    <t>Daily Full</t>
  </si>
  <si>
    <t>Weekly Full / Daily Incremental</t>
  </si>
  <si>
    <t>Weekly Full / Daily Differential</t>
  </si>
  <si>
    <t>Backup Frequency</t>
  </si>
  <si>
    <t>--</t>
  </si>
  <si>
    <t>LUN Design</t>
  </si>
  <si>
    <t>SG</t>
  </si>
  <si>
    <t>LUN Configuration</t>
  </si>
  <si>
    <t>DB Number</t>
  </si>
  <si>
    <t>Disk Capacity Calculations</t>
  </si>
  <si>
    <t>Database Disk Space Required (GB)</t>
  </si>
  <si>
    <t>Restore LUN Size (GB)</t>
  </si>
  <si>
    <t>Storage Design Results Pane</t>
  </si>
  <si>
    <t>Storage Requirements Results Pane</t>
  </si>
  <si>
    <t>Database Configuration</t>
  </si>
  <si>
    <t>Recommended Maximum Database Size</t>
  </si>
  <si>
    <t>Server Calculations</t>
  </si>
  <si>
    <t>Enabled</t>
  </si>
  <si>
    <t>Disabled</t>
  </si>
  <si>
    <t>Max Memory (GB)</t>
  </si>
  <si>
    <t>250GB 7.2K RPM SATA (Native)</t>
  </si>
  <si>
    <t>250GB 7.2K RPM SATA (Non-Native)</t>
  </si>
  <si>
    <t>500GB 7.2K RPM SATA (Native)</t>
  </si>
  <si>
    <t>500GB 7.2K RPM SATA (Non-Native)</t>
  </si>
  <si>
    <t xml:space="preserve">Disk I/O </t>
  </si>
  <si>
    <t>36GB 10K RPM FC/SCSI/SAS 3.5"</t>
  </si>
  <si>
    <t>72GB 10K RPM FC/SCSI/SAS 3.5"</t>
  </si>
  <si>
    <t>36GB 15K RPM FC/SCSI/SAS 3.5"</t>
  </si>
  <si>
    <t>36GB 10K RPM SAS 2.5"</t>
  </si>
  <si>
    <t>36GB 15K RPM SAS 2.5"</t>
  </si>
  <si>
    <t>72GB 10K RPM SAS 2.5"</t>
  </si>
  <si>
    <t>72GB 15K RPM SAS 2.5"</t>
  </si>
  <si>
    <t>146GB 10K RPM SAS 2.5"</t>
  </si>
  <si>
    <t>146GB 15K RPM SAS 2.5"</t>
  </si>
  <si>
    <t>72GB 15K RPM FC/SCSI/SAS 3.5"</t>
  </si>
  <si>
    <t>146GB 10K RPM FC/SCSI/SAS 3.5"</t>
  </si>
  <si>
    <t>146GB 15K RPM FC/SCSI/SAS 3.5"</t>
  </si>
  <si>
    <t>300GB 10K RPM FC/SCSI/SAS 3.5"</t>
  </si>
  <si>
    <t>300GB 15K RPM FC/SCSI/SAS 3.5"</t>
  </si>
  <si>
    <t>Mailbox Moves / Week Percentage</t>
  </si>
  <si>
    <t>Recommended Number of Databases / LUN</t>
  </si>
  <si>
    <t>Recommended Number of Database LUNs</t>
  </si>
  <si>
    <t>Recommended Number of Transaction Log LUNs</t>
  </si>
  <si>
    <t>Total Recommended Exchange LUNs</t>
  </si>
  <si>
    <r>
      <t>Note1</t>
    </r>
    <r>
      <rPr>
        <sz val="10"/>
        <rFont val="Arial"/>
        <family val="2"/>
      </rPr>
      <t>: Do not make any changes to this sheet.</t>
    </r>
  </si>
  <si>
    <t>Storage Configuration</t>
  </si>
  <si>
    <t>Transaction Log Calculations</t>
  </si>
  <si>
    <t>Version 0.1 - 3.9 - Development Releases</t>
  </si>
  <si>
    <t>Version 4.0 - Beta Release</t>
  </si>
  <si>
    <t>Storage Requirements Calculations Pane</t>
  </si>
  <si>
    <t>Storage Design Calculations Pane</t>
  </si>
  <si>
    <t>Log Write Transfers/s</t>
  </si>
  <si>
    <t>Full Backup Window / SG (hr)</t>
  </si>
  <si>
    <t>Average Message Size (KB)</t>
  </si>
  <si>
    <t>Total Items</t>
  </si>
  <si>
    <t>Version 4.2 - Beta Feedback (Kyryl Perederiy)</t>
  </si>
  <si>
    <t>3+1</t>
  </si>
  <si>
    <t>7+1</t>
  </si>
  <si>
    <t>RAID-5 Group Type</t>
  </si>
  <si>
    <t>RAID-6 Group Type</t>
  </si>
  <si>
    <t>6+2</t>
  </si>
  <si>
    <t>Version 4.3 - Beta Feedback (Kyryl Perederiy)</t>
  </si>
  <si>
    <t>Number of SGs</t>
  </si>
  <si>
    <t>Number of Restore LUNs</t>
  </si>
  <si>
    <t>Send/Receive Capability / Mailbox / Day</t>
  </si>
  <si>
    <t>I/O Overhead Factor</t>
  </si>
  <si>
    <t>Data Overhead Factor</t>
  </si>
  <si>
    <t>4+1</t>
  </si>
  <si>
    <t>6+1</t>
  </si>
  <si>
    <t>8+1</t>
  </si>
  <si>
    <t>Number Capacity Disks</t>
  </si>
  <si>
    <t>Version 4.4 - Beta Feedback (Ray Infante, Robert Quimbey) and various bug fixes</t>
  </si>
  <si>
    <t>Number Parity Disks</t>
  </si>
  <si>
    <t>Version 4.5 - Fixed Log disk requirements</t>
  </si>
  <si>
    <t>RAID-5 Number of Restore LUN Disks</t>
  </si>
  <si>
    <t>Recommended RAID-1/0 Total DB IOPS</t>
  </si>
  <si>
    <t>Version 4.6 - Beta Feedback (Kyryl Perederiy) and bug fixes</t>
  </si>
  <si>
    <t>Base RAID-1/0 Total DB IOPS</t>
  </si>
  <si>
    <t>Base RAID-5 Total DB IOPS</t>
  </si>
  <si>
    <t>Base RAID-6 Total DB IOPS</t>
  </si>
  <si>
    <t>RAID Rebuild Overhead</t>
  </si>
  <si>
    <t>RAID-1/0 Rebuild Overhead</t>
  </si>
  <si>
    <t>RAID-5 Rebuild Overhead</t>
  </si>
  <si>
    <t>RAID-6 Rebuild Overhead</t>
  </si>
  <si>
    <t>RAID-5 Parity Grouping</t>
  </si>
  <si>
    <t>RAID-6 Parity Grouping</t>
  </si>
  <si>
    <t>Total Disks</t>
  </si>
  <si>
    <t>Version 4.7 - Beta Feedback (Matt Gossage, Kyryl Perederiy) and bug fixes</t>
  </si>
  <si>
    <t>SG Group Count</t>
  </si>
  <si>
    <t>1-4</t>
  </si>
  <si>
    <t>5-8</t>
  </si>
  <si>
    <t>9-12</t>
  </si>
  <si>
    <t>13-16</t>
  </si>
  <si>
    <t>17-20</t>
  </si>
  <si>
    <t>21-24</t>
  </si>
  <si>
    <t>25-28</t>
  </si>
  <si>
    <t>29-32</t>
  </si>
  <si>
    <t>33-36</t>
  </si>
  <si>
    <t>37-40</t>
  </si>
  <si>
    <t>41-44</t>
  </si>
  <si>
    <t>45-48</t>
  </si>
  <si>
    <t>Version 4.8 - Updated Memory Guidance</t>
  </si>
  <si>
    <t xml:space="preserve">Questions: Email strgcalc@microsoft.com  </t>
  </si>
  <si>
    <t>Version 4.9 - Added question email address</t>
  </si>
  <si>
    <r>
      <t>Note2</t>
    </r>
    <r>
      <rPr>
        <sz val="10"/>
        <rFont val="Arial"/>
        <family val="2"/>
      </rPr>
      <t>: The term RAID-1/0 assumes that the enclosure can either create RAID-0+1 or RAID-1+0 arrays.  RAID-1+0 is recommended over RAID-0+1.</t>
    </r>
  </si>
  <si>
    <t>RAID Parity Configuration</t>
  </si>
  <si>
    <r>
      <t>Note1</t>
    </r>
    <r>
      <rPr>
        <sz val="10"/>
        <rFont val="Arial"/>
        <family val="2"/>
      </rPr>
      <t>: This calculator assumes that the only role installed on the server is the Mailbox Server Role.</t>
    </r>
  </si>
  <si>
    <t>RAID-1/0 Parity Grouping</t>
  </si>
  <si>
    <t>4+4</t>
  </si>
  <si>
    <t>2+2</t>
  </si>
  <si>
    <t>RAID-1/0 Group Type</t>
  </si>
  <si>
    <t>Version 5.2 - RAID-1/0 I/O Calculation adjustment</t>
  </si>
  <si>
    <t>Log Disk Calculations</t>
  </si>
  <si>
    <t>Version 5.3 - RAID-1/0 Log Calculation Adjustment</t>
  </si>
  <si>
    <t>Version 4.1 - Beta Feedback (Ray Infante, Steve Sweetman, Kyryl Perederiy, Chris Polk) and various bug fixes</t>
  </si>
  <si>
    <t>1+1</t>
  </si>
  <si>
    <t>Version 5.5 - Added 1+1 RAID-1/0 Parity Group</t>
  </si>
  <si>
    <t>Version 5.1 - Added RAID-1/0 Parity Groups (Nino Bilic)</t>
  </si>
  <si>
    <t>Version 5.4 - RAID-1/0 Log Calculation Adjustment; inclusion of RAID-1/0 Rebuild Overhead in RAID-1/0 Log I/O Calculation (Chris Polk)</t>
  </si>
  <si>
    <t>DB Reads / Mailbox</t>
  </si>
  <si>
    <t>DB Cache / Mailbox (MB)</t>
  </si>
  <si>
    <t>DB Writes / Mailbox</t>
  </si>
  <si>
    <t>Amount of RAM Needed for Store/ESE</t>
  </si>
  <si>
    <t>Client Configuration</t>
  </si>
  <si>
    <t>Outlook Profile</t>
  </si>
  <si>
    <t>Online Mode</t>
  </si>
  <si>
    <t>Cached Mode</t>
  </si>
  <si>
    <t>Outlook Mode (Majority of Clients)</t>
  </si>
  <si>
    <t>Version 5.6 - Changed the way we calculate the IOPS profile (Removed E2K3 Reduction value, added IOPS Calculation, added Outlook Client Mode)</t>
  </si>
  <si>
    <t>Version 5.7 - Formatting changes</t>
  </si>
  <si>
    <t>Restore LUN Capacity</t>
  </si>
  <si>
    <t>Version 5.8 - Formatting changes</t>
  </si>
  <si>
    <t>Version 5.9 - Added Software VSS Capability</t>
  </si>
  <si>
    <t>Hardware VSS Backup/Restore</t>
  </si>
  <si>
    <t>Software VSS Backup/Restore</t>
  </si>
  <si>
    <t>Predict IOPS Value?</t>
  </si>
  <si>
    <t>Version 6.0 - Changed "Override IOPS Calculation" to "Predict IOPS Value"</t>
  </si>
  <si>
    <t>Version 6.1 - Fixed comment error in Storage Design Tab</t>
  </si>
  <si>
    <t>Version 6.2 - Fixed avg message size font color</t>
  </si>
  <si>
    <t>Version 6.3 - Fixed Log Disk calculation</t>
  </si>
  <si>
    <t>Version 6.4 - Added Ray's name to list of contributors</t>
  </si>
  <si>
    <t>Version 6.5 - Added LUN capacity factor to prevent design of LUNs that 100% utilized (Chuck Chiambalero)</t>
  </si>
  <si>
    <t>LUN Free Space Percentage</t>
  </si>
  <si>
    <t>Transaction Logs Generated</t>
  </si>
  <si>
    <t>Transaction Logs Generated / Mailbox / Day</t>
  </si>
  <si>
    <t>Version 6.6 - Changed the way transaction logs are generated by basing it on the message profile</t>
  </si>
  <si>
    <t>Replica</t>
  </si>
  <si>
    <t>Source</t>
  </si>
  <si>
    <t>Version 6.7 - Adjusted Disk Requirements Results Table to indicate Space Required is per Replica; Adjusted LUN Requirements Table to Indicate Replica Requirements (Jeffrey Rosen)</t>
  </si>
  <si>
    <t>Version 6.8 - Improved Log Disk calculation</t>
  </si>
  <si>
    <t>RAID-1/0 Number of Log Disks (Performance)</t>
  </si>
  <si>
    <t>RAID-1/0 Number of Log Disks (Capacity)</t>
  </si>
  <si>
    <t>Recommended RAID-1/0 Total Log IOPS</t>
  </si>
  <si>
    <t>Base RAID-1/0 Total Log IOPS</t>
  </si>
  <si>
    <r>
      <t>Note3</t>
    </r>
    <r>
      <rPr>
        <sz val="10"/>
        <rFont val="Arial"/>
        <family val="2"/>
      </rPr>
      <t>: If third-party applications/services will be utilized, please refer to the third-party manufacturer to determine if the application/service will have any I/O or capacity impacts on the solution.</t>
    </r>
  </si>
  <si>
    <t>Version 7.0 - Fixed Total Number of Disks Required to account for Restore LUN / node</t>
  </si>
  <si>
    <t>RAID Configuration</t>
  </si>
  <si>
    <t>Version 7.1 - Added 750GB SATA disks; Added RAID-6 override; updated transactions generated / mailbox profile values</t>
  </si>
  <si>
    <t>Version 6.9 - Improved Log Disk Calculation (Muris Saab)</t>
  </si>
  <si>
    <t>Disk Size</t>
  </si>
  <si>
    <t>10K RPM FC/SCSI/SAS 3.5"</t>
  </si>
  <si>
    <t>15K RPM FC/SCSI/SAS 3.5"</t>
  </si>
  <si>
    <t>10K RPM SAS 2.5"</t>
  </si>
  <si>
    <t>Disk Capacity</t>
  </si>
  <si>
    <t>Version 7.2 - Updated Online Mode database read I/O calculations; changed disk configuration table</t>
  </si>
  <si>
    <t>Monday</t>
  </si>
  <si>
    <t>Tuesday</t>
  </si>
  <si>
    <t>Wednesday</t>
  </si>
  <si>
    <t>Friday</t>
  </si>
  <si>
    <t>Saturday</t>
  </si>
  <si>
    <t>Sunday</t>
  </si>
  <si>
    <t>Thursday</t>
  </si>
  <si>
    <t>Number of Databases / LUN</t>
  </si>
  <si>
    <t>Backup Requirements Calculations Pane</t>
  </si>
  <si>
    <t>LUN Requirements Calculations Pane</t>
  </si>
  <si>
    <t>Storage Group</t>
  </si>
  <si>
    <t>Version 7.3 - Added Backup Design tab; fixed formatting issues; grouped calculation tables into group and hid them by default</t>
  </si>
  <si>
    <t>Version 7.4 - Removed additional I/O overhead factor from Log Write Transfers /s and moved I/O Overhead Factor from IOPS/mailbox to Peak IOPS calculation (Dan Baskette)</t>
  </si>
  <si>
    <t>Version 7.5 - Formatting Changes</t>
  </si>
  <si>
    <t>Version 7.6 - RAID-1/0 Performance calculation fix for small scale mailbox deployments; formatting changes</t>
  </si>
  <si>
    <t>Version 7.7 - Fixed Base RAID-1/0 Log Calculation</t>
  </si>
  <si>
    <t>Version 7.8 - Fixed backwards compatibility conditional formatting issue.</t>
  </si>
  <si>
    <t>7.2K RPM SATA</t>
  </si>
  <si>
    <t>Random Disk Spindle I/O (Disk Transfers/s)</t>
  </si>
  <si>
    <t>Version 7.9 - Combined Non-Native and Native SATA disks.  Also reduced SATA Random IOPS to 50.  Added a note regarding SATA disk performance.</t>
  </si>
  <si>
    <t>Hour</t>
  </si>
  <si>
    <t>RPO</t>
  </si>
  <si>
    <t>Log Replication Requirements Calculations Pane</t>
  </si>
  <si>
    <t>Log Replication Requirements Results Pane</t>
  </si>
  <si>
    <t>Log Data Generated</t>
  </si>
  <si>
    <t>Hours</t>
  </si>
  <si>
    <t>Log Disk Space Required - Mailbox Moves</t>
  </si>
  <si>
    <t>Log Disk Space Required - Backups</t>
  </si>
  <si>
    <t>Transaction Log Data Generated / Day</t>
  </si>
  <si>
    <t>Recovery Point Objective (Hours)</t>
  </si>
  <si>
    <t>Recovery Point Objective (hours)</t>
  </si>
  <si>
    <t>Total Mailboxes</t>
  </si>
  <si>
    <t>Calculated Total RAM Configuration</t>
  </si>
  <si>
    <t>Version 8.2 - Added Executive User Mailbox scenario</t>
  </si>
  <si>
    <t>Percentage of Logs Generated</t>
  </si>
  <si>
    <t>Version 8.0/8.1 - Included Replication Requirements tab (Paul Galjan)</t>
  </si>
  <si>
    <t>Recommended Number of Mailboxes / DB</t>
  </si>
  <si>
    <t>Calculated Number of Mailboxes / DB</t>
  </si>
  <si>
    <t>Version 8.3 - Cleaned up LUN Requirements by separating out data overhead and LUN capacity figures so that we could show disk space required for database and logs and LUN disk space required for database and logs.  Also updated the restore LUN calculations as well.  New results are shown in the storage requirements tab.</t>
  </si>
  <si>
    <t>Maximum Database Size (GB)</t>
  </si>
  <si>
    <t>Version 5.0 - Updated Storage LUN Design calculations (removed unnecessary 10% overhead if Restore LUN enabled)</t>
  </si>
  <si>
    <t>Version 8.4 - Added in Tier2 mailbox configuration and changed storage requirements and LUN requirements tabs as a result.  Also added customization for maximum database size.</t>
  </si>
  <si>
    <t>Use Recommended Maximum Database Sizes?</t>
  </si>
  <si>
    <t>5+1</t>
  </si>
  <si>
    <t>2+1</t>
  </si>
  <si>
    <t>Storage Requirements Input Factors - Server Configuration</t>
  </si>
  <si>
    <r>
      <rPr>
        <b/>
        <sz val="11"/>
        <rFont val="Arial"/>
        <family val="2"/>
      </rPr>
      <t>Step 1</t>
    </r>
    <r>
      <rPr>
        <sz val="11"/>
        <rFont val="Arial"/>
        <family val="2"/>
      </rPr>
      <t xml:space="preserve"> - Please enter in the appropriate information for cells that are </t>
    </r>
    <r>
      <rPr>
        <sz val="11"/>
        <color rgb="FF0000FF"/>
        <rFont val="Arial"/>
        <family val="2"/>
      </rPr>
      <t>blue</t>
    </r>
    <r>
      <rPr>
        <sz val="11"/>
        <rFont val="Arial"/>
        <family val="2"/>
      </rPr>
      <t xml:space="preserve"> and choose the appropriate drop-downs for cells that are </t>
    </r>
    <r>
      <rPr>
        <sz val="11"/>
        <color rgb="FFFF0000"/>
        <rFont val="Arial"/>
        <family val="2"/>
      </rPr>
      <t>red</t>
    </r>
    <r>
      <rPr>
        <sz val="11"/>
        <rFont val="Arial"/>
        <family val="2"/>
      </rPr>
      <t xml:space="preserve"> concerning your server configuration.</t>
    </r>
  </si>
  <si>
    <t>Storage Requirements Input Factors - Backup Configuration</t>
  </si>
  <si>
    <t>Storage Requirements Input Factors - Log Replication Configuration</t>
  </si>
  <si>
    <t>Log Replication Configuration</t>
  </si>
  <si>
    <t>Version 8.5 - Moved Storage Requirements Results to a new worksheet and created a single Inputs worksheet that walks through the steps to use the calculator.</t>
  </si>
  <si>
    <t>Geographically Dispersed CCR Log Replication</t>
  </si>
  <si>
    <r>
      <rPr>
        <b/>
        <sz val="10"/>
        <color indexed="18"/>
        <rFont val="Arial"/>
        <family val="2"/>
      </rPr>
      <t>Legal Information</t>
    </r>
    <r>
      <rPr>
        <sz val="10"/>
        <color indexed="18"/>
        <rFont val="Arial"/>
        <family val="2"/>
      </rPr>
      <t>: This is provided "AS IS" with no warranties, and confers no rights. Use of this application is subject to the Terms of Use - http://technet.microsoft.com/en-us/library/aa997216.aspx.</t>
    </r>
  </si>
  <si>
    <t>Version 8.6 - Incorporated log replication bandwidth requirements for geographically dispersed CCR scenarios.  Added legal statement.</t>
  </si>
  <si>
    <r>
      <t>Note4:</t>
    </r>
    <r>
      <rPr>
        <sz val="10"/>
        <rFont val="Arial"/>
        <family val="2"/>
      </rPr>
      <t xml:space="preserve"> This calculator distributes the different tiers of mailboxes across each database (in other words, mailbox tiers do not have dedicated databases).</t>
    </r>
  </si>
  <si>
    <r>
      <t>Note2</t>
    </r>
    <r>
      <rPr>
        <sz val="10"/>
        <rFont val="Arial"/>
        <family val="2"/>
      </rPr>
      <t>: The calculated IOPS/mbx value has an accuracy of +/- 20% accuracy and does not include third-party products that may generate additional Database Reads and Writes.</t>
    </r>
  </si>
  <si>
    <t>Version 8.7 - Text changes.  Also factored in log generation / mailbox based on average message size.</t>
  </si>
  <si>
    <t>Restore LUN Size / Node (and / SCR Targets)</t>
  </si>
  <si>
    <t>Total Number of SCR Disks Required / SCR Target</t>
  </si>
  <si>
    <t>Version 8.8 - Added SCR options.</t>
  </si>
  <si>
    <t>Hours in the Day</t>
  </si>
  <si>
    <t>Number of Logs Generated / Hour</t>
  </si>
  <si>
    <t>Disk Space &amp; Performance Requirements</t>
  </si>
  <si>
    <t>Storage Requirements Input Factors - Mailbox &amp; Client Configuration</t>
  </si>
  <si>
    <t>Recovery Configuration</t>
  </si>
  <si>
    <t>Version 8.9 - Incorporated feedback from Ramon Infante</t>
  </si>
  <si>
    <r>
      <t>Instructions</t>
    </r>
    <r>
      <rPr>
        <sz val="10"/>
        <rFont val="Arial"/>
        <family val="2"/>
      </rPr>
      <t xml:space="preserve">: Fill in the </t>
    </r>
    <r>
      <rPr>
        <sz val="10"/>
        <color indexed="12"/>
        <rFont val="Arial"/>
        <family val="2"/>
      </rPr>
      <t>blue variables</t>
    </r>
    <r>
      <rPr>
        <sz val="10"/>
        <rFont val="Arial"/>
        <family val="2"/>
      </rPr>
      <t xml:space="preserve">.  Choose the appropriate drop-downs for the </t>
    </r>
    <r>
      <rPr>
        <sz val="10"/>
        <color indexed="10"/>
        <rFont val="Arial"/>
        <family val="2"/>
      </rPr>
      <t>red variables</t>
    </r>
    <r>
      <rPr>
        <sz val="10"/>
        <rFont val="Arial"/>
        <family val="2"/>
      </rPr>
      <t>.  The calculator will do the rest.</t>
    </r>
  </si>
  <si>
    <t>Tier-1 User Mailbox Configuration</t>
  </si>
  <si>
    <t>Tier-1 User Mailbox Size Limit (MB)</t>
  </si>
  <si>
    <t>Tier-1 User IOPS / mailbox</t>
  </si>
  <si>
    <t>Tier-2 User Mailbox Configuration</t>
  </si>
  <si>
    <t>Tier-2 User Mailbox Size Limit (MB)</t>
  </si>
  <si>
    <t>Tier-3 User Mailbox Configuration</t>
  </si>
  <si>
    <t>Tier-3 User Mailbox Size Limit (MB)</t>
  </si>
  <si>
    <t>Tier-3 User IOPS / mailbox</t>
  </si>
  <si>
    <t>Tier-3 User Mailbox Calculations</t>
  </si>
  <si>
    <t>Tier-1 User Mailbox Calculations</t>
  </si>
  <si>
    <t>Tier-2 User Mailbox Calculations</t>
  </si>
  <si>
    <t>Minimum RAM Guidance</t>
  </si>
  <si>
    <t>Restore LUN Size</t>
  </si>
  <si>
    <t>SCR Targets</t>
  </si>
  <si>
    <t>SCR Log Replication Required Throughput (Mb/s)</t>
  </si>
  <si>
    <t>Version 9.0 - Corrected calculation of LUN free space percentage so that it actually ensured the correct percentage of free space would be available (Martin Coetzer).  Made some formatting changes.</t>
  </si>
  <si>
    <t>Version 9.1 - Fixed RAID-1/0 Number of Log Disks performance calculation; fixed RAID Rebuild Overhead calculations to ensure less than 100% scenarios took into account the full percentage</t>
  </si>
  <si>
    <t>Required Throughput (Mb/s) / SCR Target</t>
  </si>
  <si>
    <t xml:space="preserve">Version 9.2 - Documented SCR Log Replication Throughput is per SCR Target (Thierry Demorre) </t>
  </si>
  <si>
    <t>Version 9.3 - scoped geographically dispersed CCR throughput to only list throughput requirements if CCR is the source continuous replication model</t>
  </si>
  <si>
    <t>Tier-1 Number of Mailboxes / DB</t>
  </si>
  <si>
    <t>Tier-2 Number of Mailboxes / DB</t>
  </si>
  <si>
    <t>Tier-3 Number of Mailboxes / DB</t>
  </si>
  <si>
    <t>Number of Tier-1 Mailboxes / Database</t>
  </si>
  <si>
    <t>Number of Tier-2 Mailboxes / Database</t>
  </si>
  <si>
    <t>Number of Tier-3 Mailboxes / Database</t>
  </si>
  <si>
    <t>Recommended Number of Mailboxes / Database</t>
  </si>
  <si>
    <t>Version 9.4 - Added a table that shows how many mailboxes from each Tier are placed within a database. (Jeffrey Rosen)</t>
  </si>
  <si>
    <t>Storage Group LUN Design Approach</t>
  </si>
  <si>
    <t>Number of SG DB LUNs</t>
  </si>
  <si>
    <t>DB Grouping</t>
  </si>
  <si>
    <t>SG Grouping</t>
  </si>
  <si>
    <t>1/7</t>
  </si>
  <si>
    <t>LUN Design Architecture</t>
  </si>
  <si>
    <t>Calculated Total Number of Mailboxes</t>
  </si>
  <si>
    <t>Send/Receive / day (~50KB)</t>
  </si>
  <si>
    <t>Number of Storage Groups</t>
  </si>
  <si>
    <t>Number of LUNs / Backup Set</t>
  </si>
  <si>
    <t>Dedicated Maintenance / Restore LUN?</t>
  </si>
  <si>
    <t>Version 9.5 - Changed Storage Design tab to use DB and Log LUN Space Requirements for disk capacity sizing. (Steve Antonio)</t>
  </si>
  <si>
    <t>LUN Size Response</t>
  </si>
  <si>
    <t>Special Notes</t>
  </si>
  <si>
    <t>User Transaction Logs Generated / Day / Server</t>
  </si>
  <si>
    <t>User Transaction Logs Generated / Day / SG</t>
  </si>
  <si>
    <t>Mailbox Move Transaction Logs Generated / Day / Server</t>
  </si>
  <si>
    <t>Mailbox Move Transaction Logs Generated / Day / SG</t>
  </si>
  <si>
    <t>Mailbox Move Transaction Logs Generated / Week / SG</t>
  </si>
  <si>
    <t>Mailbox Move Transaction Logs Generated / Week / Server</t>
  </si>
  <si>
    <t>User Transaction Logs Generated / SG / Day</t>
  </si>
  <si>
    <t>Average Transaction Logs Generated / SG / Day</t>
  </si>
  <si>
    <t>Average Move Mailbox Transaction Logs Generated / SG / Day</t>
  </si>
  <si>
    <r>
      <t>Note2</t>
    </r>
    <r>
      <rPr>
        <sz val="10"/>
        <rFont val="Arial"/>
        <family val="2"/>
      </rPr>
      <t>: The calculated IOPS value has an accuracy of +/- 20% accuracy and does not include third-party products that may generate additional Database Reads and Writes.</t>
    </r>
  </si>
  <si>
    <t>Number of SGs / LUN</t>
  </si>
  <si>
    <r>
      <t>Note3:</t>
    </r>
    <r>
      <rPr>
        <sz val="10"/>
        <rFont val="Arial"/>
        <family val="2"/>
      </rPr>
      <t xml:space="preserve"> While the transaction log capacity for the move mailbox operations is calculated in terms of the entire weekly mailbox moves being performed on the same day (worst case), the average transaction logs generated per day assumes  the opposite (i.e. a percentage of the weekly mailbox move percentage are performed each day) to facilitate log generation planning scenarios (e.g. VSS solutions).</t>
    </r>
  </si>
  <si>
    <t>Important: This tool should only be used for storage modeling purposes.  Please consult with the storage vendor regarding storage design and follow recommended storage design testing processes.  The example configuration provided within this calculator is just that, an example, and as such, each input option needs to be evaluated as to how it will affect your design.</t>
  </si>
  <si>
    <t>Storage Design Input Factors - RAID Configuration</t>
  </si>
  <si>
    <t>Storage Design Input Factors - Disk Selection</t>
  </si>
  <si>
    <t>Database Disk Configuration</t>
  </si>
  <si>
    <r>
      <rPr>
        <b/>
        <sz val="11"/>
        <rFont val="Arial"/>
        <family val="2"/>
      </rPr>
      <t>Step 1</t>
    </r>
    <r>
      <rPr>
        <sz val="11"/>
        <rFont val="Arial"/>
        <family val="2"/>
      </rPr>
      <t xml:space="preserve"> - Please enter in the appropriate information for cells that are </t>
    </r>
    <r>
      <rPr>
        <sz val="11"/>
        <color rgb="FF0000FF"/>
        <rFont val="Arial"/>
        <family val="2"/>
      </rPr>
      <t>blue</t>
    </r>
    <r>
      <rPr>
        <sz val="11"/>
        <rFont val="Arial"/>
        <family val="2"/>
      </rPr>
      <t xml:space="preserve"> and choose the appropriate drop-downs for cells that are </t>
    </r>
    <r>
      <rPr>
        <sz val="11"/>
        <color rgb="FFFF0000"/>
        <rFont val="Arial"/>
        <family val="2"/>
      </rPr>
      <t>red</t>
    </r>
    <r>
      <rPr>
        <sz val="11"/>
        <rFont val="Arial"/>
        <family val="2"/>
      </rPr>
      <t xml:space="preserve"> concerning your RAID configuration.</t>
    </r>
  </si>
  <si>
    <t>Restore LUN Disk Configuration</t>
  </si>
  <si>
    <t>Log Disk Configuration</t>
  </si>
  <si>
    <t>Restore LUN Disk Capacity Calculations</t>
  </si>
  <si>
    <t>Database Disk Calculations</t>
  </si>
  <si>
    <t>36 GB</t>
  </si>
  <si>
    <t>72 GB</t>
  </si>
  <si>
    <t>146 GB</t>
  </si>
  <si>
    <t>250 GB</t>
  </si>
  <si>
    <t>300 GB</t>
  </si>
  <si>
    <t>500 GB</t>
  </si>
  <si>
    <t>750 GB</t>
  </si>
  <si>
    <t>Raw Capacity</t>
  </si>
  <si>
    <t>DB Size</t>
  </si>
  <si>
    <t>DB Size + Overhead</t>
  </si>
  <si>
    <t>Log Size + Overhead</t>
  </si>
  <si>
    <t>Version 9.7 - Changed Log write : Database Write ratio from 1:2 to 3:4</t>
  </si>
  <si>
    <t>Version 9.8 - Changed the LUN Requirements tab to accurately generate 2 LUNs / Backup Set architecture so that there is an even (as close as possible) distribution of storage groups on the each LUN / backup set.</t>
  </si>
  <si>
    <t>Version 9.9 - Changed the Backup Requirements tab to to accurately reflect the 2 LUNs / Backup Set architecture when calculating weekly full backups.</t>
  </si>
  <si>
    <t>Version 10.0 - Fixed Restore LUN Disk calculation to report 0 disks if Restore LUN is not enabled.  (Ankur Kothari)</t>
  </si>
  <si>
    <t>Version 10.1 - Added in SCR Log Replay Delay capacity allocation by incorporating to into the transaction log backup requirements calculation.  Also added a note regarding &gt;2TB partition/LUN sizes.</t>
  </si>
  <si>
    <t>Version 10.2 - Added number of transaction logs generated based on mailbox moves and total transaction logs generated which includes both user generated transaction logs and mailbox move transaction logs for alignment with DPM Storage Calculator.  Also updated Log Replication to take into account the additional move mailbox log traffic. General formatting improvements.</t>
  </si>
  <si>
    <t>Version 9.6 - Fixed Peak IOPS calculation to include Tier-2 Mailbox I/O requirements (Jeffrey Rosen)</t>
  </si>
  <si>
    <t>Backup Failure Tolerance</t>
  </si>
  <si>
    <t>Version 10.5 - Formatting changes</t>
  </si>
  <si>
    <t>Log Replication Response</t>
  </si>
  <si>
    <t>Geographically Dispersed CCR Log Throughput Required</t>
  </si>
  <si>
    <t>Version 10.6 - Formatting Changes for Special &gt;2TB Note (Jeffrey Rosen)</t>
  </si>
  <si>
    <t>Version 10.7 - Conditioned database read IOPS per mailbox class to not be affected by online mode clients whose mailbox sizes are less than 128MB (Ian Cornes)</t>
  </si>
  <si>
    <t>Tier-3 User Mailbox Ratio</t>
  </si>
  <si>
    <t>Tier-2 User Mailbox Ratio</t>
  </si>
  <si>
    <t>Tier-1 User Mailbox Ratio</t>
  </si>
  <si>
    <t>Tier-1 Database Read:Write Ratio</t>
  </si>
  <si>
    <t>Tier-3 Database Read:Write Ratio</t>
  </si>
  <si>
    <t>Version 10.8 - Adjusted database read and write IOPS calculations to use calculated read:write ratios for each mailbox class.</t>
  </si>
  <si>
    <t>Version 10.9 - Adjusted DataGrowth and IOGrowth factor calculations to account for scenarios of 100% or greater.  General formatting changes.</t>
  </si>
  <si>
    <t>Average Transaction Logs Generated / Server / Day</t>
  </si>
  <si>
    <t>Log Replication Throughput Requirements</t>
  </si>
  <si>
    <t>10.4 - Added disk capacity and type choices for Log and Restore LUN to allow for differentiation from database disk type and capacity.  Formatting changes.</t>
  </si>
  <si>
    <t>10.3 - Changed backed out in v11.0</t>
  </si>
  <si>
    <t>Version 11.0 - minor updates;backed out change v10.3</t>
  </si>
  <si>
    <t>Version 11.1 - Fixed SCR Target output in LUN Requirements table (Nick Matahen)</t>
  </si>
  <si>
    <t>Version 11.2 - Fixed Restore LUN capacity calculation (had missing parantheses)</t>
  </si>
  <si>
    <t>Memory</t>
  </si>
  <si>
    <t>Memory Profile</t>
  </si>
  <si>
    <t>Version 11.3 - Fixed memory profile / mailbox to show actual profile based on calculated database cache / mailbox.</t>
  </si>
  <si>
    <t>Version 11.4 - Fixed 2TB Special Note so that it doesn't appear when restore LUN is disabled.</t>
  </si>
  <si>
    <t>Version 11.5 - Fixed two conditional formatting incompatibilites with legacy versions of Excel</t>
  </si>
  <si>
    <t>SCR Log Replay Delay (Seconds)</t>
  </si>
  <si>
    <t>SCR Log Truncation Delay (Seconds)</t>
  </si>
  <si>
    <t>SCR Log Replay Lag Time</t>
  </si>
  <si>
    <t>SCR Log Truncation Lag Time</t>
  </si>
  <si>
    <t>SCR Lag Time Calculations</t>
  </si>
  <si>
    <t>Version 11.7 - Fixed DB Read and Write I/O Calculations to take into account User Concurrency (Ben Appleby)</t>
  </si>
  <si>
    <t>Version 11.6 - Added SCR Log Truncation Time and adjusted Log Backup Capacity formula.  Changed Log Replay input value to number of seconds to allow for more granularity.</t>
  </si>
  <si>
    <t>Standby Continuous Replication Configuration</t>
  </si>
  <si>
    <t>Version 11.8 - General formatting changes</t>
  </si>
  <si>
    <t>Read:Write Ratio</t>
  </si>
  <si>
    <t>Aggregate Database Read:Write Ratio</t>
  </si>
  <si>
    <t>DB Total Transfers/s</t>
  </si>
  <si>
    <t>Minimum Physical memory (GB) (RTM)</t>
  </si>
  <si>
    <t>Minimum Physical memory (GB) (SP1)</t>
  </si>
  <si>
    <t>Version</t>
  </si>
  <si>
    <t>RTM</t>
  </si>
  <si>
    <t>SP1+</t>
  </si>
  <si>
    <r>
      <t>Note4:</t>
    </r>
    <r>
      <rPr>
        <sz val="10"/>
        <rFont val="Arial"/>
        <family val="2"/>
      </rPr>
      <t xml:space="preserve"> When designing the storage solution, please keep in mind that Log I/O is sequential in nature and is thus different from database I/O which is random in nature.  Disks can perform many more sequential I/Os than they can random I/Os.</t>
    </r>
  </si>
  <si>
    <t>64 Kilobit</t>
  </si>
  <si>
    <t>128 Kilobit</t>
  </si>
  <si>
    <t>192 Kilobit</t>
  </si>
  <si>
    <t>256 Kilobit</t>
  </si>
  <si>
    <t>384 Kilobit</t>
  </si>
  <si>
    <t>Ethernet</t>
  </si>
  <si>
    <t>E3</t>
  </si>
  <si>
    <t>Fast Ethernet</t>
  </si>
  <si>
    <t>Gigabit Ethernet</t>
  </si>
  <si>
    <t>Network Link</t>
  </si>
  <si>
    <t>Network Link Bandwidth</t>
  </si>
  <si>
    <t>Network Configuration</t>
  </si>
  <si>
    <t>Network Link Type</t>
  </si>
  <si>
    <t>Network Link Latency (ms)</t>
  </si>
  <si>
    <t>Recovery Point Objective</t>
  </si>
  <si>
    <t>Exchange Server 2007 Version</t>
  </si>
  <si>
    <t>Contributors: Robert Quimbey, Matt Gossage, Kyryl Perederiy, Ramon Infante, Muris Saab, Larry Draper, Paul Galjan, Michael Webb</t>
  </si>
  <si>
    <t>Version 11.9 - Addressed issue where Additional I/O Requirements was not factored into DB Read and DB Write Transfer calculations</t>
  </si>
  <si>
    <t>Version 12.0- Updated memory calculations to include new SP1 minimum RAM guidance per storage group; added a note explaining Log I/O is sequential and db I/O is random</t>
  </si>
  <si>
    <t>Database Cache / Mailbox</t>
  </si>
  <si>
    <t>Version 12.2 - To ensure less confusion in the storage requirements results, I have changed the text "Memory Profile / Mailbox" to "Database Cache / Mailbox" since this is the calculated amount of RAM and not necessarily the amount of RAM recommended based on the message profile (Robert Snyder)</t>
  </si>
  <si>
    <t>Windows Server 2003 TCP/IP Tuning Optimization</t>
  </si>
  <si>
    <t>Default Value</t>
  </si>
  <si>
    <t>Version 12.4 - Updated "Database Reads / Mailbox" note field in the Storage Requirements calculations section (Ian Cornes)</t>
  </si>
  <si>
    <t>Version 12.5 - Changed the mailbox tier read:write profile input option to allow any mix to be entered instead of a defined list</t>
  </si>
  <si>
    <t>Version 12.6 - Updated log generation numbers per mailbox profile as a result of SP1 work</t>
  </si>
  <si>
    <t>16 Megabit</t>
  </si>
  <si>
    <t>Required Throughput (Mb/s)</t>
  </si>
  <si>
    <t>OC-1</t>
  </si>
  <si>
    <t>OC-3</t>
  </si>
  <si>
    <t>OC-12</t>
  </si>
  <si>
    <t>OC-24</t>
  </si>
  <si>
    <t>OC-48</t>
  </si>
  <si>
    <t>10 Gigabit Ethernet</t>
  </si>
  <si>
    <t>OC-96</t>
  </si>
  <si>
    <t>DS3 / T3</t>
  </si>
  <si>
    <t>E1</t>
  </si>
  <si>
    <t>E2</t>
  </si>
  <si>
    <t>DS2 / T2</t>
  </si>
  <si>
    <t>768 Kilobit</t>
  </si>
  <si>
    <t>Version 12.7 - Added a table to the Log Replication Requirements worksheet that determines if the chosen network link is acceptable</t>
  </si>
  <si>
    <t>Available Network Capacity (bits)</t>
  </si>
  <si>
    <t>TCP Window Size</t>
  </si>
  <si>
    <t>Network Capacity</t>
  </si>
  <si>
    <t>TCPWindowSize</t>
  </si>
  <si>
    <t>Max Throughput (Mbps)</t>
  </si>
  <si>
    <t>Network Link Capacity</t>
  </si>
  <si>
    <t>Custom TCP Receive Window (TcpWindowSize) for User Defined Network Link</t>
  </si>
  <si>
    <t>Windows Server 2003 TCPWindowSize</t>
  </si>
  <si>
    <t>Network Link Latency</t>
  </si>
  <si>
    <t>Windows Server 2003 TCP1323Opts</t>
  </si>
  <si>
    <t>Is Network Link Acceptable for SCR?</t>
  </si>
  <si>
    <t>Recommended Network Link for SCR</t>
  </si>
  <si>
    <t>Recommended Network Link for Geographically Dispersed CCR</t>
  </si>
  <si>
    <t>DS1 / T1 (1.5 Mbps)</t>
  </si>
  <si>
    <t>E1 (2 Mbps)</t>
  </si>
  <si>
    <t>DS2 / T2 (6.3 Mbps)</t>
  </si>
  <si>
    <t>E2 (8.4 Mbps)</t>
  </si>
  <si>
    <t>E3 (34.4 Mbps)</t>
  </si>
  <si>
    <t>DS3 / T3 (44.7 Mbps)</t>
  </si>
  <si>
    <t>OC-1 (51.8 Mbps)</t>
  </si>
  <si>
    <t>OC-3 (155 Mbps)</t>
  </si>
  <si>
    <t>OC-12 (622 Mbps)</t>
  </si>
  <si>
    <t>OC-48 (2.5 Gbps)</t>
  </si>
  <si>
    <t>OC-24 (1.2 Gbps)</t>
  </si>
  <si>
    <t>OC-96 (5 Gbps)</t>
  </si>
  <si>
    <t>E1 (2Mbps)</t>
  </si>
  <si>
    <t>Version 12.8 - Updated chosen network link acceptability formulas (Michael Webb)</t>
  </si>
  <si>
    <t>Version 12.1 - Reworked Log Replication Requirements tab (moved tables around); Moved Log Replication Requirements table to Log Replication Requirements Results Pane; added TCP/IP Optimization settings for log replication (Michael Webb)</t>
  </si>
  <si>
    <t>Version 12.9 - Fixed Max Throughput calculation to evaluated in bits vs bytes</t>
  </si>
  <si>
    <t>2 MB</t>
  </si>
  <si>
    <t>3.5 MB</t>
  </si>
  <si>
    <t>5 MB</t>
  </si>
  <si>
    <t>Version 13.0 - Updated Database Cache / Mailbox to not use the terms light, average, heavy and instead just report the memory requirement (Robert Snyder)</t>
  </si>
  <si>
    <t>Recommended Number of Storage Groups (Databases)</t>
  </si>
  <si>
    <t>15K RPM SAS 2.5"</t>
  </si>
  <si>
    <t>400 GB</t>
  </si>
  <si>
    <t>Latest version available at: http://go.microsoft.com/fwlink/?LinkID=84202</t>
  </si>
  <si>
    <t>Version 13.2 - Added Latest version link; Added Network Failure Tolerance (Paul Gejan)</t>
  </si>
  <si>
    <t>Number of Exchange Mailbox Servers</t>
  </si>
  <si>
    <t>Total Mailboxes per Server</t>
  </si>
  <si>
    <t>Storage I/O Throughput</t>
  </si>
  <si>
    <t>Database Disk Space Required / Replica</t>
  </si>
  <si>
    <t>Log Disk Space Required / Replica</t>
  </si>
  <si>
    <t>Database LUN Disk Space Required / Replica</t>
  </si>
  <si>
    <t>Log LUN Disk Space Required / Replica</t>
  </si>
  <si>
    <t>Average Move Mailbox Transaction Logs Generated / Day</t>
  </si>
  <si>
    <t>User Transaction Logs Generated / Day</t>
  </si>
  <si>
    <t>Solution Configuration</t>
  </si>
  <si>
    <t>Transaction Log Requirements</t>
  </si>
  <si>
    <t>Tier-1</t>
  </si>
  <si>
    <t>Tier-2</t>
  </si>
  <si>
    <t>Tier-3</t>
  </si>
  <si>
    <t>User Mailbox Configuration</t>
  </si>
  <si>
    <t>User Mailbox Size (within Database)</t>
  </si>
  <si>
    <r>
      <t>Note2</t>
    </r>
    <r>
      <rPr>
        <sz val="10"/>
        <rFont val="Arial"/>
        <family val="2"/>
      </rPr>
      <t>: The results shown assume that all servers entered into the calculator will replicate over the same network link.</t>
    </r>
  </si>
  <si>
    <t>Version 13.3 - Added support for multiple mailbox servers (updated formulas, changed results sections as appropriate)</t>
  </si>
  <si>
    <t>Log</t>
  </si>
  <si>
    <t>Database</t>
  </si>
  <si>
    <t>Optimum RAID</t>
  </si>
  <si>
    <t>Total Number of Disks Required (Source)</t>
  </si>
  <si>
    <t>Total Number of Disks Required (Replica)</t>
  </si>
  <si>
    <t>Restore LUN</t>
  </si>
  <si>
    <t>Total Number of User Mailboxes</t>
  </si>
  <si>
    <t>Number of Tier-1 Mailboxes</t>
  </si>
  <si>
    <t>Number of Tier-3 Mailboxes</t>
  </si>
  <si>
    <t>Number of Tier-2 Mailboxes</t>
  </si>
  <si>
    <t>Projected Mailbox Number Growth</t>
  </si>
  <si>
    <t>Version 13.4 - Added in capability for entering in total projected growth in number of mailboxes that the solution will incur during its lifecycle</t>
  </si>
  <si>
    <t>Total Number of Mailboxes</t>
  </si>
  <si>
    <t>Network Failure Tolerance (Days)</t>
  </si>
  <si>
    <t>Single Server</t>
  </si>
  <si>
    <t>Version 13.5 - Added Network Failure Tolerance measurement (days); added total number of mailboxes per server/environment in storage requirements output; table heading changes (Ramon Infante)</t>
  </si>
  <si>
    <t>Chosen Network Link Suitability</t>
  </si>
  <si>
    <t>Recommended Network Link</t>
  </si>
  <si>
    <t>TCP/IP Settings for SCR</t>
  </si>
  <si>
    <t>TCP/IP Settings for Geographically Dispersed CCR</t>
  </si>
  <si>
    <t>Is Network Link Acceptable for Geographically Dispersed CCR?</t>
  </si>
  <si>
    <r>
      <rPr>
        <b/>
        <sz val="11"/>
        <rFont val="Arial"/>
        <family val="2"/>
      </rPr>
      <t xml:space="preserve">Important: </t>
    </r>
    <r>
      <rPr>
        <sz val="11"/>
        <rFont val="Arial"/>
        <family val="2"/>
      </rPr>
      <t>The Log Replication Throughput metrics for both Geographically Dispersed CCR and/or SCR are dependent upon knowing the proper log generation rate per hour of the day for your environment.  If this data is unknown (or if you used the default example configuration), then the log replication throughput metrics may not be accurate.</t>
    </r>
  </si>
  <si>
    <t>Version 13.6 - Cleaned up Log Replication results section to make it more clear whether chosen network link is acceptable and if it is not, what link should be used</t>
  </si>
  <si>
    <t>Version 13.7 - Added total SCR Log Throughput value (Robert Gillies)</t>
  </si>
  <si>
    <t>Total Number of Tier-2 User Mailboxes</t>
  </si>
  <si>
    <t>Total Number of Tier-3 Mailboxes</t>
  </si>
  <si>
    <t>Total Number of Tier-1 User Mailboxes</t>
  </si>
  <si>
    <t>Version 13.8 - Fixed wording in Input Step 2 to indicate that you must enter the total number of mailboxes in the environment if utilizing the multiple server functionality (Simon Pengelly)</t>
  </si>
  <si>
    <r>
      <rPr>
        <b/>
        <sz val="11"/>
        <rFont val="Arial"/>
        <family val="2"/>
      </rPr>
      <t>Step 2</t>
    </r>
    <r>
      <rPr>
        <sz val="11"/>
        <rFont val="Arial"/>
        <family val="2"/>
      </rPr>
      <t xml:space="preserve"> - Please enter in the appropriate information for cells that are </t>
    </r>
    <r>
      <rPr>
        <sz val="11"/>
        <color rgb="FF0000FF"/>
        <rFont val="Arial"/>
        <family val="2"/>
      </rPr>
      <t>blue</t>
    </r>
    <r>
      <rPr>
        <sz val="11"/>
        <rFont val="Arial"/>
        <family val="2"/>
      </rPr>
      <t xml:space="preserve"> and choose the appropriate drop-downs for cells that are </t>
    </r>
    <r>
      <rPr>
        <sz val="11"/>
        <color rgb="FFFF0000"/>
        <rFont val="Arial"/>
        <family val="2"/>
      </rPr>
      <t>red</t>
    </r>
    <r>
      <rPr>
        <sz val="11"/>
        <rFont val="Arial"/>
        <family val="2"/>
      </rPr>
      <t xml:space="preserve"> concerning your mailbox population.  If the server(s) will house multiple mailbox types, then please enter that information in the Tier-2 and Tier-3 User Mailbox tables.  Otherwise, only use the Tier-1 User Mailbox table.</t>
    </r>
  </si>
  <si>
    <r>
      <rPr>
        <b/>
        <sz val="11"/>
        <rFont val="Arial"/>
        <family val="2"/>
      </rPr>
      <t>Step 3</t>
    </r>
    <r>
      <rPr>
        <sz val="11"/>
        <rFont val="Arial"/>
        <family val="2"/>
      </rPr>
      <t xml:space="preserve"> - Please enter in the appropriate information for cells that are </t>
    </r>
    <r>
      <rPr>
        <sz val="11"/>
        <color rgb="FF0000FF"/>
        <rFont val="Arial"/>
        <family val="2"/>
      </rPr>
      <t>blue</t>
    </r>
    <r>
      <rPr>
        <sz val="11"/>
        <rFont val="Arial"/>
        <family val="2"/>
      </rPr>
      <t xml:space="preserve"> and choose the appropriate drop-downs for cells that are </t>
    </r>
    <r>
      <rPr>
        <sz val="11"/>
        <color rgb="FFFF0000"/>
        <rFont val="Arial"/>
        <family val="2"/>
      </rPr>
      <t>red</t>
    </r>
    <r>
      <rPr>
        <sz val="11"/>
        <rFont val="Arial"/>
        <family val="2"/>
      </rPr>
      <t xml:space="preserve"> concerning how your server(s) will be backed up.</t>
    </r>
  </si>
  <si>
    <t>Version 13.9 - Fixed "Total SCR Log Troughput Required" formula to display "--" accurately</t>
  </si>
  <si>
    <r>
      <rPr>
        <b/>
        <sz val="11"/>
        <rFont val="Arial"/>
        <family val="2"/>
      </rPr>
      <t>Important:</t>
    </r>
    <r>
      <rPr>
        <sz val="11"/>
        <rFont val="Arial"/>
        <family val="2"/>
      </rPr>
      <t xml:space="preserve"> The calculator recommends a LUN size greater than 2TB.  In order to implement this size you have two options.  The preferred method is to reduce the number of mailboxes, reduce the size of the database, or decrease the mailbox size to ensure that you are below the 2TB MBR partition limit.  The second option is to utilize GPT partitions which do not have a 2TB limit; however if you are clustering, Windows Server 2003 Failover Clustering does not support GPT disks unless you install http://support.microsoft.com/kb/919117.  For more information on partition best practices with Exchange 2007, please see http://technet.microsoft.com/en-us/library/bb124518.aspx.</t>
    </r>
  </si>
  <si>
    <t>Version 14.0 - Added support for GPT disks in Windows Server 2003 clusters (KB 919117) - Greg Turner</t>
  </si>
  <si>
    <t>Total SCR Log Throughput Required</t>
  </si>
  <si>
    <r>
      <t>Note5</t>
    </r>
    <r>
      <rPr>
        <sz val="10"/>
        <rFont val="Arial"/>
        <family val="2"/>
      </rPr>
      <t>: This calculator assumes that all source storage groups will be replicated to the SCR targets.</t>
    </r>
  </si>
  <si>
    <t>1000 GB</t>
  </si>
  <si>
    <t>Restore LUN RAID Configuration</t>
  </si>
  <si>
    <t>RAID Options</t>
  </si>
  <si>
    <t>RAID-0</t>
  </si>
  <si>
    <t>RAID-5</t>
  </si>
  <si>
    <t>RAID-6</t>
  </si>
  <si>
    <t>Number of Disks Needed for Capacity (RAID-0)</t>
  </si>
  <si>
    <t>Override RAID Configuration</t>
  </si>
  <si>
    <t>Desired RAID Configuration</t>
  </si>
  <si>
    <t>Number of RAID-0 Disks Required for I/O</t>
  </si>
  <si>
    <t>Number of RAID-0 Disks Required for Capacity</t>
  </si>
  <si>
    <t>Number of RAID-1/0 Disks Required for I/O</t>
  </si>
  <si>
    <t>Number of RAID-1/0 Disks Required for Capacity</t>
  </si>
  <si>
    <t>Number of RAID-5 Disks Required for I/O</t>
  </si>
  <si>
    <t>Number of RAID-5 Disks Required for Capacity</t>
  </si>
  <si>
    <t>Number of RAID-6 Disks Required for I/O</t>
  </si>
  <si>
    <t>Number of RAID-6 Disks Required for Capacity</t>
  </si>
  <si>
    <t>DB RAID Configurations</t>
  </si>
  <si>
    <t>Log RAID Configurations</t>
  </si>
  <si>
    <t>RAID-0 Number of Log Disks (Performance)</t>
  </si>
  <si>
    <t>RAID-1/0 Number of Restore LUN Disks</t>
  </si>
  <si>
    <t>RAID-6 Number of Restore LUN Disks</t>
  </si>
  <si>
    <t>Recommended RAID Configuration / Server</t>
  </si>
  <si>
    <t>DB Disks</t>
  </si>
  <si>
    <t>DB RAID Type</t>
  </si>
  <si>
    <t>DB Disk Configuration</t>
  </si>
  <si>
    <t>Log Disks</t>
  </si>
  <si>
    <t>Log RAID Type</t>
  </si>
  <si>
    <t>Restore LUN RAID Type</t>
  </si>
  <si>
    <t>Restore LUN Disk Config</t>
  </si>
  <si>
    <t>Version 14.2 - Added Additional Options for Disk Configurations, option to override and select desired RAID and output recommended RAID configuration for given configurations</t>
  </si>
  <si>
    <t>RAID-1/0 Number of DB Disks (Capacity)</t>
  </si>
  <si>
    <t>RAID-5 Number of DB Disks (Capacity)</t>
  </si>
  <si>
    <t>RAID-6 Number of DB Disks (Capacity)</t>
  </si>
  <si>
    <t/>
  </si>
  <si>
    <t>RAID-0 Number of DB Disks (Performance)</t>
  </si>
  <si>
    <t>RAID-1/0 Number of DB Disks (Performance)</t>
  </si>
  <si>
    <t>RAID-5 Number of DB Disks (Performance)</t>
  </si>
  <si>
    <t>RAID-6 Number of DB Disks (Performance)</t>
  </si>
  <si>
    <t>9+1</t>
  </si>
  <si>
    <t>10+1</t>
  </si>
  <si>
    <t>11+1</t>
  </si>
  <si>
    <t>12+1</t>
  </si>
  <si>
    <t>13+1</t>
  </si>
  <si>
    <t>14+1</t>
  </si>
  <si>
    <t>15+1</t>
  </si>
  <si>
    <t>16+1</t>
  </si>
  <si>
    <t>17+1</t>
  </si>
  <si>
    <t>18+1</t>
  </si>
  <si>
    <t>19+1</t>
  </si>
  <si>
    <t>20+1</t>
  </si>
  <si>
    <t>Version 12.3 - Added TCP1323Opts registry key recommendation; Moved RAID/disk related tables to Storage Design spreadsheet</t>
  </si>
  <si>
    <t>Version 13.1 - Fixed Print margins; fixed TCPOpts1323 comments; fixed text on storage requirements to specify number of storage groups instead of number of databases; updated log replication table comments; Added 15K SFF random IOPS; added 400GB disk capacity</t>
  </si>
  <si>
    <t>Version 14.1 - Fixed spelling mistakes; Added 1000 GB disk capacity; Added conditional formatting coding if you choose not to predict the IOPS/mailbox and do not enter in an IOPS profile and a R:W ratio (Jeffrey Rosen)</t>
  </si>
  <si>
    <t>Version 14.3 - Added additional RAID-5 parity groups; Added notes to new storage design calculations</t>
  </si>
  <si>
    <t>Optimum Number of Disks (Source)</t>
  </si>
  <si>
    <t>Optimum Number of Disks (Replica)</t>
  </si>
  <si>
    <t>Database RAID</t>
  </si>
  <si>
    <t>Database Number of Disks</t>
  </si>
  <si>
    <t>Database Number of CR Replica Disks</t>
  </si>
  <si>
    <t>Log RAID</t>
  </si>
  <si>
    <t>Log Number of Disks</t>
  </si>
  <si>
    <t>Log Number of CR Replica Disks</t>
  </si>
  <si>
    <t>Restore LUN RAID</t>
  </si>
  <si>
    <t>Restore LUN Number of Disks</t>
  </si>
  <si>
    <t>Total Database Required IOPS / Replica</t>
  </si>
  <si>
    <t>Total Log Required IOPS / Replica</t>
  </si>
  <si>
    <t>Version 14.4 - Moved DB RAID table from Storage Design Calculations section to Results section; fixed up text in various comments; fixed the TierxMBXSize formulas so that they always round up, thereby providing a consistent result (Mark Smith); removed Log Replication Requirements Special Note from Storage Requirements tab</t>
  </si>
  <si>
    <t>Base RAID-0 Total Log IOPS</t>
  </si>
  <si>
    <t>Base RAID-0 Total DB IOPS</t>
  </si>
  <si>
    <t>Environment Totals / Replica</t>
  </si>
  <si>
    <t>Number of Mailbox Servers</t>
  </si>
  <si>
    <t>High Availability Model</t>
  </si>
  <si>
    <t>Value</t>
  </si>
  <si>
    <t>SCR Target High Availability Configuration</t>
  </si>
  <si>
    <t>SCR HA Option</t>
  </si>
  <si>
    <t>Single-Node</t>
  </si>
  <si>
    <t>Match Source Configuration</t>
  </si>
  <si>
    <t>SCR Activation</t>
  </si>
  <si>
    <t>Server Recovery</t>
  </si>
  <si>
    <t>Database Portability</t>
  </si>
  <si>
    <t>Total for all SCR Servers</t>
  </si>
  <si>
    <t>Number of Servers &amp; Data Copies</t>
  </si>
  <si>
    <t>PUBLIC</t>
  </si>
  <si>
    <t>Version 14.5 - Changed Continuous Replication Model to High Availability Model (Bradley Saviel); fixed several formulas as a result of HA Option; added table for Number of Servers; updated storage requirements tables to account for total mbx servers and total scr target servers; added conditional formatting rules to several sections of the input worksheet; added SCR target activation and HA configuration inputs</t>
  </si>
  <si>
    <t>Number of Data Copies / Mailbox Server</t>
  </si>
  <si>
    <t>Single Mailbox Server</t>
  </si>
  <si>
    <t>Total Number of Disks Required for the Environment</t>
  </si>
  <si>
    <r>
      <rPr>
        <b/>
        <sz val="11"/>
        <rFont val="Arial"/>
        <family val="2"/>
      </rPr>
      <t>Step 4 (Optional)</t>
    </r>
    <r>
      <rPr>
        <sz val="11"/>
        <rFont val="Arial"/>
        <family val="2"/>
      </rPr>
      <t xml:space="preserve"> - If the server(s) will replicate data between physical locations, then please enter in the appropriate information for cells that are </t>
    </r>
    <r>
      <rPr>
        <sz val="11"/>
        <color rgb="FF0000FF"/>
        <rFont val="Arial"/>
        <family val="2"/>
      </rPr>
      <t>blue</t>
    </r>
    <r>
      <rPr>
        <sz val="11"/>
        <rFont val="Arial"/>
        <family val="2"/>
      </rPr>
      <t xml:space="preserve"> concerning your log generation frequency on an hourly basis.  Also, choose the appropriate </t>
    </r>
    <r>
      <rPr>
        <sz val="11"/>
        <color rgb="FFFF0000"/>
        <rFont val="Arial"/>
        <family val="2"/>
      </rPr>
      <t>red</t>
    </r>
    <r>
      <rPr>
        <sz val="11"/>
        <rFont val="Arial"/>
        <family val="2"/>
      </rPr>
      <t xml:space="preserve"> variable for the acceptable amount of lag time between the production site and the SCR site.  This data will help determine the appropriate log bandwidth requirements for both geographically dispersed CCR and SCR configurations.  When entering this data, enter it for a single server that is representative of the environment.</t>
    </r>
  </si>
  <si>
    <t>Number of SCR Targets / Source Server</t>
  </si>
  <si>
    <t>Total for all Mailbox Servers</t>
  </si>
  <si>
    <t>SCC</t>
  </si>
  <si>
    <t>Version 14.6 - Fixed total number of disks for environment formula</t>
  </si>
  <si>
    <t>Number of SCR Target Servers</t>
  </si>
  <si>
    <t>Version 14.7 - incorporated feedback</t>
  </si>
  <si>
    <t>Version 14.8 - Fixed SCR Log Replication when source is CCR and target configuration matches source configuration since we'll replicate to both target nodes</t>
  </si>
  <si>
    <t>Version 14.9 - Explicitly showed in the Recommended RAID Configuration table that if the source mailbox server is CCR, then there is a Restore LUN on both nodes; fixed RPO description</t>
  </si>
  <si>
    <t>Tier-2 User IOPS / mailbox</t>
  </si>
  <si>
    <t>Tier-2 Database Read:Write Ratio</t>
  </si>
  <si>
    <t>SG LUN Design (per Server)</t>
  </si>
  <si>
    <t>Database Configuration (per Server)</t>
  </si>
  <si>
    <t>LUN Requirements Results Pane (per Server)</t>
  </si>
  <si>
    <t>Backup Requirements Results Pane (per Server)</t>
  </si>
  <si>
    <t>Backup Frequency Configuration (per Server)</t>
  </si>
  <si>
    <t>Version 15.0 - Fixed text in Tier-2 Input options to indicate Tier-2 instead of Tier-3 (Erik Szewczyk); added (per Server) to Backup and LUN Requirements worksheets (Joe Richards)</t>
  </si>
  <si>
    <t>SCR Log Throughput Required / SCR Target / Source</t>
  </si>
  <si>
    <t>Geographically Dispersed CCR Log Throughput Required / CMS</t>
  </si>
  <si>
    <t>LUN Configuration (per Server)</t>
  </si>
  <si>
    <t>Restore LUN Design (per Server)</t>
  </si>
  <si>
    <t>Version 15.1 - Fixed "SCR Log Throughput Required / SCR Target" to display throughput requirements per source mailbox server for the scenario where there are multiple source mailbox servers (Walter Meclazcke); added geographically dispersed CCR throughput per CMS metric as well for the scenario where there are multiple mailbox servers</t>
  </si>
  <si>
    <t>Configuration 1</t>
  </si>
  <si>
    <t>Database Disk Type</t>
  </si>
  <si>
    <t>Restore LUN Disk Type</t>
  </si>
  <si>
    <t>Configuration 2</t>
  </si>
  <si>
    <t>Configuration 3</t>
  </si>
  <si>
    <t>Log Disk Type</t>
  </si>
  <si>
    <t>Total Number of Disks</t>
  </si>
  <si>
    <t>Configuration</t>
  </si>
  <si>
    <t>Disk Capacity/Type</t>
  </si>
  <si>
    <t>Restore LUN Disks</t>
  </si>
  <si>
    <t>450 GB</t>
  </si>
  <si>
    <r>
      <rPr>
        <b/>
        <sz val="11"/>
        <rFont val="Arial"/>
        <family val="2"/>
      </rPr>
      <t>Step 2</t>
    </r>
    <r>
      <rPr>
        <sz val="11"/>
        <rFont val="Arial"/>
        <family val="2"/>
      </rPr>
      <t xml:space="preserve"> - Please select the appropriate disk capacities and disk types that you will be using for your database, transaction logs, and restore LUNs.  If you want to compare different configurations, you can enter up to three different configurations as each table below represents a single deployment configuration.</t>
    </r>
  </si>
  <si>
    <t>Version 15.2 - Expanded comments on "Additional I/O Requirements" input field</t>
  </si>
  <si>
    <t>Version 15.3 - changed the way the Storage Design Disk Type/Capacity inputs are entered.  Previous versions had different configurations in columns; each configuration is isolated to a single table</t>
  </si>
  <si>
    <t>Version 15.4 - Updated Storage Design tab to ensure that the same disk configuration is outputted for database, log and restore LUN; added note to Storage Design tab regarding how disk calculations are performed (cost and power are not considered)</t>
  </si>
  <si>
    <t>3+3</t>
  </si>
  <si>
    <t>Version 15.5 - Added RAID-1/0 3+3 parity options</t>
  </si>
  <si>
    <t>Version 15.6 - Fixed RAID-1/0 3+3 parity option in the RAID parity table</t>
  </si>
  <si>
    <t>Version 15.7 - Fixed storage design validation errors</t>
  </si>
  <si>
    <t>Version 15.8 - Fixed comments in the Disk Configuration input tables (Dave Chomas); added conditional formatting to custom database size</t>
  </si>
  <si>
    <t>Version 15.9 - Fixed RAID-0 performance calculations for DB and Log Configurations 2 and 3; added cell names for single server results in Disk Space &amp; Performance Requirements table (Paul Gejan)</t>
  </si>
  <si>
    <t xml:space="preserve"> Streaming Backup Window Requirements</t>
  </si>
  <si>
    <t>Streaming Backup Rate (MB/s)</t>
  </si>
  <si>
    <t>Streaming Restore Rate (MB/s)</t>
  </si>
  <si>
    <t>Restore Calculations</t>
  </si>
  <si>
    <t>Full Restore Window / SG (hr)</t>
  </si>
  <si>
    <t>Incremental/Differential Restore Window / SG (min)</t>
  </si>
  <si>
    <t>Incremental or Differential Restore Window / SG (min)</t>
  </si>
  <si>
    <t xml:space="preserve"> Streaming Restore Window Requirements</t>
  </si>
  <si>
    <t>Version: 16.0</t>
  </si>
  <si>
    <t>Additional I/O Requirement / Server</t>
  </si>
  <si>
    <r>
      <t>Note1:</t>
    </r>
    <r>
      <rPr>
        <sz val="10"/>
        <rFont val="Arial"/>
        <family val="2"/>
      </rPr>
      <t xml:space="preserve"> This calculator only recommends a disk configuration based on the least number of disks needed to satisfy the performance and capacity requirements.  It does not take into account cost or power consumption.</t>
    </r>
  </si>
  <si>
    <r>
      <t>Note3:</t>
    </r>
    <r>
      <rPr>
        <sz val="10"/>
        <rFont val="Arial"/>
        <family val="2"/>
      </rPr>
      <t xml:space="preserve"> Disk Capacity and RPM have a significant impact on design, the choice of disk should be directly related to the size of mailboxes and the mailbox IOPS requirements.</t>
    </r>
  </si>
  <si>
    <r>
      <t xml:space="preserve">Note4: </t>
    </r>
    <r>
      <rPr>
        <sz val="10"/>
        <rFont val="Arial"/>
        <family val="2"/>
      </rPr>
      <t>SATA disk random I/O (measured at the controller) will vary between vendors.  This calculator uses the lowest measured random I/O throughput.</t>
    </r>
  </si>
  <si>
    <r>
      <t xml:space="preserve">Note5: </t>
    </r>
    <r>
      <rPr>
        <sz val="10"/>
        <rFont val="Arial"/>
        <family val="2"/>
      </rPr>
      <t>Contact your storage vendor for recommended configuration guidance.</t>
    </r>
  </si>
  <si>
    <t>Version 16.0 - Fixed backup throughput metrics to indicate this is for streaming backup and added conditional formatting for backup/restore rate parameters (Ashraf Ismail); added streaming restore rate outputs; fixed backup rate metrics to include all transaction logs; noted that "Additional I/O Requirement" field is per server (Simon Pengelly); fixed notes on Storage Design tab (Chuck Chiambalero)</t>
  </si>
  <si>
    <t>RAID Configurations / Server</t>
  </si>
</sst>
</file>

<file path=xl/styles.xml><?xml version="1.0" encoding="utf-8"?>
<styleSheet xmlns="http://schemas.openxmlformats.org/spreadsheetml/2006/main">
  <numFmts count="11">
    <numFmt numFmtId="164" formatCode="0.0"/>
    <numFmt numFmtId="165" formatCode="#.00\ &quot;Mbps&quot;"/>
    <numFmt numFmtId="166" formatCode="#\ &quot;MB&quot;"/>
    <numFmt numFmtId="167" formatCode="#\ &quot;GB&quot;"/>
    <numFmt numFmtId="168" formatCode="0.000000000000"/>
    <numFmt numFmtId="169" formatCode="&quot;DB&quot;#"/>
    <numFmt numFmtId="170" formatCode="&quot;SG&quot;#"/>
    <numFmt numFmtId="171" formatCode="0.000"/>
    <numFmt numFmtId="172" formatCode="0.00\ &quot;Days&quot;"/>
    <numFmt numFmtId="173" formatCode="#\ &quot;Hours&quot;"/>
    <numFmt numFmtId="174" formatCode="#\ &quot;ms&quot;"/>
  </numFmts>
  <fonts count="60">
    <font>
      <sz val="10"/>
      <name val="Calibri"/>
    </font>
    <font>
      <b/>
      <sz val="12"/>
      <name val="Arial"/>
      <family val="2"/>
    </font>
    <font>
      <sz val="11"/>
      <name val="Arial"/>
      <family val="2"/>
    </font>
    <font>
      <sz val="12"/>
      <name val="Arial"/>
      <family val="2"/>
    </font>
    <font>
      <b/>
      <sz val="10"/>
      <name val="Arial"/>
      <family val="2"/>
    </font>
    <font>
      <sz val="12"/>
      <color indexed="10"/>
      <name val="Arial"/>
      <family val="2"/>
    </font>
    <font>
      <sz val="8"/>
      <name val="Arial"/>
      <family val="2"/>
    </font>
    <font>
      <b/>
      <sz val="14"/>
      <color indexed="18"/>
      <name val="Arial"/>
      <family val="2"/>
    </font>
    <font>
      <sz val="11"/>
      <name val="Arial"/>
      <family val="2"/>
    </font>
    <font>
      <sz val="8"/>
      <color indexed="81"/>
      <name val="Tahoma"/>
      <family val="2"/>
    </font>
    <font>
      <sz val="12"/>
      <color indexed="12"/>
      <name val="Arial"/>
      <family val="2"/>
    </font>
    <font>
      <sz val="11"/>
      <color indexed="18"/>
      <name val="Arial"/>
      <family val="2"/>
    </font>
    <font>
      <b/>
      <sz val="10"/>
      <color indexed="18"/>
      <name val="Arial"/>
      <family val="2"/>
    </font>
    <font>
      <sz val="10"/>
      <name val="Arial"/>
      <family val="2"/>
    </font>
    <font>
      <sz val="10"/>
      <color indexed="12"/>
      <name val="Arial"/>
      <family val="2"/>
    </font>
    <font>
      <sz val="10"/>
      <color indexed="10"/>
      <name val="Arial"/>
      <family val="2"/>
    </font>
    <font>
      <sz val="11"/>
      <color indexed="12"/>
      <name val="Arial"/>
      <family val="2"/>
    </font>
    <font>
      <sz val="12"/>
      <color indexed="10"/>
      <name val="Arial"/>
      <family val="2"/>
    </font>
    <font>
      <b/>
      <sz val="12"/>
      <color indexed="8"/>
      <name val="Arial"/>
      <family val="2"/>
    </font>
    <font>
      <b/>
      <sz val="12"/>
      <color indexed="10"/>
      <name val="Arial"/>
      <family val="2"/>
    </font>
    <font>
      <sz val="10"/>
      <name val="Calibri"/>
      <family val="2"/>
    </font>
    <font>
      <b/>
      <sz val="18"/>
      <color indexed="62"/>
      <name val="Cambria"/>
      <family val="1"/>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18"/>
      <name val="Calibri"/>
      <family val="2"/>
    </font>
    <font>
      <b/>
      <sz val="11"/>
      <color indexed="9"/>
      <name val="Calibri"/>
      <family val="2"/>
    </font>
    <font>
      <sz val="11"/>
      <color indexed="9"/>
      <name val="Calibri"/>
      <family val="2"/>
    </font>
    <font>
      <b/>
      <sz val="11"/>
      <color indexed="10"/>
      <name val="Calibri"/>
      <family val="2"/>
    </font>
    <font>
      <sz val="11"/>
      <color indexed="10"/>
      <name val="Calibri"/>
      <family val="2"/>
    </font>
    <font>
      <sz val="11"/>
      <color indexed="8"/>
      <name val="Calibri"/>
      <family val="2"/>
    </font>
    <font>
      <sz val="12"/>
      <name val="Arial"/>
      <family val="2"/>
    </font>
    <font>
      <sz val="8"/>
      <name val="Calibri"/>
      <family val="2"/>
    </font>
    <font>
      <sz val="9"/>
      <color indexed="81"/>
      <name val="Tahoma"/>
      <family val="2"/>
    </font>
    <font>
      <sz val="12"/>
      <color indexed="10"/>
      <name val="Arial"/>
      <family val="2"/>
    </font>
    <font>
      <sz val="12"/>
      <color indexed="12"/>
      <name val="Arial"/>
      <family val="2"/>
    </font>
    <font>
      <sz val="11"/>
      <color indexed="12"/>
      <name val="Arial"/>
      <family val="2"/>
    </font>
    <font>
      <sz val="12"/>
      <color indexed="12"/>
      <name val="Arial"/>
      <family val="2"/>
    </font>
    <font>
      <sz val="12"/>
      <color indexed="10"/>
      <name val="Arial"/>
      <family val="2"/>
    </font>
    <font>
      <b/>
      <sz val="11"/>
      <name val="Arial"/>
      <family val="2"/>
    </font>
    <font>
      <sz val="11"/>
      <name val="Calibri"/>
      <family val="2"/>
    </font>
    <font>
      <sz val="12"/>
      <color indexed="10"/>
      <name val="Arial"/>
      <family val="2"/>
    </font>
    <font>
      <sz val="12"/>
      <color rgb="FF0000FF"/>
      <name val="Arial"/>
      <family val="2"/>
    </font>
    <font>
      <sz val="11"/>
      <color rgb="FF0000FF"/>
      <name val="Arial"/>
      <family val="2"/>
    </font>
    <font>
      <sz val="12"/>
      <color rgb="FFFF0000"/>
      <name val="Arial"/>
      <family val="2"/>
    </font>
    <font>
      <sz val="11"/>
      <color rgb="FFFF0000"/>
      <name val="Arial"/>
      <family val="2"/>
    </font>
    <font>
      <sz val="10"/>
      <name val="Calibri"/>
      <family val="2"/>
    </font>
    <font>
      <sz val="12"/>
      <name val="Calibri"/>
      <family val="2"/>
    </font>
    <font>
      <sz val="10"/>
      <color indexed="18"/>
      <name val="Arial"/>
      <family val="2"/>
    </font>
    <font>
      <sz val="10"/>
      <color rgb="FF000000"/>
      <name val="MS Shell Dlg"/>
    </font>
    <font>
      <sz val="11"/>
      <color theme="1"/>
      <name val="Arial"/>
      <family val="2"/>
    </font>
    <font>
      <sz val="12"/>
      <color theme="1"/>
      <name val="Arial"/>
      <family val="2"/>
    </font>
    <font>
      <u/>
      <sz val="8.5"/>
      <color theme="10"/>
      <name val="Calibri"/>
      <family val="2"/>
    </font>
    <font>
      <b/>
      <sz val="9"/>
      <color indexed="81"/>
      <name val="Tahoma"/>
      <family val="2"/>
    </font>
    <font>
      <strike/>
      <sz val="10"/>
      <name val="Arial"/>
      <family val="2"/>
    </font>
    <font>
      <b/>
      <sz val="8"/>
      <color indexed="81"/>
      <name val="Tahoma"/>
      <family val="2"/>
    </font>
  </fonts>
  <fills count="31">
    <fill>
      <patternFill patternType="none"/>
    </fill>
    <fill>
      <patternFill patternType="gray125"/>
    </fill>
    <fill>
      <patternFill patternType="solid">
        <fgColor indexed="22"/>
      </patternFill>
    </fill>
    <fill>
      <patternFill patternType="solid">
        <fgColor indexed="44"/>
      </patternFill>
    </fill>
    <fill>
      <patternFill patternType="solid">
        <fgColor indexed="49"/>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8"/>
        <bgColor indexed="8"/>
      </patternFill>
    </fill>
    <fill>
      <patternFill patternType="solid">
        <fgColor indexed="9"/>
        <bgColor indexed="64"/>
      </patternFill>
    </fill>
    <fill>
      <patternFill patternType="solid">
        <fgColor indexed="44"/>
        <bgColor indexed="64"/>
      </patternFill>
    </fill>
    <fill>
      <patternFill patternType="solid">
        <fgColor indexed="13"/>
        <bgColor indexed="64"/>
      </patternFill>
    </fill>
    <fill>
      <patternFill patternType="solid">
        <fgColor indexed="22"/>
        <bgColor indexed="64"/>
      </patternFill>
    </fill>
    <fill>
      <patternFill patternType="solid">
        <fgColor rgb="FF92D050"/>
        <bgColor indexed="64"/>
      </patternFill>
    </fill>
    <fill>
      <patternFill patternType="solid">
        <fgColor theme="0"/>
        <bgColor indexed="64"/>
      </patternFill>
    </fill>
    <fill>
      <patternFill patternType="solid">
        <fgColor rgb="FF99CCFF"/>
        <bgColor indexed="64"/>
      </patternFill>
    </fill>
    <fill>
      <patternFill patternType="solid">
        <fgColor theme="0" tint="-0.249977111117893"/>
        <bgColor indexed="64"/>
      </patternFill>
    </fill>
  </fills>
  <borders count="80">
    <border>
      <left/>
      <right/>
      <top/>
      <bottom/>
      <diagonal/>
    </border>
    <border>
      <left style="thin">
        <color indexed="62"/>
      </left>
      <right style="thin">
        <color indexed="62"/>
      </right>
      <top style="thin">
        <color indexed="62"/>
      </top>
      <bottom style="thin">
        <color indexed="62"/>
      </bottom>
      <diagonal/>
    </border>
    <border>
      <left/>
      <right/>
      <top/>
      <bottom style="thick">
        <color indexed="54"/>
      </bottom>
      <diagonal/>
    </border>
    <border>
      <left/>
      <right/>
      <top/>
      <bottom style="thick">
        <color indexed="22"/>
      </bottom>
      <diagonal/>
    </border>
    <border>
      <left/>
      <right/>
      <top/>
      <bottom style="medium">
        <color indexed="44"/>
      </bottom>
      <diagonal/>
    </border>
    <border>
      <left style="thin">
        <color indexed="31"/>
      </left>
      <right style="thin">
        <color indexed="62"/>
      </right>
      <top style="thin">
        <color indexed="31"/>
      </top>
      <bottom style="thin">
        <color indexed="62"/>
      </bottom>
      <diagonal/>
    </border>
    <border>
      <left style="double">
        <color indexed="11"/>
      </left>
      <right style="double">
        <color indexed="11"/>
      </right>
      <top style="double">
        <color indexed="11"/>
      </top>
      <bottom style="double">
        <color indexed="11"/>
      </bottom>
      <diagonal/>
    </border>
    <border>
      <left style="thin">
        <color indexed="22"/>
      </left>
      <right style="thin">
        <color indexed="22"/>
      </right>
      <top style="thin">
        <color indexed="22"/>
      </top>
      <bottom style="thin">
        <color indexed="22"/>
      </bottom>
      <diagonal/>
    </border>
    <border>
      <left style="thin">
        <color indexed="30"/>
      </left>
      <right style="thin">
        <color indexed="30"/>
      </right>
      <top style="thin">
        <color indexed="30"/>
      </top>
      <bottom style="thin">
        <color indexed="30"/>
      </bottom>
      <diagonal/>
    </border>
    <border>
      <left/>
      <right/>
      <top style="thin">
        <color indexed="54"/>
      </top>
      <bottom style="double">
        <color indexed="5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8"/>
      </top>
      <bottom style="medium">
        <color indexed="64"/>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bottom/>
      <diagonal/>
    </border>
    <border>
      <left style="medium">
        <color indexed="64"/>
      </left>
      <right style="medium">
        <color indexed="64"/>
      </right>
      <top style="medium">
        <color indexed="64"/>
      </top>
      <bottom style="medium">
        <color indexed="8"/>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22"/>
      </bottom>
      <diagonal/>
    </border>
    <border>
      <left style="medium">
        <color indexed="64"/>
      </left>
      <right style="medium">
        <color indexed="64"/>
      </right>
      <top style="thin">
        <color theme="0" tint="-0.14999847407452621"/>
      </top>
      <bottom/>
      <diagonal/>
    </border>
    <border>
      <left style="medium">
        <color indexed="64"/>
      </left>
      <right style="medium">
        <color indexed="64"/>
      </right>
      <top style="thin">
        <color theme="0" tint="-0.14999847407452621"/>
      </top>
      <bottom style="medium">
        <color indexed="64"/>
      </bottom>
      <diagonal/>
    </border>
    <border>
      <left/>
      <right style="medium">
        <color indexed="64"/>
      </right>
      <top style="thin">
        <color theme="0" tint="-0.14999847407452621"/>
      </top>
      <bottom style="medium">
        <color indexed="64"/>
      </bottom>
      <diagonal/>
    </border>
    <border>
      <left/>
      <right style="medium">
        <color indexed="64"/>
      </right>
      <top style="thin">
        <color theme="0" tint="-0.14999847407452621"/>
      </top>
      <bottom style="thin">
        <color theme="0" tint="-0.14999847407452621"/>
      </bottom>
      <diagonal/>
    </border>
    <border>
      <left style="medium">
        <color indexed="64"/>
      </left>
      <right style="medium">
        <color indexed="64"/>
      </right>
      <top style="thin">
        <color theme="0" tint="-0.14999847407452621"/>
      </top>
      <bottom style="thin">
        <color theme="0" tint="-0.14999847407452621"/>
      </bottom>
      <diagonal/>
    </border>
    <border>
      <left/>
      <right style="medium">
        <color indexed="8"/>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right style="medium">
        <color indexed="64"/>
      </right>
      <top style="thin">
        <color theme="0" tint="-0.249977111117893"/>
      </top>
      <bottom/>
      <diagonal/>
    </border>
    <border>
      <left style="medium">
        <color indexed="64"/>
      </left>
      <right style="medium">
        <color indexed="64"/>
      </right>
      <top style="thin">
        <color theme="0" tint="-0.249977111117893"/>
      </top>
      <bottom style="medium">
        <color indexed="64"/>
      </bottom>
      <diagonal/>
    </border>
    <border>
      <left style="medium">
        <color indexed="64"/>
      </left>
      <right style="medium">
        <color indexed="64"/>
      </right>
      <top style="thin">
        <color theme="0" tint="-0.249977111117893"/>
      </top>
      <bottom/>
      <diagonal/>
    </border>
    <border>
      <left style="medium">
        <color indexed="64"/>
      </left>
      <right style="medium">
        <color indexed="64"/>
      </right>
      <top style="thin">
        <color theme="0" tint="-0.249977111117893"/>
      </top>
      <bottom style="thin">
        <color theme="0" tint="-0.249977111117893"/>
      </bottom>
      <diagonal/>
    </border>
    <border>
      <left/>
      <right style="medium">
        <color indexed="64"/>
      </right>
      <top style="medium">
        <color indexed="64"/>
      </top>
      <bottom style="thin">
        <color theme="0" tint="-0.249977111117893"/>
      </bottom>
      <diagonal/>
    </border>
    <border>
      <left/>
      <right/>
      <top/>
      <bottom style="thin">
        <color theme="0" tint="-0.249977111117893"/>
      </bottom>
      <diagonal/>
    </border>
    <border>
      <left style="medium">
        <color indexed="8"/>
      </left>
      <right style="medium">
        <color indexed="64"/>
      </right>
      <top style="thin">
        <color theme="0" tint="-0.249977111117893"/>
      </top>
      <bottom style="thin">
        <color theme="0" tint="-0.249977111117893"/>
      </bottom>
      <diagonal/>
    </border>
    <border>
      <left style="medium">
        <color indexed="64"/>
      </left>
      <right style="medium">
        <color indexed="64"/>
      </right>
      <top/>
      <bottom style="thin">
        <color theme="0" tint="-0.249977111117893"/>
      </bottom>
      <diagonal/>
    </border>
    <border>
      <left/>
      <right style="medium">
        <color indexed="64"/>
      </right>
      <top/>
      <bottom style="thin">
        <color theme="0" tint="-0.249977111117893"/>
      </bottom>
      <diagonal/>
    </border>
    <border>
      <left style="medium">
        <color indexed="64"/>
      </left>
      <right style="medium">
        <color indexed="64"/>
      </right>
      <top style="medium">
        <color indexed="64"/>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medium">
        <color indexed="64"/>
      </top>
      <bottom style="thin">
        <color theme="0" tint="-0.14999847407452621"/>
      </bottom>
      <diagonal/>
    </border>
    <border>
      <left style="medium">
        <color indexed="64"/>
      </left>
      <right/>
      <top style="medium">
        <color indexed="64"/>
      </top>
      <bottom style="thin">
        <color theme="0" tint="-0.249977111117893"/>
      </bottom>
      <diagonal/>
    </border>
    <border>
      <left/>
      <right/>
      <top style="medium">
        <color indexed="64"/>
      </top>
      <bottom style="thin">
        <color theme="0" tint="-0.249977111117893"/>
      </bottom>
      <diagonal/>
    </border>
    <border>
      <left style="medium">
        <color indexed="64"/>
      </left>
      <right/>
      <top style="thin">
        <color theme="0" tint="-0.249977111117893"/>
      </top>
      <bottom style="medium">
        <color indexed="64"/>
      </bottom>
      <diagonal/>
    </border>
    <border>
      <left/>
      <right/>
      <top style="thin">
        <color theme="0" tint="-0.249977111117893"/>
      </top>
      <bottom style="medium">
        <color indexed="64"/>
      </bottom>
      <diagonal/>
    </border>
    <border>
      <left style="medium">
        <color indexed="64"/>
      </left>
      <right/>
      <top style="thin">
        <color theme="0" tint="-0.249977111117893"/>
      </top>
      <bottom/>
      <diagonal/>
    </border>
    <border>
      <left style="medium">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theme="0" tint="-0.249977111117893"/>
      </right>
      <top style="medium">
        <color indexed="64"/>
      </top>
      <bottom style="medium">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thin">
        <color theme="0" tint="-0.249977111117893"/>
      </top>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medium">
        <color indexed="64"/>
      </right>
      <top style="thin">
        <color theme="0" tint="-0.249977111117893"/>
      </top>
      <bottom style="medium">
        <color indexed="8"/>
      </bottom>
      <diagonal/>
    </border>
    <border>
      <left style="medium">
        <color indexed="8"/>
      </left>
      <right style="medium">
        <color indexed="64"/>
      </right>
      <top style="thin">
        <color theme="0" tint="-0.249977111117893"/>
      </top>
      <bottom style="medium">
        <color indexed="64"/>
      </bottom>
      <diagonal/>
    </border>
    <border>
      <left/>
      <right/>
      <top style="thin">
        <color theme="0" tint="-0.249977111117893"/>
      </top>
      <bottom/>
      <diagonal/>
    </border>
    <border>
      <left style="medium">
        <color indexed="8"/>
      </left>
      <right style="medium">
        <color indexed="64"/>
      </right>
      <top/>
      <bottom style="thin">
        <color theme="0" tint="-0.249977111117893"/>
      </bottom>
      <diagonal/>
    </border>
    <border>
      <left style="medium">
        <color indexed="64"/>
      </left>
      <right style="medium">
        <color indexed="64"/>
      </right>
      <top style="medium">
        <color indexed="8"/>
      </top>
      <bottom/>
      <diagonal/>
    </border>
    <border>
      <left/>
      <right style="medium">
        <color indexed="64"/>
      </right>
      <top/>
      <bottom style="thin">
        <color theme="0" tint="-0.14999847407452621"/>
      </bottom>
      <diagonal/>
    </border>
    <border>
      <left style="medium">
        <color indexed="64"/>
      </left>
      <right style="medium">
        <color indexed="64"/>
      </right>
      <top style="thin">
        <color theme="0" tint="-0.249977111117893"/>
      </top>
      <bottom style="thin">
        <color theme="0" tint="-0.14999847407452621"/>
      </bottom>
      <diagonal/>
    </border>
    <border>
      <left style="medium">
        <color indexed="64"/>
      </left>
      <right/>
      <top/>
      <bottom style="thin">
        <color theme="0" tint="-0.249977111117893"/>
      </bottom>
      <diagonal/>
    </border>
    <border>
      <left style="medium">
        <color indexed="64"/>
      </left>
      <right style="medium">
        <color indexed="8"/>
      </right>
      <top style="thin">
        <color theme="0" tint="-0.249977111117893"/>
      </top>
      <bottom style="thin">
        <color theme="0" tint="-0.249977111117893"/>
      </bottom>
      <diagonal/>
    </border>
    <border>
      <left style="medium">
        <color indexed="64"/>
      </left>
      <right style="medium">
        <color indexed="8"/>
      </right>
      <top style="thin">
        <color theme="0" tint="-0.249977111117893"/>
      </top>
      <bottom style="medium">
        <color indexed="64"/>
      </bottom>
      <diagonal/>
    </border>
    <border>
      <left style="medium">
        <color indexed="64"/>
      </left>
      <right/>
      <top style="thin">
        <color theme="0" tint="-0.249977111117893"/>
      </top>
      <bottom style="medium">
        <color theme="1"/>
      </bottom>
      <diagonal/>
    </border>
    <border>
      <left/>
      <right/>
      <top style="thin">
        <color theme="0" tint="-0.249977111117893"/>
      </top>
      <bottom style="medium">
        <color theme="1"/>
      </bottom>
      <diagonal/>
    </border>
    <border>
      <left/>
      <right style="medium">
        <color indexed="64"/>
      </right>
      <top style="thin">
        <color theme="0" tint="-0.249977111117893"/>
      </top>
      <bottom style="medium">
        <color theme="1"/>
      </bottom>
      <diagonal/>
    </border>
  </borders>
  <cellStyleXfs count="46">
    <xf numFmtId="0" fontId="0" fillId="0" borderId="0"/>
    <xf numFmtId="0" fontId="31"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1" fillId="11" borderId="0" applyNumberFormat="0" applyBorder="0" applyAlignment="0" applyProtection="0"/>
    <xf numFmtId="0" fontId="31" fillId="11" borderId="0" applyNumberFormat="0" applyBorder="0" applyAlignment="0" applyProtection="0"/>
    <xf numFmtId="0" fontId="34" fillId="9" borderId="0" applyNumberFormat="0" applyBorder="0" applyAlignment="0" applyProtection="0"/>
    <xf numFmtId="0" fontId="34" fillId="12"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4" fillId="6" borderId="0" applyNumberFormat="0" applyBorder="0" applyAlignment="0" applyProtection="0"/>
    <xf numFmtId="0" fontId="34" fillId="10"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4" fillId="14" borderId="0" applyNumberFormat="0" applyBorder="0" applyAlignment="0" applyProtection="0"/>
    <xf numFmtId="0" fontId="34" fillId="6" borderId="0" applyNumberFormat="0" applyBorder="0" applyAlignment="0" applyProtection="0"/>
    <xf numFmtId="0" fontId="31" fillId="7" borderId="0" applyNumberFormat="0" applyBorder="0" applyAlignment="0" applyProtection="0"/>
    <xf numFmtId="0" fontId="31" fillId="15" borderId="0" applyNumberFormat="0" applyBorder="0" applyAlignment="0" applyProtection="0"/>
    <xf numFmtId="0" fontId="34" fillId="9" borderId="0" applyNumberFormat="0" applyBorder="0" applyAlignment="0" applyProtection="0"/>
    <xf numFmtId="0" fontId="34" fillId="16" borderId="0" applyNumberFormat="0" applyBorder="0" applyAlignment="0" applyProtection="0"/>
    <xf numFmtId="0" fontId="31" fillId="16" borderId="0" applyNumberFormat="0" applyBorder="0" applyAlignment="0" applyProtection="0"/>
    <xf numFmtId="0" fontId="26" fillId="17" borderId="0" applyNumberFormat="0" applyBorder="0" applyAlignment="0" applyProtection="0"/>
    <xf numFmtId="0" fontId="31" fillId="4" borderId="1" applyNumberFormat="0" applyAlignment="0" applyProtection="0"/>
    <xf numFmtId="0" fontId="32" fillId="0" borderId="0" applyNumberFormat="0" applyFill="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0" borderId="0" applyNumberFormat="0" applyBorder="0" applyAlignment="0" applyProtection="0"/>
    <xf numFmtId="0" fontId="25" fillId="12" borderId="0" applyNumberFormat="0" applyBorder="0" applyAlignment="0" applyProtection="0"/>
    <xf numFmtId="0" fontId="22" fillId="0" borderId="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24" fillId="0" borderId="0" applyNumberFormat="0" applyFill="0" applyBorder="0" applyAlignment="0" applyProtection="0"/>
    <xf numFmtId="0" fontId="29" fillId="3" borderId="5" applyNumberFormat="0" applyAlignment="0" applyProtection="0"/>
    <xf numFmtId="0" fontId="20" fillId="21" borderId="6" applyNumberFormat="0" applyFont="0" applyAlignment="0" applyProtection="0"/>
    <xf numFmtId="0" fontId="27" fillId="21" borderId="0" applyNumberFormat="0" applyBorder="0" applyAlignment="0" applyProtection="0"/>
    <xf numFmtId="0" fontId="20" fillId="9" borderId="7" applyNumberFormat="0" applyFont="0" applyAlignment="0" applyProtection="0"/>
    <xf numFmtId="0" fontId="30" fillId="22" borderId="8" applyNumberFormat="0" applyAlignment="0" applyProtection="0"/>
    <xf numFmtId="0" fontId="21" fillId="0" borderId="0" applyNumberFormat="0" applyFill="0" applyBorder="0" applyAlignment="0" applyProtection="0"/>
    <xf numFmtId="0" fontId="28" fillId="0" borderId="9" applyNumberFormat="0" applyFill="0" applyAlignment="0" applyProtection="0"/>
    <xf numFmtId="0" fontId="33" fillId="0" borderId="0" applyNumberFormat="0" applyFill="0" applyBorder="0" applyAlignment="0" applyProtection="0"/>
    <xf numFmtId="9" fontId="50" fillId="0" borderId="0" applyFont="0" applyFill="0" applyBorder="0" applyAlignment="0" applyProtection="0"/>
    <xf numFmtId="0" fontId="56" fillId="0" borderId="0" applyNumberFormat="0" applyFill="0" applyBorder="0" applyAlignment="0" applyProtection="0">
      <alignment vertical="top"/>
      <protection locked="0"/>
    </xf>
  </cellStyleXfs>
  <cellXfs count="1172">
    <xf numFmtId="0" fontId="0" fillId="0" borderId="0" xfId="0"/>
    <xf numFmtId="0" fontId="0" fillId="0" borderId="0" xfId="0" applyBorder="1"/>
    <xf numFmtId="0" fontId="1" fillId="0" borderId="0" xfId="0" applyFont="1"/>
    <xf numFmtId="0" fontId="2" fillId="0" borderId="11" xfId="0" applyFont="1" applyFill="1" applyBorder="1"/>
    <xf numFmtId="0" fontId="0" fillId="23" borderId="22" xfId="0" applyFill="1" applyBorder="1"/>
    <xf numFmtId="0" fontId="0" fillId="23" borderId="13" xfId="0" applyFill="1" applyBorder="1"/>
    <xf numFmtId="0" fontId="0" fillId="23" borderId="0" xfId="0" applyFill="1" applyBorder="1"/>
    <xf numFmtId="0" fontId="8" fillId="0" borderId="15" xfId="0" applyFont="1" applyBorder="1"/>
    <xf numFmtId="0" fontId="0" fillId="23" borderId="27" xfId="0" applyFill="1" applyBorder="1"/>
    <xf numFmtId="0" fontId="8" fillId="0" borderId="10" xfId="0" applyFont="1" applyFill="1" applyBorder="1"/>
    <xf numFmtId="0" fontId="8" fillId="0" borderId="12" xfId="0" applyFont="1" applyFill="1" applyBorder="1"/>
    <xf numFmtId="0" fontId="8" fillId="0" borderId="12" xfId="0" applyFont="1" applyBorder="1"/>
    <xf numFmtId="0" fontId="8" fillId="23" borderId="0" xfId="0" applyFont="1" applyFill="1" applyBorder="1"/>
    <xf numFmtId="0" fontId="0" fillId="23" borderId="21" xfId="0" applyFill="1" applyBorder="1"/>
    <xf numFmtId="0" fontId="8" fillId="0" borderId="10" xfId="0" applyFont="1" applyBorder="1"/>
    <xf numFmtId="0" fontId="4" fillId="23" borderId="12" xfId="0" applyFont="1" applyFill="1" applyBorder="1" applyAlignment="1">
      <alignment horizontal="left"/>
    </xf>
    <xf numFmtId="0" fontId="8" fillId="23" borderId="27" xfId="0" applyFont="1" applyFill="1" applyBorder="1"/>
    <xf numFmtId="0" fontId="8" fillId="0" borderId="27" xfId="0" applyFont="1" applyBorder="1"/>
    <xf numFmtId="0" fontId="8" fillId="23" borderId="12" xfId="0" applyFont="1" applyFill="1" applyBorder="1"/>
    <xf numFmtId="0" fontId="43" fillId="0" borderId="24" xfId="0" applyFont="1" applyBorder="1" applyAlignment="1">
      <alignment horizontal="center"/>
    </xf>
    <xf numFmtId="0" fontId="43" fillId="0" borderId="15" xfId="0" applyFont="1" applyBorder="1" applyAlignment="1">
      <alignment horizontal="center"/>
    </xf>
    <xf numFmtId="0" fontId="8" fillId="0" borderId="23" xfId="0" applyFont="1" applyBorder="1" applyAlignment="1">
      <alignment horizontal="left"/>
    </xf>
    <xf numFmtId="0" fontId="8" fillId="0" borderId="23" xfId="0" applyFont="1" applyBorder="1" applyAlignment="1">
      <alignment horizontal="right"/>
    </xf>
    <xf numFmtId="0" fontId="8" fillId="0" borderId="12" xfId="0" applyFont="1" applyBorder="1" applyAlignment="1">
      <alignment horizontal="left"/>
    </xf>
    <xf numFmtId="0" fontId="8" fillId="0" borderId="12" xfId="0" applyFont="1" applyBorder="1" applyAlignment="1">
      <alignment horizontal="right"/>
    </xf>
    <xf numFmtId="0" fontId="8" fillId="0" borderId="15" xfId="0" applyFont="1" applyBorder="1" applyAlignment="1">
      <alignment horizontal="left"/>
    </xf>
    <xf numFmtId="0" fontId="8" fillId="0" borderId="15" xfId="0" applyFont="1" applyBorder="1" applyAlignment="1">
      <alignment horizontal="right"/>
    </xf>
    <xf numFmtId="0" fontId="8" fillId="0" borderId="11" xfId="0" applyFont="1" applyBorder="1"/>
    <xf numFmtId="0" fontId="8" fillId="23" borderId="0" xfId="0" applyFont="1" applyFill="1" applyAlignment="1">
      <alignment horizontal="left"/>
    </xf>
    <xf numFmtId="0" fontId="8" fillId="23" borderId="0" xfId="0" applyFont="1" applyFill="1"/>
    <xf numFmtId="0" fontId="8" fillId="23" borderId="27" xfId="0" applyFont="1" applyFill="1" applyBorder="1" applyAlignment="1">
      <alignment horizontal="left"/>
    </xf>
    <xf numFmtId="0" fontId="43" fillId="0" borderId="25" xfId="0" applyFont="1" applyBorder="1" applyAlignment="1">
      <alignment horizontal="center"/>
    </xf>
    <xf numFmtId="0" fontId="8" fillId="0" borderId="11" xfId="0" applyFont="1" applyBorder="1" applyAlignment="1">
      <alignment horizontal="left"/>
    </xf>
    <xf numFmtId="0" fontId="8" fillId="0" borderId="10" xfId="0" applyFont="1" applyBorder="1" applyAlignment="1">
      <alignment horizontal="right"/>
    </xf>
    <xf numFmtId="0" fontId="8" fillId="23" borderId="22" xfId="0" applyFont="1" applyFill="1" applyBorder="1" applyAlignment="1">
      <alignment horizontal="right"/>
    </xf>
    <xf numFmtId="0" fontId="43" fillId="0" borderId="24" xfId="0" applyFont="1" applyFill="1" applyBorder="1" applyAlignment="1">
      <alignment horizontal="center"/>
    </xf>
    <xf numFmtId="0" fontId="8" fillId="0" borderId="23" xfId="0" quotePrefix="1" applyFont="1" applyBorder="1" applyAlignment="1">
      <alignment horizontal="right"/>
    </xf>
    <xf numFmtId="0" fontId="8" fillId="25" borderId="10" xfId="0" applyFont="1" applyFill="1" applyBorder="1" applyAlignment="1">
      <alignment horizontal="right"/>
    </xf>
    <xf numFmtId="0" fontId="8" fillId="25" borderId="10" xfId="0" applyFont="1" applyFill="1" applyBorder="1"/>
    <xf numFmtId="0" fontId="8" fillId="23" borderId="10" xfId="0" applyFont="1" applyFill="1" applyBorder="1" applyAlignment="1">
      <alignment horizontal="right"/>
    </xf>
    <xf numFmtId="0" fontId="8" fillId="23" borderId="10" xfId="0" applyFont="1" applyFill="1" applyBorder="1"/>
    <xf numFmtId="0" fontId="8" fillId="23" borderId="13" xfId="0" applyFont="1" applyFill="1" applyBorder="1"/>
    <xf numFmtId="0" fontId="8" fillId="0" borderId="25" xfId="0" applyFont="1" applyBorder="1"/>
    <xf numFmtId="0" fontId="8" fillId="0" borderId="14" xfId="0" applyFont="1" applyBorder="1" applyAlignment="1">
      <alignment horizontal="right"/>
    </xf>
    <xf numFmtId="0" fontId="8" fillId="23" borderId="13" xfId="0" applyFont="1" applyFill="1" applyBorder="1" applyAlignment="1">
      <alignment horizontal="right"/>
    </xf>
    <xf numFmtId="0" fontId="0" fillId="28" borderId="0" xfId="0" applyFill="1" applyBorder="1"/>
    <xf numFmtId="0" fontId="0" fillId="28" borderId="0" xfId="0" applyFill="1"/>
    <xf numFmtId="0" fontId="8" fillId="23" borderId="11" xfId="0" applyFont="1" applyFill="1" applyBorder="1"/>
    <xf numFmtId="0" fontId="43" fillId="23" borderId="24" xfId="0" applyFont="1" applyFill="1" applyBorder="1" applyAlignment="1">
      <alignment horizontal="center"/>
    </xf>
    <xf numFmtId="0" fontId="43" fillId="23" borderId="24" xfId="0" applyFont="1" applyFill="1" applyBorder="1"/>
    <xf numFmtId="0" fontId="8" fillId="0" borderId="24" xfId="0" applyFont="1" applyFill="1" applyBorder="1"/>
    <xf numFmtId="16" fontId="8" fillId="0" borderId="0" xfId="0" quotePrefix="1" applyNumberFormat="1" applyFont="1" applyAlignment="1">
      <alignment horizontal="right"/>
    </xf>
    <xf numFmtId="0" fontId="8" fillId="0" borderId="0" xfId="0" quotePrefix="1" applyFont="1" applyAlignment="1">
      <alignment horizontal="right"/>
    </xf>
    <xf numFmtId="0" fontId="8" fillId="0" borderId="0" xfId="0" quotePrefix="1" applyFont="1" applyFill="1" applyBorder="1" applyAlignment="1">
      <alignment horizontal="right"/>
    </xf>
    <xf numFmtId="0" fontId="8" fillId="0" borderId="0" xfId="0" applyFont="1" applyAlignment="1">
      <alignment horizontal="right"/>
    </xf>
    <xf numFmtId="0" fontId="8" fillId="0" borderId="21" xfId="0" applyFont="1" applyBorder="1" applyAlignment="1">
      <alignment horizontal="right"/>
    </xf>
    <xf numFmtId="0" fontId="8" fillId="0" borderId="14" xfId="0" applyFont="1" applyBorder="1"/>
    <xf numFmtId="0" fontId="43" fillId="0" borderId="11" xfId="0" applyFont="1" applyBorder="1" applyAlignment="1">
      <alignment horizontal="center" vertical="top"/>
    </xf>
    <xf numFmtId="0" fontId="0" fillId="28" borderId="15" xfId="0" applyFill="1" applyBorder="1"/>
    <xf numFmtId="0" fontId="2" fillId="0" borderId="14" xfId="0" applyFont="1" applyFill="1" applyBorder="1" applyAlignment="1">
      <alignment horizontal="right"/>
    </xf>
    <xf numFmtId="0" fontId="2" fillId="0" borderId="10" xfId="0" applyFont="1" applyFill="1" applyBorder="1" applyAlignment="1">
      <alignment horizontal="right"/>
    </xf>
    <xf numFmtId="0" fontId="0" fillId="0" borderId="10" xfId="0" applyBorder="1"/>
    <xf numFmtId="0" fontId="0" fillId="0" borderId="11" xfId="0" applyBorder="1"/>
    <xf numFmtId="0" fontId="1" fillId="0" borderId="24" xfId="0" applyFont="1" applyBorder="1"/>
    <xf numFmtId="0" fontId="0" fillId="28" borderId="27" xfId="0" applyFill="1" applyBorder="1"/>
    <xf numFmtId="0" fontId="8" fillId="28" borderId="0" xfId="0" applyFont="1" applyFill="1" applyBorder="1"/>
    <xf numFmtId="0" fontId="2" fillId="0" borderId="10" xfId="0" applyFont="1" applyBorder="1" applyAlignment="1">
      <alignment horizontal="right"/>
    </xf>
    <xf numFmtId="0" fontId="2" fillId="0" borderId="0" xfId="0" applyFont="1" applyAlignment="1">
      <alignment horizontal="right"/>
    </xf>
    <xf numFmtId="0" fontId="2" fillId="0" borderId="12" xfId="0" applyFont="1" applyFill="1" applyBorder="1"/>
    <xf numFmtId="0" fontId="2" fillId="0" borderId="11" xfId="0" applyFont="1" applyBorder="1" applyAlignment="1">
      <alignment horizontal="right"/>
    </xf>
    <xf numFmtId="0" fontId="8" fillId="28" borderId="22" xfId="0" applyFont="1" applyFill="1" applyBorder="1" applyAlignment="1">
      <alignment horizontal="right"/>
    </xf>
    <xf numFmtId="0" fontId="8" fillId="28" borderId="22" xfId="0" applyFont="1" applyFill="1" applyBorder="1"/>
    <xf numFmtId="0" fontId="8" fillId="28" borderId="0" xfId="0" applyFont="1" applyFill="1"/>
    <xf numFmtId="0" fontId="19" fillId="23" borderId="27" xfId="0" applyFont="1" applyFill="1" applyBorder="1" applyAlignment="1">
      <alignment horizontal="right" vertical="center"/>
    </xf>
    <xf numFmtId="0" fontId="0" fillId="0" borderId="0" xfId="0" applyAlignment="1">
      <alignment vertical="center"/>
    </xf>
    <xf numFmtId="0" fontId="0" fillId="23" borderId="0" xfId="0" applyFill="1" applyBorder="1" applyAlignment="1">
      <alignment vertical="center"/>
    </xf>
    <xf numFmtId="0" fontId="11" fillId="23" borderId="23" xfId="0" applyFont="1" applyFill="1" applyBorder="1" applyAlignment="1">
      <alignment horizontal="right" vertical="center"/>
    </xf>
    <xf numFmtId="0" fontId="0" fillId="23" borderId="12" xfId="0" applyFill="1" applyBorder="1" applyAlignment="1">
      <alignment vertical="center"/>
    </xf>
    <xf numFmtId="0" fontId="13" fillId="23" borderId="12" xfId="0" applyFont="1" applyFill="1" applyBorder="1" applyAlignment="1">
      <alignment vertical="center"/>
    </xf>
    <xf numFmtId="0" fontId="13" fillId="0" borderId="0" xfId="0" applyFont="1" applyAlignment="1">
      <alignment vertical="center"/>
    </xf>
    <xf numFmtId="0" fontId="0" fillId="28" borderId="12" xfId="0" applyFill="1" applyBorder="1" applyAlignment="1">
      <alignment vertical="center" wrapText="1"/>
    </xf>
    <xf numFmtId="0" fontId="0" fillId="23" borderId="0" xfId="0" applyFill="1" applyAlignment="1">
      <alignment vertical="center"/>
    </xf>
    <xf numFmtId="0" fontId="0" fillId="28" borderId="0" xfId="0" applyFill="1" applyAlignment="1">
      <alignment vertical="center"/>
    </xf>
    <xf numFmtId="0" fontId="0" fillId="28" borderId="15" xfId="0" applyFill="1" applyBorder="1" applyAlignment="1">
      <alignment vertical="center"/>
    </xf>
    <xf numFmtId="0" fontId="12" fillId="23" borderId="0" xfId="0" applyFont="1" applyFill="1" applyAlignment="1">
      <alignment vertical="center"/>
    </xf>
    <xf numFmtId="0" fontId="13" fillId="23" borderId="0" xfId="0" applyFont="1" applyFill="1" applyAlignment="1">
      <alignment vertical="center"/>
    </xf>
    <xf numFmtId="0" fontId="13" fillId="0" borderId="0" xfId="0" applyFont="1" applyBorder="1" applyAlignment="1">
      <alignment vertical="center"/>
    </xf>
    <xf numFmtId="0" fontId="5" fillId="0" borderId="19" xfId="0" applyFont="1" applyBorder="1" applyAlignment="1">
      <alignment horizontal="right" vertical="center"/>
    </xf>
    <xf numFmtId="0" fontId="0" fillId="0" borderId="13" xfId="0" applyBorder="1" applyAlignment="1">
      <alignment vertical="center"/>
    </xf>
    <xf numFmtId="0" fontId="0" fillId="23" borderId="13" xfId="0" applyFill="1" applyBorder="1" applyAlignment="1">
      <alignment vertical="center"/>
    </xf>
    <xf numFmtId="0" fontId="0" fillId="28" borderId="12" xfId="0" applyFill="1" applyBorder="1" applyAlignment="1">
      <alignment vertical="center"/>
    </xf>
    <xf numFmtId="0" fontId="0" fillId="0" borderId="0" xfId="0" applyBorder="1" applyAlignment="1">
      <alignment vertical="center"/>
    </xf>
    <xf numFmtId="0" fontId="0" fillId="23" borderId="16" xfId="0" applyFill="1" applyBorder="1" applyAlignment="1">
      <alignment vertical="center"/>
    </xf>
    <xf numFmtId="0" fontId="0" fillId="23" borderId="10" xfId="0" applyFill="1" applyBorder="1" applyAlignment="1">
      <alignment vertical="center"/>
    </xf>
    <xf numFmtId="2" fontId="42" fillId="0" borderId="23" xfId="0" applyNumberFormat="1" applyFont="1" applyBorder="1" applyAlignment="1">
      <alignment horizontal="right" vertical="center"/>
    </xf>
    <xf numFmtId="0" fontId="46" fillId="0" borderId="10" xfId="0" applyFont="1" applyBorder="1" applyAlignment="1">
      <alignment vertical="center"/>
    </xf>
    <xf numFmtId="2" fontId="10" fillId="0" borderId="15" xfId="0" quotePrefix="1" applyNumberFormat="1" applyFont="1" applyBorder="1" applyAlignment="1">
      <alignment horizontal="right" vertical="center"/>
    </xf>
    <xf numFmtId="9" fontId="10" fillId="0" borderId="11" xfId="0" applyNumberFormat="1" applyFont="1" applyBorder="1" applyAlignment="1">
      <alignment vertical="center"/>
    </xf>
    <xf numFmtId="0" fontId="0" fillId="28" borderId="27" xfId="0" applyFill="1" applyBorder="1" applyAlignment="1">
      <alignment vertical="center"/>
    </xf>
    <xf numFmtId="0" fontId="41" fillId="0" borderId="14" xfId="0" applyFont="1" applyBorder="1" applyAlignment="1">
      <alignment vertical="center"/>
    </xf>
    <xf numFmtId="0" fontId="2" fillId="0" borderId="10" xfId="0" applyFont="1" applyFill="1" applyBorder="1" applyAlignment="1">
      <alignment vertical="center"/>
    </xf>
    <xf numFmtId="1" fontId="3" fillId="0" borderId="12" xfId="0" applyNumberFormat="1" applyFont="1" applyBorder="1" applyAlignment="1">
      <alignment vertical="center"/>
    </xf>
    <xf numFmtId="0" fontId="8" fillId="0" borderId="10" xfId="0" applyFont="1" applyFill="1" applyBorder="1" applyAlignment="1">
      <alignment vertical="center"/>
    </xf>
    <xf numFmtId="0" fontId="2" fillId="0" borderId="12" xfId="0" applyFont="1" applyFill="1" applyBorder="1" applyAlignment="1">
      <alignment vertical="center"/>
    </xf>
    <xf numFmtId="0" fontId="2" fillId="0" borderId="0" xfId="0" applyFont="1" applyBorder="1" applyAlignment="1">
      <alignment vertical="center"/>
    </xf>
    <xf numFmtId="2" fontId="35" fillId="0" borderId="10" xfId="0" applyNumberFormat="1" applyFont="1" applyBorder="1" applyAlignment="1">
      <alignment horizontal="right" vertical="center"/>
    </xf>
    <xf numFmtId="0" fontId="2" fillId="0" borderId="11" xfId="0" applyFont="1" applyFill="1" applyBorder="1" applyAlignment="1">
      <alignment vertical="center"/>
    </xf>
    <xf numFmtId="2" fontId="35" fillId="0" borderId="11" xfId="0" applyNumberFormat="1" applyFont="1" applyBorder="1" applyAlignment="1">
      <alignment vertical="center"/>
    </xf>
    <xf numFmtId="0" fontId="0" fillId="28" borderId="0" xfId="0" applyFill="1" applyBorder="1" applyAlignment="1">
      <alignment vertical="center"/>
    </xf>
    <xf numFmtId="0" fontId="8" fillId="23" borderId="0" xfId="0" applyFont="1" applyFill="1" applyBorder="1" applyAlignment="1">
      <alignment vertical="center"/>
    </xf>
    <xf numFmtId="0" fontId="0" fillId="0" borderId="0" xfId="0" applyFill="1" applyAlignment="1">
      <alignment vertical="center"/>
    </xf>
    <xf numFmtId="0" fontId="2" fillId="0" borderId="14" xfId="0" applyFont="1" applyFill="1" applyBorder="1" applyAlignment="1">
      <alignment vertical="center"/>
    </xf>
    <xf numFmtId="0" fontId="8" fillId="0" borderId="10" xfId="0" applyFont="1" applyBorder="1" applyAlignment="1">
      <alignment vertical="center"/>
    </xf>
    <xf numFmtId="1" fontId="3" fillId="0" borderId="10" xfId="0" applyNumberFormat="1" applyFont="1" applyBorder="1" applyAlignment="1">
      <alignment vertical="center"/>
    </xf>
    <xf numFmtId="1" fontId="3" fillId="0" borderId="11" xfId="0" applyNumberFormat="1" applyFont="1" applyBorder="1" applyAlignment="1">
      <alignment vertical="center"/>
    </xf>
    <xf numFmtId="1" fontId="35" fillId="0" borderId="15" xfId="0" applyNumberFormat="1" applyFont="1" applyFill="1" applyBorder="1" applyAlignment="1">
      <alignment vertical="center"/>
    </xf>
    <xf numFmtId="164" fontId="35" fillId="0" borderId="14" xfId="0" applyNumberFormat="1" applyFont="1" applyFill="1" applyBorder="1" applyAlignment="1">
      <alignment vertical="center"/>
    </xf>
    <xf numFmtId="0" fontId="35" fillId="0" borderId="12" xfId="0" applyFont="1" applyFill="1" applyBorder="1" applyAlignment="1">
      <alignment horizontal="right" vertical="center"/>
    </xf>
    <xf numFmtId="0" fontId="35" fillId="0" borderId="10" xfId="0" applyFont="1" applyBorder="1" applyAlignment="1">
      <alignment horizontal="right" vertical="center"/>
    </xf>
    <xf numFmtId="0" fontId="2" fillId="0" borderId="0" xfId="0" applyFont="1" applyFill="1" applyBorder="1" applyAlignment="1">
      <alignment vertical="center"/>
    </xf>
    <xf numFmtId="1" fontId="3" fillId="0" borderId="23" xfId="0" applyNumberFormat="1" applyFont="1" applyFill="1" applyBorder="1" applyAlignment="1">
      <alignment vertical="center"/>
    </xf>
    <xf numFmtId="0" fontId="8" fillId="28" borderId="0" xfId="0" applyFont="1" applyFill="1" applyBorder="1" applyAlignment="1">
      <alignment vertical="center"/>
    </xf>
    <xf numFmtId="2" fontId="35" fillId="28" borderId="0" xfId="0" applyNumberFormat="1" applyFont="1" applyFill="1" applyBorder="1" applyAlignment="1">
      <alignment vertical="center"/>
    </xf>
    <xf numFmtId="0" fontId="0" fillId="23" borderId="27" xfId="0" applyFill="1" applyBorder="1" applyAlignment="1">
      <alignment vertical="center"/>
    </xf>
    <xf numFmtId="0" fontId="0" fillId="23" borderId="15" xfId="0" applyFill="1" applyBorder="1" applyAlignment="1">
      <alignment vertical="center"/>
    </xf>
    <xf numFmtId="1" fontId="35" fillId="0" borderId="24" xfId="0" applyNumberFormat="1" applyFont="1" applyBorder="1" applyAlignment="1">
      <alignment vertical="center"/>
    </xf>
    <xf numFmtId="1" fontId="35" fillId="23" borderId="0" xfId="0" applyNumberFormat="1" applyFont="1" applyFill="1" applyBorder="1" applyAlignment="1">
      <alignment vertical="center"/>
    </xf>
    <xf numFmtId="0" fontId="35" fillId="23" borderId="0" xfId="0" applyFont="1" applyFill="1" applyBorder="1" applyAlignment="1">
      <alignment horizontal="center" vertical="center"/>
    </xf>
    <xf numFmtId="0" fontId="35" fillId="23" borderId="23" xfId="0" applyFont="1" applyFill="1" applyBorder="1" applyAlignment="1">
      <alignment horizontal="center" vertical="center"/>
    </xf>
    <xf numFmtId="0" fontId="1" fillId="27" borderId="24" xfId="0" applyFont="1" applyFill="1" applyBorder="1" applyAlignment="1">
      <alignment horizontal="center" vertical="center"/>
    </xf>
    <xf numFmtId="0" fontId="0" fillId="28" borderId="13" xfId="0" applyFill="1" applyBorder="1" applyAlignment="1">
      <alignment vertical="center"/>
    </xf>
    <xf numFmtId="0" fontId="35" fillId="23" borderId="12" xfId="0" applyFont="1" applyFill="1" applyBorder="1" applyAlignment="1">
      <alignment horizontal="center" vertical="center"/>
    </xf>
    <xf numFmtId="0" fontId="35" fillId="0" borderId="24" xfId="0" applyFont="1" applyFill="1" applyBorder="1" applyAlignment="1">
      <alignment horizontal="right" vertical="center"/>
    </xf>
    <xf numFmtId="0" fontId="35" fillId="0" borderId="12" xfId="0" applyFont="1" applyFill="1" applyBorder="1" applyAlignment="1">
      <alignment vertical="center"/>
    </xf>
    <xf numFmtId="0" fontId="35" fillId="0" borderId="11" xfId="0" applyFont="1" applyFill="1" applyBorder="1" applyAlignment="1">
      <alignment horizontal="right" vertical="center"/>
    </xf>
    <xf numFmtId="0" fontId="35" fillId="0" borderId="24" xfId="0" applyFont="1" applyFill="1" applyBorder="1" applyAlignment="1">
      <alignment vertical="center"/>
    </xf>
    <xf numFmtId="0" fontId="35" fillId="23" borderId="24" xfId="0" applyFont="1" applyFill="1" applyBorder="1" applyAlignment="1">
      <alignment horizontal="center" vertical="center"/>
    </xf>
    <xf numFmtId="0" fontId="35" fillId="23" borderId="15" xfId="0" applyFont="1" applyFill="1" applyBorder="1" applyAlignment="1">
      <alignment horizontal="center" vertical="center"/>
    </xf>
    <xf numFmtId="0" fontId="3" fillId="0" borderId="10" xfId="0" applyNumberFormat="1" applyFont="1" applyBorder="1" applyAlignment="1">
      <alignment horizontal="center" vertical="center"/>
    </xf>
    <xf numFmtId="1" fontId="3" fillId="0" borderId="18" xfId="0" applyNumberFormat="1" applyFont="1" applyBorder="1" applyAlignment="1">
      <alignment vertical="center"/>
    </xf>
    <xf numFmtId="0" fontId="0" fillId="0" borderId="24" xfId="0" applyFill="1" applyBorder="1" applyAlignment="1">
      <alignment vertical="center"/>
    </xf>
    <xf numFmtId="0" fontId="0" fillId="0" borderId="22" xfId="0" applyBorder="1" applyAlignment="1">
      <alignment vertical="center"/>
    </xf>
    <xf numFmtId="1" fontId="3" fillId="0" borderId="10" xfId="0" applyNumberFormat="1" applyFont="1" applyBorder="1" applyAlignment="1">
      <alignment horizontal="right" vertical="center"/>
    </xf>
    <xf numFmtId="0" fontId="4" fillId="23" borderId="12" xfId="0" applyFont="1" applyFill="1" applyBorder="1" applyAlignment="1">
      <alignment vertical="center" wrapText="1"/>
    </xf>
    <xf numFmtId="0" fontId="4" fillId="23" borderId="0" xfId="0" applyFont="1" applyFill="1" applyBorder="1" applyAlignment="1">
      <alignment horizontal="left" vertical="center" wrapText="1"/>
    </xf>
    <xf numFmtId="0" fontId="4" fillId="23" borderId="12" xfId="0" applyFont="1" applyFill="1" applyBorder="1" applyAlignment="1">
      <alignment horizontal="left" vertical="center" wrapText="1"/>
    </xf>
    <xf numFmtId="0" fontId="2" fillId="0" borderId="10" xfId="0" applyFont="1" applyBorder="1" applyAlignment="1">
      <alignment vertical="center"/>
    </xf>
    <xf numFmtId="0" fontId="3" fillId="0" borderId="11" xfId="0" applyFont="1" applyBorder="1" applyAlignment="1">
      <alignment vertical="center"/>
    </xf>
    <xf numFmtId="0" fontId="2" fillId="0" borderId="11" xfId="0" applyFont="1" applyBorder="1" applyAlignment="1">
      <alignment vertical="center"/>
    </xf>
    <xf numFmtId="0" fontId="2" fillId="0" borderId="14" xfId="0" applyFont="1" applyBorder="1" applyAlignment="1">
      <alignment vertical="center"/>
    </xf>
    <xf numFmtId="1" fontId="35" fillId="28" borderId="0" xfId="0" applyNumberFormat="1" applyFont="1" applyFill="1" applyBorder="1" applyAlignment="1">
      <alignment vertical="center"/>
    </xf>
    <xf numFmtId="0" fontId="0" fillId="0" borderId="0" xfId="0" applyFill="1" applyBorder="1" applyAlignment="1">
      <alignment vertical="center"/>
    </xf>
    <xf numFmtId="0" fontId="35" fillId="0" borderId="0" xfId="0" applyFont="1" applyFill="1" applyBorder="1" applyAlignment="1">
      <alignment vertical="center"/>
    </xf>
    <xf numFmtId="0" fontId="0" fillId="28" borderId="21" xfId="0" applyFill="1" applyBorder="1" applyAlignment="1">
      <alignment vertical="center"/>
    </xf>
    <xf numFmtId="0" fontId="4" fillId="23" borderId="21" xfId="0" applyFont="1" applyFill="1" applyBorder="1" applyAlignment="1">
      <alignment vertical="center"/>
    </xf>
    <xf numFmtId="1" fontId="35" fillId="0" borderId="10" xfId="0" applyNumberFormat="1" applyFont="1" applyFill="1" applyBorder="1" applyAlignment="1">
      <alignment vertical="center"/>
    </xf>
    <xf numFmtId="0" fontId="0" fillId="28" borderId="12" xfId="0" applyFill="1" applyBorder="1"/>
    <xf numFmtId="0" fontId="0" fillId="0" borderId="27" xfId="0" applyBorder="1"/>
    <xf numFmtId="0" fontId="0" fillId="0" borderId="15" xfId="0" applyBorder="1"/>
    <xf numFmtId="0" fontId="0" fillId="0" borderId="12" xfId="0" applyBorder="1"/>
    <xf numFmtId="0" fontId="2" fillId="0" borderId="10" xfId="0" applyFont="1" applyFill="1" applyBorder="1"/>
    <xf numFmtId="0" fontId="1" fillId="0" borderId="10" xfId="0" applyFont="1" applyBorder="1"/>
    <xf numFmtId="167" fontId="35" fillId="0" borderId="10" xfId="0" applyNumberFormat="1" applyFont="1" applyFill="1" applyBorder="1" applyAlignment="1">
      <alignment horizontal="right" vertical="center"/>
    </xf>
    <xf numFmtId="167" fontId="35" fillId="0" borderId="14" xfId="0" applyNumberFormat="1" applyFont="1" applyBorder="1" applyAlignment="1">
      <alignment vertical="center"/>
    </xf>
    <xf numFmtId="167" fontId="3" fillId="0" borderId="10" xfId="0" applyNumberFormat="1" applyFont="1" applyBorder="1" applyAlignment="1">
      <alignment vertical="center"/>
    </xf>
    <xf numFmtId="167" fontId="3" fillId="0" borderId="11" xfId="0" applyNumberFormat="1" applyFont="1" applyBorder="1" applyAlignment="1">
      <alignment vertical="center"/>
    </xf>
    <xf numFmtId="0" fontId="48" fillId="0" borderId="11" xfId="0" applyNumberFormat="1" applyFont="1" applyFill="1" applyBorder="1" applyAlignment="1">
      <alignment vertical="center"/>
    </xf>
    <xf numFmtId="0" fontId="4" fillId="23" borderId="26" xfId="0" applyFont="1" applyFill="1" applyBorder="1" applyAlignment="1">
      <alignment vertical="center"/>
    </xf>
    <xf numFmtId="0" fontId="0" fillId="23" borderId="25" xfId="0" applyFill="1" applyBorder="1" applyAlignment="1">
      <alignment vertical="center"/>
    </xf>
    <xf numFmtId="0" fontId="0" fillId="23" borderId="0" xfId="0" applyFill="1" applyBorder="1" applyAlignment="1">
      <alignment vertical="center"/>
    </xf>
    <xf numFmtId="0" fontId="35" fillId="28" borderId="0" xfId="0" applyFont="1" applyFill="1" applyBorder="1" applyAlignment="1">
      <alignment horizontal="center" vertical="center"/>
    </xf>
    <xf numFmtId="165" fontId="2" fillId="28" borderId="27" xfId="0" applyNumberFormat="1" applyFont="1" applyFill="1" applyBorder="1" applyAlignment="1">
      <alignment vertical="center"/>
    </xf>
    <xf numFmtId="0" fontId="20" fillId="0" borderId="0" xfId="0" applyFont="1" applyAlignment="1">
      <alignment vertical="center"/>
    </xf>
    <xf numFmtId="165" fontId="2" fillId="0" borderId="0" xfId="0" applyNumberFormat="1" applyFont="1" applyFill="1" applyBorder="1" applyAlignment="1">
      <alignment vertical="center"/>
    </xf>
    <xf numFmtId="0" fontId="0" fillId="0" borderId="0" xfId="0" applyFill="1" applyBorder="1"/>
    <xf numFmtId="0" fontId="0" fillId="0" borderId="0" xfId="0" applyFill="1"/>
    <xf numFmtId="0" fontId="10" fillId="0" borderId="15" xfId="0" applyFont="1" applyBorder="1" applyAlignment="1">
      <alignment horizontal="right" vertical="center"/>
    </xf>
    <xf numFmtId="0" fontId="10" fillId="0" borderId="11" xfId="0" applyFont="1" applyBorder="1" applyAlignment="1">
      <alignment horizontal="right" vertical="center"/>
    </xf>
    <xf numFmtId="2" fontId="42" fillId="0" borderId="14" xfId="0" applyNumberFormat="1" applyFont="1" applyBorder="1" applyAlignment="1">
      <alignment horizontal="right" vertical="center"/>
    </xf>
    <xf numFmtId="0" fontId="16" fillId="28" borderId="0" xfId="0" applyFont="1" applyFill="1" applyBorder="1" applyAlignment="1">
      <alignment vertical="center"/>
    </xf>
    <xf numFmtId="0" fontId="35" fillId="23" borderId="12" xfId="0" applyFont="1" applyFill="1" applyBorder="1" applyAlignment="1">
      <alignment vertical="center"/>
    </xf>
    <xf numFmtId="0" fontId="2" fillId="0" borderId="0" xfId="0" applyFont="1" applyAlignment="1">
      <alignment vertical="center"/>
    </xf>
    <xf numFmtId="2" fontId="3" fillId="0" borderId="12" xfId="0" applyNumberFormat="1" applyFont="1" applyFill="1" applyBorder="1" applyAlignment="1">
      <alignment horizontal="right" vertical="center"/>
    </xf>
    <xf numFmtId="0" fontId="35" fillId="28" borderId="12" xfId="0" applyFont="1" applyFill="1" applyBorder="1" applyAlignment="1">
      <alignment horizontal="center" vertical="center"/>
    </xf>
    <xf numFmtId="167" fontId="3" fillId="0" borderId="10" xfId="0" applyNumberFormat="1" applyFont="1" applyFill="1" applyBorder="1" applyAlignment="1">
      <alignment vertical="center"/>
    </xf>
    <xf numFmtId="1" fontId="1" fillId="29" borderId="21" xfId="0" applyNumberFormat="1" applyFont="1" applyFill="1" applyBorder="1" applyAlignment="1">
      <alignment horizontal="center"/>
    </xf>
    <xf numFmtId="0" fontId="1" fillId="29" borderId="27" xfId="0" applyFont="1" applyFill="1" applyBorder="1" applyAlignment="1">
      <alignment horizontal="center"/>
    </xf>
    <xf numFmtId="0" fontId="1" fillId="29" borderId="15" xfId="0" applyFont="1" applyFill="1" applyBorder="1" applyAlignment="1">
      <alignment horizontal="center"/>
    </xf>
    <xf numFmtId="166" fontId="3" fillId="0" borderId="10" xfId="0" applyNumberFormat="1" applyFont="1" applyFill="1" applyBorder="1" applyAlignment="1">
      <alignment vertical="center"/>
    </xf>
    <xf numFmtId="164" fontId="3" fillId="0" borderId="13" xfId="0" applyNumberFormat="1" applyFont="1" applyFill="1" applyBorder="1" applyAlignment="1">
      <alignment vertical="center"/>
    </xf>
    <xf numFmtId="164" fontId="3" fillId="0" borderId="12" xfId="0" applyNumberFormat="1" applyFont="1" applyFill="1" applyBorder="1" applyAlignment="1">
      <alignment vertical="center"/>
    </xf>
    <xf numFmtId="166" fontId="3" fillId="0" borderId="11" xfId="0" applyNumberFormat="1" applyFont="1" applyFill="1" applyBorder="1" applyAlignment="1">
      <alignment vertical="center"/>
    </xf>
    <xf numFmtId="164" fontId="3" fillId="0" borderId="27" xfId="0" applyNumberFormat="1" applyFont="1" applyFill="1" applyBorder="1" applyAlignment="1">
      <alignment vertical="center"/>
    </xf>
    <xf numFmtId="0" fontId="1" fillId="27" borderId="24" xfId="0" applyFont="1" applyFill="1" applyBorder="1" applyAlignment="1">
      <alignment horizontal="center" vertical="center" wrapText="1"/>
    </xf>
    <xf numFmtId="0" fontId="1" fillId="27" borderId="14" xfId="0" applyFont="1" applyFill="1" applyBorder="1" applyAlignment="1">
      <alignment horizontal="center" vertical="center" wrapText="1"/>
    </xf>
    <xf numFmtId="1" fontId="3" fillId="0" borderId="12" xfId="0" applyNumberFormat="1" applyFont="1" applyFill="1" applyBorder="1" applyAlignment="1">
      <alignment vertical="center"/>
    </xf>
    <xf numFmtId="0" fontId="0" fillId="23" borderId="0" xfId="0" applyFill="1" applyBorder="1" applyAlignment="1">
      <alignment vertical="center"/>
    </xf>
    <xf numFmtId="0" fontId="1" fillId="28" borderId="0" xfId="0" applyFont="1" applyFill="1" applyBorder="1" applyAlignment="1">
      <alignment horizontal="center" vertical="center"/>
    </xf>
    <xf numFmtId="0" fontId="0" fillId="0" borderId="0" xfId="0"/>
    <xf numFmtId="2" fontId="39" fillId="28" borderId="0" xfId="0" applyNumberFormat="1" applyFont="1" applyFill="1" applyBorder="1" applyAlignment="1">
      <alignment horizontal="right" vertical="center"/>
    </xf>
    <xf numFmtId="2" fontId="39" fillId="28" borderId="15" xfId="0" applyNumberFormat="1" applyFont="1" applyFill="1" applyBorder="1" applyAlignment="1">
      <alignment horizontal="right" vertical="center"/>
    </xf>
    <xf numFmtId="2" fontId="35" fillId="28" borderId="15" xfId="0" applyNumberFormat="1" applyFont="1" applyFill="1" applyBorder="1" applyAlignment="1">
      <alignment vertical="center"/>
    </xf>
    <xf numFmtId="2" fontId="35" fillId="28" borderId="12" xfId="0" applyNumberFormat="1" applyFont="1" applyFill="1" applyBorder="1" applyAlignment="1">
      <alignment vertical="center"/>
    </xf>
    <xf numFmtId="0" fontId="2" fillId="0" borderId="12" xfId="0" applyFont="1" applyBorder="1" applyAlignment="1">
      <alignment horizontal="right"/>
    </xf>
    <xf numFmtId="0" fontId="2" fillId="0" borderId="23" xfId="0" quotePrefix="1" applyFont="1" applyBorder="1" applyAlignment="1">
      <alignment horizontal="left"/>
    </xf>
    <xf numFmtId="9" fontId="48" fillId="0" borderId="10" xfId="0" applyNumberFormat="1" applyFont="1" applyBorder="1" applyAlignment="1">
      <alignment horizontal="right" vertical="center"/>
    </xf>
    <xf numFmtId="0" fontId="47" fillId="28" borderId="0" xfId="0" applyFont="1" applyFill="1" applyBorder="1" applyAlignment="1">
      <alignment vertical="center"/>
    </xf>
    <xf numFmtId="0" fontId="40" fillId="28" borderId="0" xfId="0" applyFont="1" applyFill="1" applyBorder="1" applyAlignment="1">
      <alignment vertical="center"/>
    </xf>
    <xf numFmtId="0" fontId="2" fillId="23" borderId="10" xfId="0" applyFont="1" applyFill="1" applyBorder="1" applyAlignment="1">
      <alignment horizontal="right"/>
    </xf>
    <xf numFmtId="0" fontId="2" fillId="23" borderId="12" xfId="0" applyFont="1" applyFill="1" applyBorder="1" applyAlignment="1">
      <alignment horizontal="right"/>
    </xf>
    <xf numFmtId="0" fontId="13" fillId="0" borderId="0" xfId="0" applyFont="1" applyFill="1" applyAlignment="1">
      <alignment vertical="center"/>
    </xf>
    <xf numFmtId="0" fontId="13" fillId="23" borderId="27" xfId="0" applyFont="1" applyFill="1" applyBorder="1" applyAlignment="1">
      <alignment vertical="center"/>
    </xf>
    <xf numFmtId="0" fontId="13" fillId="23" borderId="15" xfId="0" applyFont="1" applyFill="1" applyBorder="1" applyAlignment="1">
      <alignment vertical="center"/>
    </xf>
    <xf numFmtId="0" fontId="49" fillId="28" borderId="0" xfId="0" applyFont="1" applyFill="1" applyBorder="1" applyAlignment="1">
      <alignment vertical="center"/>
    </xf>
    <xf numFmtId="0" fontId="48" fillId="28" borderId="12" xfId="0" applyNumberFormat="1" applyFont="1" applyFill="1" applyBorder="1" applyAlignment="1">
      <alignment vertical="center"/>
    </xf>
    <xf numFmtId="0" fontId="10" fillId="28" borderId="27" xfId="0" quotePrefix="1" applyNumberFormat="1" applyFont="1" applyFill="1" applyBorder="1" applyAlignment="1">
      <alignment horizontal="right" vertical="center"/>
    </xf>
    <xf numFmtId="10" fontId="0" fillId="0" borderId="0" xfId="0" applyNumberFormat="1" applyAlignment="1">
      <alignment vertical="center"/>
    </xf>
    <xf numFmtId="0" fontId="1" fillId="28" borderId="12" xfId="0" applyFont="1" applyFill="1" applyBorder="1" applyAlignment="1">
      <alignment horizontal="center" vertical="center"/>
    </xf>
    <xf numFmtId="1" fontId="3" fillId="0" borderId="13" xfId="0" applyNumberFormat="1" applyFont="1" applyFill="1" applyBorder="1" applyAlignment="1">
      <alignment vertical="center"/>
    </xf>
    <xf numFmtId="0" fontId="3" fillId="0" borderId="0" xfId="0" applyFont="1" applyFill="1" applyBorder="1" applyAlignment="1">
      <alignment vertical="center"/>
    </xf>
    <xf numFmtId="0" fontId="3" fillId="0" borderId="12" xfId="0" applyFont="1" applyFill="1" applyBorder="1" applyAlignment="1">
      <alignment vertical="center"/>
    </xf>
    <xf numFmtId="1" fontId="3" fillId="0" borderId="21" xfId="0" applyNumberFormat="1" applyFont="1" applyFill="1" applyBorder="1" applyAlignment="1">
      <alignment vertical="center"/>
    </xf>
    <xf numFmtId="0" fontId="3" fillId="0" borderId="27" xfId="0" applyFont="1" applyFill="1" applyBorder="1" applyAlignment="1">
      <alignment vertical="center"/>
    </xf>
    <xf numFmtId="0" fontId="3" fillId="0" borderId="15" xfId="0" applyFont="1" applyFill="1" applyBorder="1" applyAlignment="1">
      <alignment vertical="center"/>
    </xf>
    <xf numFmtId="0" fontId="20" fillId="28" borderId="27" xfId="0" applyFont="1" applyFill="1" applyBorder="1" applyAlignment="1">
      <alignment vertical="center"/>
    </xf>
    <xf numFmtId="0" fontId="1" fillId="28" borderId="0" xfId="0" applyFont="1" applyFill="1" applyBorder="1" applyAlignment="1"/>
    <xf numFmtId="10" fontId="3" fillId="28" borderId="0" xfId="0" applyNumberFormat="1" applyFont="1" applyFill="1" applyBorder="1" applyAlignment="1">
      <alignment vertical="center"/>
    </xf>
    <xf numFmtId="0" fontId="20" fillId="28" borderId="0" xfId="0" applyFont="1" applyFill="1" applyBorder="1" applyAlignment="1">
      <alignment vertical="center"/>
    </xf>
    <xf numFmtId="0" fontId="20" fillId="23" borderId="0" xfId="0" applyFont="1" applyFill="1" applyBorder="1" applyAlignment="1">
      <alignment vertical="center"/>
    </xf>
    <xf numFmtId="0" fontId="52" fillId="23" borderId="0" xfId="0" applyFont="1" applyFill="1" applyBorder="1" applyAlignment="1">
      <alignment vertical="center"/>
    </xf>
    <xf numFmtId="0" fontId="20" fillId="23" borderId="12" xfId="0" applyFont="1" applyFill="1" applyBorder="1" applyAlignment="1">
      <alignment vertical="center"/>
    </xf>
    <xf numFmtId="0" fontId="44" fillId="0" borderId="0" xfId="0" applyFont="1" applyAlignment="1">
      <alignment vertical="center"/>
    </xf>
    <xf numFmtId="0" fontId="44" fillId="23" borderId="12" xfId="0" applyFont="1" applyFill="1" applyBorder="1" applyAlignment="1">
      <alignment vertical="center"/>
    </xf>
    <xf numFmtId="0" fontId="0" fillId="0" borderId="0" xfId="0"/>
    <xf numFmtId="1" fontId="35" fillId="0" borderId="12" xfId="0" applyNumberFormat="1" applyFont="1" applyBorder="1" applyAlignment="1">
      <alignment horizontal="right" vertical="center"/>
    </xf>
    <xf numFmtId="0" fontId="53" fillId="0" borderId="0" xfId="0" applyFont="1"/>
    <xf numFmtId="2" fontId="42" fillId="0" borderId="24" xfId="0" applyNumberFormat="1" applyFont="1" applyBorder="1" applyAlignment="1">
      <alignment horizontal="right" vertical="center"/>
    </xf>
    <xf numFmtId="2" fontId="39" fillId="28" borderId="16" xfId="0" applyNumberFormat="1" applyFont="1" applyFill="1" applyBorder="1" applyAlignment="1">
      <alignment horizontal="right" vertical="center"/>
    </xf>
    <xf numFmtId="0" fontId="54" fillId="0" borderId="14" xfId="0" applyFont="1" applyBorder="1" applyAlignment="1">
      <alignment vertical="center"/>
    </xf>
    <xf numFmtId="0" fontId="54" fillId="0" borderId="10" xfId="0" applyFont="1" applyBorder="1" applyAlignment="1">
      <alignment vertical="center"/>
    </xf>
    <xf numFmtId="0" fontId="54" fillId="0" borderId="11" xfId="0" applyFont="1" applyFill="1" applyBorder="1" applyAlignment="1">
      <alignment vertical="center"/>
    </xf>
    <xf numFmtId="0" fontId="54" fillId="0" borderId="0" xfId="0" applyFont="1" applyAlignment="1">
      <alignment vertical="center"/>
    </xf>
    <xf numFmtId="0" fontId="54" fillId="0" borderId="11" xfId="0" applyFont="1" applyBorder="1" applyAlignment="1">
      <alignment vertical="center"/>
    </xf>
    <xf numFmtId="0" fontId="54" fillId="0" borderId="24" xfId="0" applyFont="1" applyBorder="1" applyAlignment="1">
      <alignment vertical="center"/>
    </xf>
    <xf numFmtId="0" fontId="54" fillId="0" borderId="12" xfId="0" applyFont="1" applyBorder="1" applyAlignment="1">
      <alignment vertical="center"/>
    </xf>
    <xf numFmtId="0" fontId="2" fillId="0" borderId="24" xfId="0" applyFont="1" applyFill="1" applyBorder="1" applyAlignment="1">
      <alignment vertical="center"/>
    </xf>
    <xf numFmtId="167" fontId="35" fillId="0" borderId="24" xfId="0" applyNumberFormat="1" applyFont="1" applyFill="1" applyBorder="1" applyAlignment="1">
      <alignment horizontal="right" vertical="center"/>
    </xf>
    <xf numFmtId="0" fontId="3" fillId="0" borderId="24" xfId="0" applyFont="1" applyFill="1" applyBorder="1" applyAlignment="1">
      <alignment horizontal="left" vertical="center"/>
    </xf>
    <xf numFmtId="0" fontId="2" fillId="0" borderId="10" xfId="0" applyFont="1" applyBorder="1"/>
    <xf numFmtId="0" fontId="2" fillId="0" borderId="11" xfId="0" applyFont="1" applyBorder="1"/>
    <xf numFmtId="0" fontId="0" fillId="23" borderId="0" xfId="0" applyFill="1" applyAlignment="1">
      <alignment vertical="center"/>
    </xf>
    <xf numFmtId="49" fontId="3" fillId="0" borderId="14" xfId="0" applyNumberFormat="1" applyFont="1" applyFill="1" applyBorder="1" applyAlignment="1">
      <alignment horizontal="right" vertical="center"/>
    </xf>
    <xf numFmtId="0" fontId="3" fillId="0" borderId="13" xfId="0" applyFont="1" applyBorder="1" applyAlignment="1">
      <alignment vertical="center"/>
    </xf>
    <xf numFmtId="0" fontId="3" fillId="0" borderId="10" xfId="0" applyFont="1" applyFill="1" applyBorder="1" applyAlignment="1">
      <alignment vertical="center"/>
    </xf>
    <xf numFmtId="0" fontId="3" fillId="0" borderId="12" xfId="0" applyFont="1" applyBorder="1" applyAlignment="1">
      <alignment vertical="center"/>
    </xf>
    <xf numFmtId="49" fontId="2" fillId="0" borderId="12" xfId="0" applyNumberFormat="1" applyFont="1" applyBorder="1" applyAlignment="1">
      <alignment horizontal="right"/>
    </xf>
    <xf numFmtId="49" fontId="2" fillId="0" borderId="11" xfId="0" applyNumberFormat="1" applyFont="1" applyBorder="1" applyAlignment="1">
      <alignment horizontal="right"/>
    </xf>
    <xf numFmtId="0" fontId="8" fillId="28" borderId="0" xfId="0" applyFont="1" applyFill="1" applyBorder="1" applyAlignment="1">
      <alignment horizontal="left" vertical="center"/>
    </xf>
    <xf numFmtId="0" fontId="1" fillId="24" borderId="24" xfId="0" applyFont="1" applyFill="1" applyBorder="1" applyAlignment="1">
      <alignment horizontal="center" vertical="center"/>
    </xf>
    <xf numFmtId="0" fontId="2" fillId="0" borderId="23" xfId="0" applyFont="1" applyBorder="1" applyAlignment="1">
      <alignment horizontal="right"/>
    </xf>
    <xf numFmtId="0" fontId="2" fillId="0" borderId="12" xfId="0" applyFont="1" applyFill="1" applyBorder="1" applyAlignment="1">
      <alignment horizontal="right"/>
    </xf>
    <xf numFmtId="0" fontId="2" fillId="0" borderId="15" xfId="0" applyFont="1" applyFill="1" applyBorder="1"/>
    <xf numFmtId="0" fontId="2" fillId="0" borderId="14" xfId="0" applyFont="1" applyBorder="1" applyAlignment="1">
      <alignment horizontal="right"/>
    </xf>
    <xf numFmtId="0" fontId="35" fillId="28" borderId="12" xfId="0" applyFont="1" applyFill="1" applyBorder="1" applyAlignment="1">
      <alignment vertical="center"/>
    </xf>
    <xf numFmtId="0" fontId="35" fillId="0" borderId="16" xfId="0" applyFont="1" applyFill="1" applyBorder="1" applyAlignment="1">
      <alignment horizontal="right" vertical="center"/>
    </xf>
    <xf numFmtId="0" fontId="0" fillId="0" borderId="0" xfId="0"/>
    <xf numFmtId="0" fontId="2" fillId="0" borderId="24" xfId="0" applyFont="1" applyBorder="1" applyAlignment="1">
      <alignment vertical="center"/>
    </xf>
    <xf numFmtId="1" fontId="3" fillId="0" borderId="29" xfId="0" applyNumberFormat="1" applyFont="1" applyFill="1" applyBorder="1" applyAlignment="1">
      <alignment vertical="center"/>
    </xf>
    <xf numFmtId="168" fontId="0" fillId="0" borderId="0" xfId="0" applyNumberFormat="1" applyFill="1" applyBorder="1" applyAlignment="1">
      <alignment vertical="center"/>
    </xf>
    <xf numFmtId="0" fontId="20" fillId="0" borderId="0" xfId="0" applyFont="1" applyAlignment="1">
      <alignment vertical="center"/>
    </xf>
    <xf numFmtId="170" fontId="3" fillId="0" borderId="10" xfId="0" applyNumberFormat="1" applyFont="1" applyBorder="1" applyAlignment="1">
      <alignment horizontal="center" vertical="center"/>
    </xf>
    <xf numFmtId="0" fontId="0" fillId="0" borderId="11" xfId="0" applyBorder="1"/>
    <xf numFmtId="0" fontId="43" fillId="0" borderId="26" xfId="0" applyFont="1" applyBorder="1" applyAlignment="1">
      <alignment horizontal="center"/>
    </xf>
    <xf numFmtId="0" fontId="2" fillId="0" borderId="27" xfId="0" applyFont="1" applyBorder="1" applyAlignment="1">
      <alignment vertical="center"/>
    </xf>
    <xf numFmtId="0" fontId="0" fillId="28" borderId="13" xfId="0" applyFill="1" applyBorder="1"/>
    <xf numFmtId="0" fontId="43" fillId="28" borderId="25" xfId="0" applyFont="1" applyFill="1" applyBorder="1" applyAlignment="1">
      <alignment horizontal="center"/>
    </xf>
    <xf numFmtId="0" fontId="8" fillId="28" borderId="10" xfId="0" applyFont="1" applyFill="1" applyBorder="1"/>
    <xf numFmtId="0" fontId="8" fillId="28" borderId="12" xfId="0" applyFont="1" applyFill="1" applyBorder="1"/>
    <xf numFmtId="0" fontId="8" fillId="28" borderId="15" xfId="0" applyFont="1" applyFill="1" applyBorder="1"/>
    <xf numFmtId="1" fontId="3" fillId="0" borderId="11" xfId="0" applyNumberFormat="1" applyFont="1" applyBorder="1" applyAlignment="1">
      <alignment horizontal="right" vertical="center"/>
    </xf>
    <xf numFmtId="0" fontId="0" fillId="0" borderId="0" xfId="0"/>
    <xf numFmtId="1" fontId="0" fillId="0" borderId="0" xfId="0" applyNumberFormat="1" applyAlignment="1">
      <alignment vertical="center"/>
    </xf>
    <xf numFmtId="0" fontId="56" fillId="0" borderId="0" xfId="45" applyAlignment="1" applyProtection="1">
      <alignment vertical="center"/>
    </xf>
    <xf numFmtId="1" fontId="0" fillId="28" borderId="27" xfId="0" applyNumberFormat="1" applyFill="1" applyBorder="1" applyAlignment="1">
      <alignment vertical="center"/>
    </xf>
    <xf numFmtId="0" fontId="0" fillId="0" borderId="0" xfId="0"/>
    <xf numFmtId="0" fontId="2" fillId="28" borderId="27" xfId="0" applyFont="1" applyFill="1" applyBorder="1" applyAlignment="1">
      <alignment horizontal="left" vertical="center" wrapText="1"/>
    </xf>
    <xf numFmtId="0" fontId="2" fillId="28" borderId="15" xfId="0" applyFont="1" applyFill="1" applyBorder="1" applyAlignment="1">
      <alignment horizontal="left" vertical="center" wrapText="1"/>
    </xf>
    <xf numFmtId="0" fontId="2" fillId="28" borderId="0" xfId="0" applyFont="1" applyFill="1" applyAlignment="1">
      <alignment vertical="center"/>
    </xf>
    <xf numFmtId="0" fontId="2" fillId="28" borderId="12" xfId="0" applyFont="1" applyFill="1" applyBorder="1" applyAlignment="1">
      <alignment vertical="center"/>
    </xf>
    <xf numFmtId="0" fontId="2" fillId="0" borderId="12" xfId="0" applyFont="1" applyBorder="1" applyAlignment="1">
      <alignment vertical="center"/>
    </xf>
    <xf numFmtId="1" fontId="0" fillId="28" borderId="15" xfId="0" applyNumberFormat="1" applyFill="1" applyBorder="1" applyAlignment="1">
      <alignment vertical="center"/>
    </xf>
    <xf numFmtId="1" fontId="3" fillId="28" borderId="12" xfId="0" applyNumberFormat="1" applyFont="1" applyFill="1" applyBorder="1" applyAlignment="1">
      <alignment vertical="center"/>
    </xf>
    <xf numFmtId="2" fontId="35" fillId="0" borderId="15" xfId="0" applyNumberFormat="1" applyFont="1" applyBorder="1" applyAlignment="1">
      <alignment horizontal="right" vertical="center"/>
    </xf>
    <xf numFmtId="1" fontId="0" fillId="0" borderId="0" xfId="0" applyNumberFormat="1" applyFill="1" applyBorder="1" applyAlignment="1">
      <alignment vertical="center"/>
    </xf>
    <xf numFmtId="0" fontId="20" fillId="0" borderId="0" xfId="0" applyFont="1"/>
    <xf numFmtId="0" fontId="11" fillId="23" borderId="0" xfId="0" applyFont="1" applyFill="1" applyBorder="1" applyAlignment="1">
      <alignment vertical="center"/>
    </xf>
    <xf numFmtId="0" fontId="44" fillId="23" borderId="0" xfId="0" applyFont="1" applyFill="1" applyBorder="1" applyAlignment="1">
      <alignment vertical="center"/>
    </xf>
    <xf numFmtId="0" fontId="0" fillId="23" borderId="12" xfId="0" applyFill="1" applyBorder="1" applyAlignment="1">
      <alignment vertical="center"/>
    </xf>
    <xf numFmtId="0" fontId="2" fillId="28" borderId="12" xfId="0" applyFont="1" applyFill="1" applyBorder="1" applyAlignment="1">
      <alignment horizontal="left" vertical="center"/>
    </xf>
    <xf numFmtId="0" fontId="2" fillId="28" borderId="0" xfId="0" applyFont="1" applyFill="1" applyBorder="1" applyAlignment="1">
      <alignment horizontal="left" vertical="center"/>
    </xf>
    <xf numFmtId="0" fontId="13" fillId="23" borderId="0" xfId="0" applyFont="1" applyFill="1" applyAlignment="1"/>
    <xf numFmtId="0" fontId="13" fillId="23" borderId="0" xfId="0" applyFont="1" applyFill="1" applyBorder="1" applyAlignment="1"/>
    <xf numFmtId="0" fontId="13" fillId="23" borderId="12" xfId="0" applyFont="1" applyFill="1" applyBorder="1" applyAlignment="1"/>
    <xf numFmtId="9" fontId="41" fillId="0" borderId="31" xfId="0" applyNumberFormat="1" applyFont="1" applyFill="1" applyBorder="1" applyAlignment="1">
      <alignment vertical="center"/>
    </xf>
    <xf numFmtId="9" fontId="10" fillId="0" borderId="34" xfId="0" applyNumberFormat="1" applyFont="1" applyBorder="1" applyAlignment="1">
      <alignment vertical="center"/>
    </xf>
    <xf numFmtId="0" fontId="10" fillId="0" borderId="31" xfId="0" quotePrefix="1" applyNumberFormat="1" applyFont="1" applyBorder="1" applyAlignment="1">
      <alignment horizontal="right" vertical="center"/>
    </xf>
    <xf numFmtId="0" fontId="54" fillId="0" borderId="31" xfId="0" applyFont="1" applyBorder="1" applyAlignment="1">
      <alignment vertical="center"/>
    </xf>
    <xf numFmtId="0" fontId="5" fillId="0" borderId="30" xfId="0" applyFont="1" applyBorder="1" applyAlignment="1">
      <alignment horizontal="right" vertical="center"/>
    </xf>
    <xf numFmtId="0" fontId="46" fillId="0" borderId="34" xfId="0" applyFont="1" applyBorder="1" applyAlignment="1">
      <alignment vertical="center"/>
    </xf>
    <xf numFmtId="0" fontId="54" fillId="0" borderId="33" xfId="0" applyFont="1" applyBorder="1" applyAlignment="1">
      <alignment vertical="center"/>
    </xf>
    <xf numFmtId="0" fontId="54" fillId="0" borderId="35" xfId="0" applyFont="1" applyBorder="1" applyAlignment="1">
      <alignment vertical="center"/>
    </xf>
    <xf numFmtId="0" fontId="54" fillId="0" borderId="37" xfId="0" applyFont="1" applyFill="1" applyBorder="1" applyAlignment="1">
      <alignment vertical="center"/>
    </xf>
    <xf numFmtId="0" fontId="54" fillId="0" borderId="36" xfId="0" applyFont="1" applyFill="1" applyBorder="1" applyAlignment="1">
      <alignment vertical="center"/>
    </xf>
    <xf numFmtId="0" fontId="17" fillId="0" borderId="39" xfId="0" applyFont="1" applyBorder="1" applyAlignment="1">
      <alignment horizontal="right" vertical="center"/>
    </xf>
    <xf numFmtId="9" fontId="46" fillId="0" borderId="38" xfId="0" applyNumberFormat="1" applyFont="1" applyBorder="1" applyAlignment="1">
      <alignment horizontal="right" vertical="center"/>
    </xf>
    <xf numFmtId="0" fontId="54" fillId="0" borderId="38" xfId="0" applyFont="1" applyFill="1" applyBorder="1" applyAlignment="1">
      <alignment vertical="center"/>
    </xf>
    <xf numFmtId="0" fontId="54" fillId="0" borderId="10" xfId="0" applyFont="1" applyFill="1" applyBorder="1" applyAlignment="1">
      <alignment vertical="center"/>
    </xf>
    <xf numFmtId="0" fontId="54" fillId="0" borderId="40" xfId="0" applyFont="1" applyBorder="1" applyAlignment="1">
      <alignment vertical="center"/>
    </xf>
    <xf numFmtId="0" fontId="54" fillId="0" borderId="42" xfId="0" applyFont="1" applyBorder="1" applyAlignment="1">
      <alignment vertical="center"/>
    </xf>
    <xf numFmtId="0" fontId="46" fillId="0" borderId="43" xfId="0" applyFont="1" applyBorder="1" applyAlignment="1">
      <alignment horizontal="right" vertical="center"/>
    </xf>
    <xf numFmtId="0" fontId="46" fillId="0" borderId="44" xfId="0" applyFont="1" applyBorder="1" applyAlignment="1">
      <alignment vertical="center"/>
    </xf>
    <xf numFmtId="0" fontId="38" fillId="0" borderId="44" xfId="0" applyFont="1" applyBorder="1" applyAlignment="1">
      <alignment horizontal="right" vertical="center"/>
    </xf>
    <xf numFmtId="0" fontId="54" fillId="0" borderId="46" xfId="0" applyFont="1" applyBorder="1" applyAlignment="1">
      <alignment vertical="center"/>
    </xf>
    <xf numFmtId="9" fontId="41" fillId="0" borderId="46" xfId="0" applyNumberFormat="1" applyFont="1" applyBorder="1" applyAlignment="1">
      <alignment vertical="center"/>
    </xf>
    <xf numFmtId="1" fontId="39" fillId="0" borderId="40" xfId="0" applyNumberFormat="1" applyFont="1" applyBorder="1" applyAlignment="1">
      <alignment horizontal="right" vertical="center"/>
    </xf>
    <xf numFmtId="0" fontId="42" fillId="0" borderId="40" xfId="0" applyNumberFormat="1" applyFont="1" applyBorder="1" applyAlignment="1">
      <alignment horizontal="right" vertical="center"/>
    </xf>
    <xf numFmtId="0" fontId="41" fillId="0" borderId="38" xfId="0" applyNumberFormat="1" applyFont="1" applyFill="1" applyBorder="1" applyAlignment="1">
      <alignment horizontal="right" vertical="center"/>
    </xf>
    <xf numFmtId="0" fontId="54" fillId="0" borderId="38" xfId="0" applyFont="1" applyBorder="1" applyAlignment="1">
      <alignment vertical="center"/>
    </xf>
    <xf numFmtId="2" fontId="42" fillId="0" borderId="46" xfId="0" applyNumberFormat="1" applyFont="1" applyBorder="1" applyAlignment="1">
      <alignment horizontal="right" vertical="center"/>
    </xf>
    <xf numFmtId="0" fontId="10" fillId="0" borderId="38" xfId="0" applyFont="1" applyBorder="1" applyAlignment="1">
      <alignment horizontal="right" vertical="center"/>
    </xf>
    <xf numFmtId="1" fontId="46" fillId="0" borderId="46" xfId="44" applyNumberFormat="1" applyFont="1" applyFill="1" applyBorder="1" applyAlignment="1">
      <alignment vertical="center"/>
    </xf>
    <xf numFmtId="10" fontId="3" fillId="28" borderId="0" xfId="44" applyNumberFormat="1" applyFont="1" applyFill="1" applyBorder="1" applyAlignment="1">
      <alignment vertical="center"/>
    </xf>
    <xf numFmtId="1" fontId="46" fillId="0" borderId="44" xfId="44" applyNumberFormat="1" applyFont="1" applyFill="1" applyBorder="1" applyAlignment="1">
      <alignment vertical="center"/>
    </xf>
    <xf numFmtId="1" fontId="46" fillId="0" borderId="11" xfId="44" applyNumberFormat="1" applyFont="1" applyFill="1" applyBorder="1" applyAlignment="1">
      <alignment vertical="center"/>
    </xf>
    <xf numFmtId="0" fontId="8" fillId="0" borderId="39" xfId="0" applyFont="1" applyFill="1" applyBorder="1" applyAlignment="1">
      <alignment vertical="center"/>
    </xf>
    <xf numFmtId="0" fontId="8" fillId="0" borderId="40" xfId="0" applyFont="1" applyFill="1" applyBorder="1" applyAlignment="1">
      <alignment vertical="center"/>
    </xf>
    <xf numFmtId="0" fontId="8" fillId="0" borderId="47" xfId="0" applyFont="1" applyFill="1" applyBorder="1" applyAlignment="1">
      <alignment vertical="center"/>
    </xf>
    <xf numFmtId="0" fontId="2" fillId="0" borderId="47" xfId="0" applyFont="1" applyBorder="1" applyAlignment="1">
      <alignment vertical="center"/>
    </xf>
    <xf numFmtId="0" fontId="2" fillId="0" borderId="37" xfId="0" applyFont="1" applyBorder="1" applyAlignment="1">
      <alignment vertical="center"/>
    </xf>
    <xf numFmtId="2" fontId="35" fillId="0" borderId="38" xfId="0" applyNumberFormat="1" applyFont="1" applyBorder="1" applyAlignment="1">
      <alignment vertical="center"/>
    </xf>
    <xf numFmtId="2" fontId="35" fillId="0" borderId="40" xfId="0" applyNumberFormat="1" applyFont="1" applyBorder="1" applyAlignment="1">
      <alignment horizontal="right" vertical="center"/>
    </xf>
    <xf numFmtId="2" fontId="35" fillId="0" borderId="44" xfId="0" applyNumberFormat="1" applyFont="1" applyBorder="1" applyAlignment="1">
      <alignment horizontal="right" vertical="center"/>
    </xf>
    <xf numFmtId="1" fontId="35" fillId="0" borderId="40" xfId="0" applyNumberFormat="1" applyFont="1" applyBorder="1" applyAlignment="1">
      <alignment horizontal="right" vertical="center"/>
    </xf>
    <xf numFmtId="0" fontId="35" fillId="0" borderId="40" xfId="0" applyFont="1" applyBorder="1" applyAlignment="1">
      <alignment horizontal="right" vertical="center"/>
    </xf>
    <xf numFmtId="0" fontId="8" fillId="0" borderId="46" xfId="0" applyFont="1" applyFill="1" applyBorder="1" applyAlignment="1">
      <alignment vertical="center"/>
    </xf>
    <xf numFmtId="0" fontId="2" fillId="0" borderId="39" xfId="0" applyFont="1" applyFill="1" applyBorder="1" applyAlignment="1">
      <alignment vertical="center"/>
    </xf>
    <xf numFmtId="0" fontId="2" fillId="0" borderId="40" xfId="0" applyFont="1" applyBorder="1" applyAlignment="1">
      <alignment vertical="center"/>
    </xf>
    <xf numFmtId="1" fontId="3" fillId="0" borderId="40" xfId="0" applyNumberFormat="1" applyFont="1" applyBorder="1" applyAlignment="1">
      <alignment vertical="center"/>
    </xf>
    <xf numFmtId="1" fontId="35" fillId="0" borderId="38" xfId="0" applyNumberFormat="1" applyFont="1" applyBorder="1" applyAlignment="1">
      <alignment vertical="center"/>
    </xf>
    <xf numFmtId="0" fontId="2" fillId="0" borderId="40" xfId="0" applyFont="1" applyFill="1" applyBorder="1" applyAlignment="1">
      <alignment vertical="center"/>
    </xf>
    <xf numFmtId="0" fontId="2" fillId="0" borderId="46" xfId="0" applyFont="1" applyFill="1" applyBorder="1" applyAlignment="1">
      <alignment vertical="center"/>
    </xf>
    <xf numFmtId="0" fontId="2" fillId="0" borderId="45" xfId="0" applyFont="1" applyBorder="1" applyAlignment="1">
      <alignment vertical="center"/>
    </xf>
    <xf numFmtId="0" fontId="2" fillId="0" borderId="47" xfId="0" applyFont="1" applyFill="1" applyBorder="1" applyAlignment="1">
      <alignment vertical="center"/>
    </xf>
    <xf numFmtId="167" fontId="35" fillId="0" borderId="38" xfId="0" applyNumberFormat="1" applyFont="1" applyFill="1" applyBorder="1" applyAlignment="1">
      <alignment vertical="center"/>
    </xf>
    <xf numFmtId="167" fontId="35" fillId="0" borderId="40" xfId="0" applyNumberFormat="1" applyFont="1" applyFill="1" applyBorder="1" applyAlignment="1">
      <alignment vertical="center"/>
    </xf>
    <xf numFmtId="1" fontId="3" fillId="0" borderId="38" xfId="0" applyNumberFormat="1" applyFont="1" applyFill="1" applyBorder="1" applyAlignment="1">
      <alignment vertical="center"/>
    </xf>
    <xf numFmtId="1" fontId="3" fillId="0" borderId="40" xfId="0" applyNumberFormat="1" applyFont="1" applyFill="1" applyBorder="1" applyAlignment="1">
      <alignment vertical="center"/>
    </xf>
    <xf numFmtId="0" fontId="2" fillId="0" borderId="38" xfId="0" applyFont="1" applyFill="1" applyBorder="1" applyAlignment="1">
      <alignment vertical="center"/>
    </xf>
    <xf numFmtId="2" fontId="3" fillId="0" borderId="38" xfId="0" applyNumberFormat="1" applyFont="1" applyFill="1" applyBorder="1" applyAlignment="1">
      <alignment horizontal="right" vertical="center"/>
    </xf>
    <xf numFmtId="2" fontId="3" fillId="0" borderId="40" xfId="0" applyNumberFormat="1" applyFont="1" applyFill="1" applyBorder="1" applyAlignment="1">
      <alignment horizontal="right" vertical="center"/>
    </xf>
    <xf numFmtId="0" fontId="2" fillId="0" borderId="46" xfId="0" applyFont="1" applyBorder="1" applyAlignment="1">
      <alignment vertical="center"/>
    </xf>
    <xf numFmtId="0" fontId="8" fillId="0" borderId="38" xfId="0" applyFont="1" applyFill="1" applyBorder="1" applyAlignment="1">
      <alignment vertical="center"/>
    </xf>
    <xf numFmtId="0" fontId="35" fillId="0" borderId="46" xfId="0" applyFont="1" applyBorder="1" applyAlignment="1">
      <alignment vertical="center"/>
    </xf>
    <xf numFmtId="1" fontId="3" fillId="0" borderId="14" xfId="0" applyNumberFormat="1" applyFont="1" applyFill="1" applyBorder="1" applyAlignment="1">
      <alignment vertical="center"/>
    </xf>
    <xf numFmtId="1" fontId="3" fillId="0" borderId="38" xfId="0" applyNumberFormat="1" applyFont="1" applyBorder="1" applyAlignment="1">
      <alignment vertical="center"/>
    </xf>
    <xf numFmtId="167" fontId="3" fillId="0" borderId="46" xfId="0" applyNumberFormat="1" applyFont="1" applyBorder="1" applyAlignment="1">
      <alignment vertical="center"/>
    </xf>
    <xf numFmtId="0" fontId="2" fillId="0" borderId="36" xfId="0" applyFont="1" applyBorder="1" applyAlignment="1">
      <alignment vertical="center"/>
    </xf>
    <xf numFmtId="166" fontId="35" fillId="0" borderId="40" xfId="0" applyNumberFormat="1" applyFont="1" applyFill="1" applyBorder="1" applyAlignment="1">
      <alignment horizontal="right" vertical="center"/>
    </xf>
    <xf numFmtId="1" fontId="3" fillId="0" borderId="39" xfId="0" applyNumberFormat="1" applyFont="1" applyBorder="1" applyAlignment="1">
      <alignment horizontal="right" vertical="center"/>
    </xf>
    <xf numFmtId="1" fontId="3" fillId="0" borderId="40" xfId="0" applyNumberFormat="1" applyFont="1" applyBorder="1" applyAlignment="1">
      <alignment horizontal="right" vertical="center"/>
    </xf>
    <xf numFmtId="1" fontId="3" fillId="0" borderId="38" xfId="0" applyNumberFormat="1" applyFont="1" applyFill="1" applyBorder="1" applyAlignment="1">
      <alignment horizontal="right" vertical="center"/>
    </xf>
    <xf numFmtId="0" fontId="2" fillId="0" borderId="41" xfId="0" applyFont="1" applyFill="1" applyBorder="1" applyAlignment="1">
      <alignment vertical="center"/>
    </xf>
    <xf numFmtId="167" fontId="35" fillId="0" borderId="40" xfId="0" applyNumberFormat="1" applyFont="1" applyBorder="1" applyAlignment="1">
      <alignment vertical="center"/>
    </xf>
    <xf numFmtId="167" fontId="3" fillId="0" borderId="38" xfId="0" applyNumberFormat="1" applyFont="1" applyBorder="1" applyAlignment="1">
      <alignment vertical="center"/>
    </xf>
    <xf numFmtId="2" fontId="35" fillId="0" borderId="38" xfId="0" applyNumberFormat="1" applyFont="1" applyBorder="1" applyAlignment="1">
      <alignment horizontal="right" vertical="center"/>
    </xf>
    <xf numFmtId="166" fontId="35" fillId="0" borderId="44" xfId="0" applyNumberFormat="1" applyFont="1" applyFill="1" applyBorder="1" applyAlignment="1">
      <alignment horizontal="right" vertical="center"/>
    </xf>
    <xf numFmtId="0" fontId="35" fillId="0" borderId="46" xfId="0" applyFont="1" applyFill="1" applyBorder="1" applyAlignment="1">
      <alignment horizontal="right" vertical="center"/>
    </xf>
    <xf numFmtId="0" fontId="7" fillId="0" borderId="27" xfId="0" applyFont="1" applyBorder="1" applyAlignment="1">
      <alignment vertical="center"/>
    </xf>
    <xf numFmtId="0" fontId="54" fillId="0" borderId="41" xfId="0" applyFont="1" applyBorder="1" applyAlignment="1">
      <alignment vertical="center"/>
    </xf>
    <xf numFmtId="0" fontId="54" fillId="0" borderId="15" xfId="0" applyFont="1" applyBorder="1" applyAlignment="1">
      <alignment vertical="center"/>
    </xf>
    <xf numFmtId="0" fontId="16" fillId="28" borderId="27" xfId="0" applyFont="1" applyFill="1" applyBorder="1" applyAlignment="1">
      <alignment vertical="center"/>
    </xf>
    <xf numFmtId="0" fontId="54" fillId="0" borderId="48" xfId="0" applyFont="1" applyBorder="1" applyAlignment="1">
      <alignment vertical="center"/>
    </xf>
    <xf numFmtId="0" fontId="54" fillId="0" borderId="32" xfId="0" applyFont="1" applyBorder="1" applyAlignment="1">
      <alignment vertical="center"/>
    </xf>
    <xf numFmtId="0" fontId="54" fillId="0" borderId="23" xfId="0" applyFont="1" applyBorder="1" applyAlignment="1">
      <alignment vertical="center"/>
    </xf>
    <xf numFmtId="0" fontId="16" fillId="28" borderId="16" xfId="0" applyFont="1" applyFill="1" applyBorder="1" applyAlignment="1">
      <alignment vertical="center"/>
    </xf>
    <xf numFmtId="0" fontId="54" fillId="0" borderId="45" xfId="0" applyFont="1" applyBorder="1" applyAlignment="1">
      <alignment vertical="center"/>
    </xf>
    <xf numFmtId="0" fontId="54" fillId="0" borderId="25" xfId="0" applyFont="1" applyBorder="1" applyAlignment="1">
      <alignment vertical="center"/>
    </xf>
    <xf numFmtId="0" fontId="54" fillId="0" borderId="47" xfId="0" applyFont="1" applyBorder="1" applyAlignment="1">
      <alignment vertical="center"/>
    </xf>
    <xf numFmtId="0" fontId="55" fillId="0" borderId="41" xfId="0" applyFont="1" applyFill="1" applyBorder="1" applyAlignment="1">
      <alignment vertical="center"/>
    </xf>
    <xf numFmtId="0" fontId="55" fillId="0" borderId="45" xfId="0" applyFont="1" applyFill="1" applyBorder="1" applyAlignment="1">
      <alignment vertical="center"/>
    </xf>
    <xf numFmtId="0" fontId="55" fillId="0" borderId="27" xfId="0" applyFont="1" applyFill="1" applyBorder="1" applyAlignment="1">
      <alignment vertical="center"/>
    </xf>
    <xf numFmtId="0" fontId="1" fillId="28" borderId="10" xfId="0" applyFont="1" applyFill="1" applyBorder="1" applyAlignment="1">
      <alignment vertical="center"/>
    </xf>
    <xf numFmtId="0" fontId="1" fillId="28" borderId="28" xfId="0" applyFont="1" applyFill="1" applyBorder="1" applyAlignment="1">
      <alignment vertical="center"/>
    </xf>
    <xf numFmtId="169" fontId="3" fillId="0" borderId="38" xfId="0" applyNumberFormat="1" applyFont="1" applyBorder="1" applyAlignment="1">
      <alignment horizontal="center" vertical="center"/>
    </xf>
    <xf numFmtId="167" fontId="35" fillId="0" borderId="10" xfId="0" applyNumberFormat="1" applyFont="1" applyBorder="1" applyAlignment="1">
      <alignment horizontal="right" vertical="center"/>
    </xf>
    <xf numFmtId="167" fontId="35" fillId="0" borderId="12" xfId="0" applyNumberFormat="1" applyFont="1" applyBorder="1" applyAlignment="1">
      <alignment horizontal="right" vertical="center"/>
    </xf>
    <xf numFmtId="167" fontId="3" fillId="0" borderId="40" xfId="0" applyNumberFormat="1" applyFont="1" applyBorder="1" applyAlignment="1">
      <alignment horizontal="right" vertical="center"/>
    </xf>
    <xf numFmtId="167" fontId="3" fillId="0" borderId="39" xfId="0" applyNumberFormat="1" applyFont="1" applyBorder="1" applyAlignment="1">
      <alignment horizontal="right" vertical="center"/>
    </xf>
    <xf numFmtId="167" fontId="0" fillId="0" borderId="0" xfId="0" applyNumberFormat="1" applyAlignment="1">
      <alignment vertical="center"/>
    </xf>
    <xf numFmtId="167" fontId="3" fillId="0" borderId="10" xfId="0" applyNumberFormat="1" applyFont="1" applyBorder="1" applyAlignment="1">
      <alignment horizontal="right" vertical="center"/>
    </xf>
    <xf numFmtId="167" fontId="3" fillId="0" borderId="20" xfId="0" applyNumberFormat="1" applyFont="1" applyBorder="1" applyAlignment="1">
      <alignment vertical="center"/>
    </xf>
    <xf numFmtId="167" fontId="35" fillId="0" borderId="20" xfId="0" applyNumberFormat="1" applyFont="1" applyBorder="1" applyAlignment="1">
      <alignment vertical="center"/>
    </xf>
    <xf numFmtId="0" fontId="3" fillId="0" borderId="46" xfId="0" applyNumberFormat="1" applyFont="1" applyBorder="1" applyAlignment="1">
      <alignment horizontal="center" vertical="center"/>
    </xf>
    <xf numFmtId="0" fontId="3" fillId="0" borderId="39" xfId="0" applyNumberFormat="1" applyFont="1" applyBorder="1" applyAlignment="1">
      <alignment horizontal="center" vertical="center"/>
    </xf>
    <xf numFmtId="0" fontId="3" fillId="0" borderId="40" xfId="0" applyNumberFormat="1" applyFont="1" applyBorder="1" applyAlignment="1">
      <alignment horizontal="center" vertical="center"/>
    </xf>
    <xf numFmtId="0" fontId="35" fillId="0" borderId="38" xfId="0" applyFont="1" applyFill="1" applyBorder="1" applyAlignment="1">
      <alignment vertical="center"/>
    </xf>
    <xf numFmtId="0" fontId="35" fillId="0" borderId="40" xfId="0" applyFont="1" applyFill="1" applyBorder="1" applyAlignment="1">
      <alignment vertical="center"/>
    </xf>
    <xf numFmtId="0" fontId="35" fillId="0" borderId="40" xfId="0" applyFont="1" applyFill="1" applyBorder="1" applyAlignment="1">
      <alignment horizontal="right" vertical="center"/>
    </xf>
    <xf numFmtId="0" fontId="3" fillId="0" borderId="46" xfId="0" applyFont="1" applyFill="1" applyBorder="1" applyAlignment="1">
      <alignment vertical="center"/>
    </xf>
    <xf numFmtId="0" fontId="3" fillId="0" borderId="39" xfId="0" applyFont="1" applyBorder="1" applyAlignment="1">
      <alignment vertical="center"/>
    </xf>
    <xf numFmtId="0" fontId="3" fillId="0" borderId="40" xfId="0" applyFont="1" applyFill="1" applyBorder="1" applyAlignment="1">
      <alignment vertical="center"/>
    </xf>
    <xf numFmtId="0" fontId="3" fillId="0" borderId="40" xfId="0" applyFont="1" applyBorder="1" applyAlignment="1">
      <alignment vertical="center"/>
    </xf>
    <xf numFmtId="2" fontId="35" fillId="0" borderId="38" xfId="0" applyNumberFormat="1" applyFont="1" applyFill="1" applyBorder="1" applyAlignment="1">
      <alignment horizontal="right" vertical="center"/>
    </xf>
    <xf numFmtId="1" fontId="3" fillId="0" borderId="46" xfId="0" applyNumberFormat="1" applyFont="1" applyBorder="1" applyAlignment="1">
      <alignment horizontal="right" vertical="center"/>
    </xf>
    <xf numFmtId="1" fontId="3" fillId="0" borderId="44" xfId="0" applyNumberFormat="1" applyFont="1" applyBorder="1" applyAlignment="1">
      <alignment horizontal="right" vertical="center"/>
    </xf>
    <xf numFmtId="170" fontId="3" fillId="0" borderId="39" xfId="0" applyNumberFormat="1" applyFont="1" applyBorder="1" applyAlignment="1">
      <alignment horizontal="center" vertical="center"/>
    </xf>
    <xf numFmtId="170" fontId="3" fillId="0" borderId="40" xfId="0" applyNumberFormat="1" applyFont="1" applyBorder="1" applyAlignment="1">
      <alignment horizontal="center" vertical="center"/>
    </xf>
    <xf numFmtId="1" fontId="3" fillId="0" borderId="38" xfId="0" applyNumberFormat="1" applyFont="1" applyBorder="1" applyAlignment="1">
      <alignment horizontal="right" vertical="center"/>
    </xf>
    <xf numFmtId="164" fontId="3" fillId="0" borderId="57" xfId="0" applyNumberFormat="1" applyFont="1" applyFill="1" applyBorder="1" applyAlignment="1">
      <alignment vertical="center"/>
    </xf>
    <xf numFmtId="164" fontId="3" fillId="0" borderId="58" xfId="0" applyNumberFormat="1" applyFont="1" applyFill="1" applyBorder="1" applyAlignment="1">
      <alignment vertical="center"/>
    </xf>
    <xf numFmtId="164" fontId="3" fillId="0" borderId="59" xfId="0" applyNumberFormat="1" applyFont="1" applyFill="1" applyBorder="1" applyAlignment="1">
      <alignment vertical="center"/>
    </xf>
    <xf numFmtId="164" fontId="3" fillId="0" borderId="60" xfId="0" applyNumberFormat="1" applyFont="1" applyFill="1" applyBorder="1" applyAlignment="1">
      <alignment vertical="center"/>
    </xf>
    <xf numFmtId="164" fontId="3" fillId="0" borderId="61" xfId="0" applyNumberFormat="1" applyFont="1" applyFill="1" applyBorder="1" applyAlignment="1">
      <alignment vertical="center"/>
    </xf>
    <xf numFmtId="164" fontId="3" fillId="0" borderId="62" xfId="0" applyNumberFormat="1" applyFont="1" applyFill="1" applyBorder="1" applyAlignment="1">
      <alignment vertical="center"/>
    </xf>
    <xf numFmtId="164" fontId="3" fillId="0" borderId="63" xfId="0" applyNumberFormat="1" applyFont="1" applyFill="1" applyBorder="1" applyAlignment="1">
      <alignment vertical="center"/>
    </xf>
    <xf numFmtId="164" fontId="3" fillId="0" borderId="64" xfId="0" applyNumberFormat="1" applyFont="1" applyFill="1" applyBorder="1" applyAlignment="1">
      <alignment vertical="center"/>
    </xf>
    <xf numFmtId="164" fontId="3" fillId="0" borderId="65" xfId="0" applyNumberFormat="1" applyFont="1" applyFill="1" applyBorder="1" applyAlignment="1">
      <alignment vertical="center"/>
    </xf>
    <xf numFmtId="164" fontId="3" fillId="0" borderId="66" xfId="0" applyNumberFormat="1" applyFont="1" applyFill="1" applyBorder="1" applyAlignment="1">
      <alignment vertical="center"/>
    </xf>
    <xf numFmtId="0" fontId="0" fillId="0" borderId="0" xfId="0"/>
    <xf numFmtId="0" fontId="4" fillId="23" borderId="12" xfId="0" applyFont="1" applyFill="1" applyBorder="1" applyAlignment="1">
      <alignment horizontal="left" vertical="center"/>
    </xf>
    <xf numFmtId="0" fontId="0" fillId="0" borderId="0" xfId="0"/>
    <xf numFmtId="0" fontId="4" fillId="23" borderId="0" xfId="0" applyFont="1" applyFill="1" applyBorder="1" applyAlignment="1">
      <alignment horizontal="left" vertical="center"/>
    </xf>
    <xf numFmtId="167" fontId="35" fillId="0" borderId="38" xfId="0" applyNumberFormat="1" applyFont="1" applyBorder="1" applyAlignment="1">
      <alignment horizontal="right" vertical="center"/>
    </xf>
    <xf numFmtId="0" fontId="2" fillId="0" borderId="44" xfId="0" applyFont="1" applyFill="1" applyBorder="1" applyAlignment="1">
      <alignment vertical="center"/>
    </xf>
    <xf numFmtId="1" fontId="3" fillId="0" borderId="44" xfId="0" applyNumberFormat="1" applyFont="1" applyFill="1" applyBorder="1" applyAlignment="1">
      <alignment vertical="center"/>
    </xf>
    <xf numFmtId="0" fontId="0" fillId="0" borderId="0" xfId="0"/>
    <xf numFmtId="171" fontId="0" fillId="0" borderId="0" xfId="0" applyNumberFormat="1" applyAlignment="1">
      <alignment vertical="center"/>
    </xf>
    <xf numFmtId="2" fontId="0" fillId="0" borderId="0" xfId="0" applyNumberFormat="1" applyAlignment="1">
      <alignment vertical="center"/>
    </xf>
    <xf numFmtId="20" fontId="20" fillId="0" borderId="0" xfId="0" applyNumberFormat="1" applyFont="1" applyAlignment="1">
      <alignment horizontal="right" vertical="center"/>
    </xf>
    <xf numFmtId="0" fontId="20" fillId="0" borderId="0" xfId="0" applyFont="1" applyAlignment="1">
      <alignment horizontal="right" vertical="center"/>
    </xf>
    <xf numFmtId="2" fontId="35" fillId="0" borderId="39" xfId="0" applyNumberFormat="1" applyFont="1" applyBorder="1" applyAlignment="1">
      <alignment horizontal="right" vertical="center"/>
    </xf>
    <xf numFmtId="2" fontId="35" fillId="0" borderId="12" xfId="0" applyNumberFormat="1" applyFont="1" applyBorder="1" applyAlignment="1">
      <alignment horizontal="right" vertical="center"/>
    </xf>
    <xf numFmtId="0" fontId="0" fillId="0" borderId="23" xfId="0" applyBorder="1" applyAlignment="1">
      <alignment vertical="center"/>
    </xf>
    <xf numFmtId="2" fontId="39" fillId="0" borderId="10" xfId="0" applyNumberFormat="1" applyFont="1" applyBorder="1" applyAlignment="1">
      <alignment horizontal="right" vertical="center"/>
    </xf>
    <xf numFmtId="2" fontId="39" fillId="0" borderId="39" xfId="0" applyNumberFormat="1" applyFont="1" applyBorder="1" applyAlignment="1">
      <alignment horizontal="right" vertical="center"/>
    </xf>
    <xf numFmtId="1" fontId="3" fillId="28" borderId="13" xfId="0" applyNumberFormat="1" applyFont="1" applyFill="1" applyBorder="1" applyAlignment="1">
      <alignment vertical="center"/>
    </xf>
    <xf numFmtId="0" fontId="54" fillId="0" borderId="46" xfId="0" applyFont="1" applyFill="1" applyBorder="1" applyAlignment="1">
      <alignment vertical="center"/>
    </xf>
    <xf numFmtId="0" fontId="2" fillId="0" borderId="13" xfId="0" applyFont="1" applyBorder="1"/>
    <xf numFmtId="0" fontId="2" fillId="0" borderId="0" xfId="0" applyFont="1" applyBorder="1"/>
    <xf numFmtId="0" fontId="2" fillId="0" borderId="12" xfId="0" applyFont="1" applyBorder="1"/>
    <xf numFmtId="0" fontId="2" fillId="0" borderId="15" xfId="0" applyFont="1" applyBorder="1"/>
    <xf numFmtId="1" fontId="3" fillId="0" borderId="39" xfId="0" applyNumberFormat="1" applyFont="1" applyBorder="1" applyAlignment="1">
      <alignment vertical="center"/>
    </xf>
    <xf numFmtId="2" fontId="35" fillId="0" borderId="0" xfId="0" applyNumberFormat="1" applyFont="1" applyBorder="1" applyAlignment="1">
      <alignment horizontal="right" vertical="center"/>
    </xf>
    <xf numFmtId="1" fontId="3" fillId="0" borderId="11" xfId="0" applyNumberFormat="1" applyFont="1" applyFill="1" applyBorder="1" applyAlignment="1">
      <alignment vertical="center"/>
    </xf>
    <xf numFmtId="1" fontId="3" fillId="0" borderId="46" xfId="0" applyNumberFormat="1" applyFont="1" applyFill="1" applyBorder="1" applyAlignment="1">
      <alignment vertical="center"/>
    </xf>
    <xf numFmtId="0" fontId="0" fillId="0" borderId="12" xfId="0" applyBorder="1" applyAlignment="1">
      <alignment vertical="center"/>
    </xf>
    <xf numFmtId="164" fontId="3" fillId="0" borderId="56" xfId="0" applyNumberFormat="1" applyFont="1" applyFill="1" applyBorder="1" applyAlignment="1">
      <alignment horizontal="right"/>
    </xf>
    <xf numFmtId="164" fontId="3" fillId="0" borderId="24" xfId="0" applyNumberFormat="1" applyFont="1" applyFill="1" applyBorder="1" applyAlignment="1">
      <alignment horizontal="right"/>
    </xf>
    <xf numFmtId="0" fontId="0" fillId="0" borderId="0" xfId="0"/>
    <xf numFmtId="0" fontId="35" fillId="0" borderId="14" xfId="0" applyFont="1" applyFill="1" applyBorder="1" applyAlignment="1">
      <alignment horizontal="right" vertical="center"/>
    </xf>
    <xf numFmtId="0" fontId="3" fillId="0" borderId="40" xfId="0" applyFont="1" applyFill="1" applyBorder="1" applyAlignment="1">
      <alignment horizontal="right" vertical="center"/>
    </xf>
    <xf numFmtId="0" fontId="0" fillId="0" borderId="0" xfId="0"/>
    <xf numFmtId="0" fontId="2" fillId="23" borderId="13" xfId="0" applyFont="1" applyFill="1" applyBorder="1" applyAlignment="1">
      <alignment vertical="center"/>
    </xf>
    <xf numFmtId="0" fontId="2" fillId="23" borderId="12" xfId="0" applyFont="1" applyFill="1" applyBorder="1" applyAlignment="1">
      <alignment vertical="center"/>
    </xf>
    <xf numFmtId="0" fontId="2" fillId="23" borderId="0" xfId="0" applyFont="1" applyFill="1" applyBorder="1" applyAlignment="1">
      <alignment vertical="center"/>
    </xf>
    <xf numFmtId="170" fontId="3" fillId="0" borderId="38" xfId="0" applyNumberFormat="1" applyFont="1" applyBorder="1" applyAlignment="1">
      <alignment horizontal="center" vertical="center"/>
    </xf>
    <xf numFmtId="0" fontId="2" fillId="28" borderId="12" xfId="0" applyFont="1" applyFill="1" applyBorder="1" applyAlignment="1">
      <alignment horizontal="right" vertical="center"/>
    </xf>
    <xf numFmtId="0" fontId="2" fillId="0" borderId="23" xfId="0" applyFont="1" applyFill="1" applyBorder="1" applyAlignment="1">
      <alignment horizontal="right" vertical="center"/>
    </xf>
    <xf numFmtId="0" fontId="2" fillId="28" borderId="47" xfId="0" applyFont="1" applyFill="1" applyBorder="1" applyAlignment="1">
      <alignment horizontal="right" vertical="center"/>
    </xf>
    <xf numFmtId="0" fontId="2" fillId="0" borderId="47" xfId="0" applyFont="1" applyBorder="1" applyAlignment="1">
      <alignment horizontal="right" vertical="center"/>
    </xf>
    <xf numFmtId="0" fontId="2" fillId="0" borderId="37" xfId="0" applyFont="1" applyBorder="1" applyAlignment="1">
      <alignment horizontal="right" vertical="center"/>
    </xf>
    <xf numFmtId="0" fontId="2" fillId="28" borderId="36" xfId="0" applyFont="1" applyFill="1" applyBorder="1" applyAlignment="1">
      <alignment horizontal="right" vertical="center"/>
    </xf>
    <xf numFmtId="0" fontId="8" fillId="28" borderId="0" xfId="0" applyFont="1" applyFill="1" applyBorder="1" applyAlignment="1">
      <alignment horizontal="right"/>
    </xf>
    <xf numFmtId="0" fontId="8" fillId="28" borderId="0" xfId="0" applyFont="1" applyFill="1" applyBorder="1" applyAlignment="1">
      <alignment horizontal="left"/>
    </xf>
    <xf numFmtId="0" fontId="8" fillId="28" borderId="27" xfId="0" applyFont="1" applyFill="1" applyBorder="1" applyAlignment="1">
      <alignment horizontal="left"/>
    </xf>
    <xf numFmtId="0" fontId="8" fillId="28" borderId="27" xfId="0" applyFont="1" applyFill="1" applyBorder="1" applyAlignment="1">
      <alignment horizontal="right"/>
    </xf>
    <xf numFmtId="0" fontId="43" fillId="28" borderId="27" xfId="0" applyFont="1" applyFill="1" applyBorder="1" applyAlignment="1">
      <alignment horizontal="center"/>
    </xf>
    <xf numFmtId="0" fontId="43" fillId="28" borderId="24" xfId="0" applyFont="1" applyFill="1" applyBorder="1" applyAlignment="1">
      <alignment horizontal="center"/>
    </xf>
    <xf numFmtId="0" fontId="54" fillId="0" borderId="0" xfId="0" applyFont="1" applyFill="1" applyBorder="1" applyAlignment="1">
      <alignment vertical="center"/>
    </xf>
    <xf numFmtId="172" fontId="3" fillId="0" borderId="14" xfId="0" applyNumberFormat="1" applyFont="1" applyFill="1" applyBorder="1" applyAlignment="1">
      <alignment vertical="center"/>
    </xf>
    <xf numFmtId="172" fontId="3" fillId="0" borderId="38" xfId="0" applyNumberFormat="1" applyFont="1" applyBorder="1" applyAlignment="1">
      <alignment vertical="center"/>
    </xf>
    <xf numFmtId="0" fontId="0" fillId="23" borderId="12" xfId="0" applyFill="1" applyBorder="1" applyAlignment="1">
      <alignment vertical="center"/>
    </xf>
    <xf numFmtId="0" fontId="46" fillId="0" borderId="68" xfId="0" applyFont="1" applyBorder="1" applyAlignment="1">
      <alignment horizontal="right" vertical="center"/>
    </xf>
    <xf numFmtId="9" fontId="46" fillId="28" borderId="27" xfId="0" applyNumberFormat="1" applyFont="1" applyFill="1" applyBorder="1" applyAlignment="1">
      <alignment horizontal="right" vertical="center"/>
    </xf>
    <xf numFmtId="2" fontId="10" fillId="28" borderId="15" xfId="0" quotePrefix="1" applyNumberFormat="1" applyFont="1" applyFill="1" applyBorder="1" applyAlignment="1">
      <alignment horizontal="right" vertical="center"/>
    </xf>
    <xf numFmtId="0" fontId="0" fillId="0" borderId="16" xfId="0" applyBorder="1" applyAlignment="1">
      <alignment vertical="center"/>
    </xf>
    <xf numFmtId="9" fontId="41" fillId="28" borderId="12" xfId="0" applyNumberFormat="1" applyFont="1" applyFill="1" applyBorder="1" applyAlignment="1">
      <alignment vertical="center"/>
    </xf>
    <xf numFmtId="0" fontId="0" fillId="0" borderId="0" xfId="0"/>
    <xf numFmtId="0" fontId="0" fillId="0" borderId="12" xfId="0" applyBorder="1"/>
    <xf numFmtId="0" fontId="0" fillId="0" borderId="23" xfId="0" applyBorder="1"/>
    <xf numFmtId="0" fontId="0" fillId="0" borderId="13" xfId="0" applyBorder="1"/>
    <xf numFmtId="0" fontId="2" fillId="0" borderId="36" xfId="0" applyFont="1" applyFill="1" applyBorder="1" applyAlignment="1">
      <alignment vertical="center"/>
    </xf>
    <xf numFmtId="2" fontId="3" fillId="0" borderId="23" xfId="0" applyNumberFormat="1" applyFont="1" applyBorder="1" applyAlignment="1">
      <alignment vertical="center"/>
    </xf>
    <xf numFmtId="0" fontId="2" fillId="0" borderId="69" xfId="0" applyFont="1" applyFill="1" applyBorder="1" applyAlignment="1">
      <alignment vertical="center"/>
    </xf>
    <xf numFmtId="0" fontId="8" fillId="28" borderId="16" xfId="0" applyFont="1" applyFill="1" applyBorder="1" applyAlignment="1">
      <alignment vertical="center"/>
    </xf>
    <xf numFmtId="1" fontId="35" fillId="0" borderId="14" xfId="0" applyNumberFormat="1" applyFont="1" applyBorder="1" applyAlignment="1">
      <alignment vertical="center"/>
    </xf>
    <xf numFmtId="1" fontId="35" fillId="0" borderId="40" xfId="0" applyNumberFormat="1" applyFont="1" applyBorder="1" applyAlignment="1">
      <alignment vertical="center"/>
    </xf>
    <xf numFmtId="1" fontId="35" fillId="0" borderId="11" xfId="0" applyNumberFormat="1" applyFont="1" applyBorder="1" applyAlignment="1">
      <alignment vertical="center"/>
    </xf>
    <xf numFmtId="0" fontId="5" fillId="0" borderId="70" xfId="0" applyFont="1" applyBorder="1" applyAlignment="1">
      <alignment horizontal="right" vertical="center"/>
    </xf>
    <xf numFmtId="0" fontId="2" fillId="0" borderId="28" xfId="0" applyFont="1" applyBorder="1" applyAlignment="1">
      <alignment vertical="center"/>
    </xf>
    <xf numFmtId="0" fontId="2" fillId="0" borderId="13" xfId="0" applyFont="1" applyBorder="1" applyAlignment="1">
      <alignment vertical="center"/>
    </xf>
    <xf numFmtId="0" fontId="0" fillId="0" borderId="13" xfId="0" applyFill="1" applyBorder="1" applyAlignment="1">
      <alignment vertical="center"/>
    </xf>
    <xf numFmtId="0" fontId="0" fillId="28" borderId="10" xfId="0" applyFill="1" applyBorder="1" applyAlignment="1">
      <alignment vertical="center"/>
    </xf>
    <xf numFmtId="0" fontId="1" fillId="28" borderId="27" xfId="0" applyFont="1" applyFill="1" applyBorder="1" applyAlignment="1">
      <alignment horizontal="center" vertical="center"/>
    </xf>
    <xf numFmtId="164" fontId="3" fillId="0" borderId="0" xfId="0" applyNumberFormat="1" applyFont="1" applyFill="1" applyBorder="1" applyAlignment="1">
      <alignment horizontal="right"/>
    </xf>
    <xf numFmtId="0" fontId="1" fillId="0" borderId="0" xfId="0" applyFont="1" applyFill="1" applyBorder="1" applyAlignment="1"/>
    <xf numFmtId="164" fontId="3" fillId="0" borderId="12" xfId="0" applyNumberFormat="1" applyFont="1" applyFill="1" applyBorder="1" applyAlignment="1">
      <alignment horizontal="right"/>
    </xf>
    <xf numFmtId="164" fontId="3" fillId="0" borderId="0" xfId="0" applyNumberFormat="1" applyFont="1" applyFill="1" applyBorder="1" applyAlignment="1">
      <alignment vertical="center"/>
    </xf>
    <xf numFmtId="1" fontId="1" fillId="29" borderId="27" xfId="0" applyNumberFormat="1" applyFont="1" applyFill="1" applyBorder="1" applyAlignment="1">
      <alignment horizontal="center"/>
    </xf>
    <xf numFmtId="1" fontId="1" fillId="29" borderId="15" xfId="0" applyNumberFormat="1" applyFont="1" applyFill="1" applyBorder="1" applyAlignment="1">
      <alignment horizontal="center"/>
    </xf>
    <xf numFmtId="0" fontId="1" fillId="29" borderId="0" xfId="0" applyFont="1" applyFill="1" applyBorder="1" applyAlignment="1">
      <alignment horizontal="center" vertical="center"/>
    </xf>
    <xf numFmtId="10" fontId="3" fillId="0" borderId="27" xfId="44" applyNumberFormat="1" applyFont="1" applyFill="1" applyBorder="1"/>
    <xf numFmtId="166" fontId="3" fillId="0" borderId="16" xfId="0" applyNumberFormat="1" applyFont="1" applyFill="1" applyBorder="1" applyAlignment="1">
      <alignment vertical="center"/>
    </xf>
    <xf numFmtId="0" fontId="0" fillId="0" borderId="0" xfId="0"/>
    <xf numFmtId="0" fontId="1" fillId="28" borderId="22" xfId="0" applyFont="1" applyFill="1" applyBorder="1" applyAlignment="1">
      <alignment horizontal="center"/>
    </xf>
    <xf numFmtId="0" fontId="1" fillId="28" borderId="23" xfId="0" applyFont="1" applyFill="1" applyBorder="1" applyAlignment="1">
      <alignment horizontal="center"/>
    </xf>
    <xf numFmtId="0" fontId="1" fillId="28" borderId="0" xfId="0" applyFont="1" applyFill="1" applyBorder="1" applyAlignment="1">
      <alignment horizontal="center"/>
    </xf>
    <xf numFmtId="0" fontId="1" fillId="28" borderId="12" xfId="0" applyFont="1" applyFill="1" applyBorder="1" applyAlignment="1">
      <alignment horizontal="center"/>
    </xf>
    <xf numFmtId="0" fontId="0" fillId="0" borderId="0" xfId="0" applyFill="1" applyAlignment="1"/>
    <xf numFmtId="0" fontId="0" fillId="0" borderId="12" xfId="0" applyFill="1" applyBorder="1" applyAlignment="1"/>
    <xf numFmtId="0" fontId="0" fillId="0" borderId="0" xfId="0" applyAlignment="1"/>
    <xf numFmtId="0" fontId="0" fillId="0" borderId="12" xfId="0" applyBorder="1" applyAlignment="1"/>
    <xf numFmtId="0" fontId="0" fillId="29" borderId="0" xfId="0" applyFill="1" applyAlignment="1">
      <alignment vertical="center"/>
    </xf>
    <xf numFmtId="10" fontId="3" fillId="0" borderId="10" xfId="44" applyNumberFormat="1" applyFont="1" applyFill="1" applyBorder="1" applyAlignment="1">
      <alignment vertical="center"/>
    </xf>
    <xf numFmtId="10" fontId="3" fillId="0" borderId="11" xfId="44" applyNumberFormat="1" applyFont="1" applyFill="1" applyBorder="1" applyAlignment="1">
      <alignment vertical="center"/>
    </xf>
    <xf numFmtId="10" fontId="3" fillId="0" borderId="40" xfId="44" applyNumberFormat="1" applyFont="1" applyFill="1" applyBorder="1" applyAlignment="1">
      <alignment vertical="center"/>
    </xf>
    <xf numFmtId="0" fontId="2" fillId="0" borderId="12" xfId="0" applyFont="1" applyBorder="1" applyAlignment="1">
      <alignment horizontal="right" vertical="center"/>
    </xf>
    <xf numFmtId="0" fontId="2" fillId="0" borderId="12" xfId="0" applyFont="1" applyFill="1" applyBorder="1" applyAlignment="1">
      <alignment horizontal="right" vertical="center"/>
    </xf>
    <xf numFmtId="0" fontId="2" fillId="0" borderId="14" xfId="0" applyFont="1" applyBorder="1" applyAlignment="1">
      <alignment horizontal="right" vertical="center"/>
    </xf>
    <xf numFmtId="0" fontId="2" fillId="0" borderId="10" xfId="0" applyFont="1" applyBorder="1" applyAlignment="1">
      <alignment horizontal="right" vertical="center"/>
    </xf>
    <xf numFmtId="0" fontId="2" fillId="0" borderId="10" xfId="0" applyFont="1" applyFill="1" applyBorder="1" applyAlignment="1">
      <alignment horizontal="right" vertical="center"/>
    </xf>
    <xf numFmtId="0" fontId="8" fillId="0" borderId="24" xfId="0" applyFont="1" applyBorder="1" applyAlignment="1">
      <alignment horizontal="right"/>
    </xf>
    <xf numFmtId="0" fontId="8" fillId="0" borderId="39" xfId="0" applyFont="1" applyFill="1" applyBorder="1" applyAlignment="1">
      <alignment horizontal="right"/>
    </xf>
    <xf numFmtId="0" fontId="8" fillId="0" borderId="38" xfId="0" applyFont="1" applyFill="1" applyBorder="1" applyAlignment="1">
      <alignment horizontal="right"/>
    </xf>
    <xf numFmtId="0" fontId="8" fillId="0" borderId="38" xfId="0" applyFont="1" applyFill="1" applyBorder="1"/>
    <xf numFmtId="0" fontId="2" fillId="0" borderId="46" xfId="0" applyFont="1" applyFill="1" applyBorder="1" applyAlignment="1">
      <alignment horizontal="right"/>
    </xf>
    <xf numFmtId="0" fontId="8" fillId="0" borderId="39" xfId="0" applyFont="1" applyFill="1" applyBorder="1"/>
    <xf numFmtId="0" fontId="8" fillId="0" borderId="40" xfId="0" applyFont="1" applyFill="1" applyBorder="1"/>
    <xf numFmtId="0" fontId="8" fillId="0" borderId="39" xfId="0" applyFont="1" applyBorder="1"/>
    <xf numFmtId="0" fontId="8" fillId="0" borderId="40" xfId="0" applyFont="1" applyBorder="1"/>
    <xf numFmtId="0" fontId="8" fillId="0" borderId="40" xfId="0" applyFont="1" applyBorder="1" applyAlignment="1">
      <alignment horizontal="right"/>
    </xf>
    <xf numFmtId="0" fontId="2" fillId="0" borderId="39" xfId="0" applyFont="1" applyBorder="1" applyAlignment="1">
      <alignment horizontal="right"/>
    </xf>
    <xf numFmtId="0" fontId="2" fillId="0" borderId="38" xfId="0" applyFont="1" applyBorder="1" applyAlignment="1">
      <alignment horizontal="right"/>
    </xf>
    <xf numFmtId="0" fontId="8" fillId="0" borderId="38" xfId="0" applyFont="1" applyBorder="1"/>
    <xf numFmtId="0" fontId="2" fillId="0" borderId="40" xfId="0" applyFont="1" applyBorder="1" applyAlignment="1">
      <alignment horizontal="right"/>
    </xf>
    <xf numFmtId="9" fontId="46" fillId="0" borderId="34" xfId="0" applyNumberFormat="1" applyFont="1" applyBorder="1" applyAlignment="1">
      <alignment vertical="center"/>
    </xf>
    <xf numFmtId="0" fontId="20" fillId="0" borderId="22" xfId="0" applyFont="1" applyBorder="1" applyAlignment="1">
      <alignment vertical="center"/>
    </xf>
    <xf numFmtId="0" fontId="0" fillId="0" borderId="0" xfId="0"/>
    <xf numFmtId="0" fontId="0" fillId="0" borderId="12" xfId="0" applyBorder="1"/>
    <xf numFmtId="0" fontId="0" fillId="0" borderId="0" xfId="0"/>
    <xf numFmtId="10" fontId="3" fillId="0" borderId="0" xfId="44" applyNumberFormat="1" applyFont="1" applyFill="1" applyBorder="1" applyAlignment="1">
      <alignment vertical="center"/>
    </xf>
    <xf numFmtId="0" fontId="3" fillId="0" borderId="22" xfId="0" applyFont="1" applyFill="1" applyBorder="1" applyAlignment="1">
      <alignment horizontal="left" vertical="center"/>
    </xf>
    <xf numFmtId="164" fontId="3" fillId="0" borderId="22" xfId="0" applyNumberFormat="1" applyFont="1" applyFill="1" applyBorder="1" applyAlignment="1">
      <alignment horizontal="right"/>
    </xf>
    <xf numFmtId="164" fontId="3" fillId="0" borderId="23" xfId="0" applyNumberFormat="1" applyFont="1" applyFill="1" applyBorder="1" applyAlignment="1">
      <alignment horizontal="right"/>
    </xf>
    <xf numFmtId="0" fontId="2" fillId="28" borderId="0" xfId="0" applyFont="1" applyFill="1" applyBorder="1" applyAlignment="1">
      <alignment vertical="center"/>
    </xf>
    <xf numFmtId="0" fontId="2" fillId="28" borderId="0" xfId="0" applyFont="1" applyFill="1" applyBorder="1"/>
    <xf numFmtId="2" fontId="0" fillId="28" borderId="0" xfId="0" applyNumberFormat="1" applyFill="1" applyBorder="1"/>
    <xf numFmtId="0" fontId="1" fillId="29" borderId="24" xfId="0" applyFont="1" applyFill="1" applyBorder="1" applyAlignment="1">
      <alignment horizontal="center" vertical="center"/>
    </xf>
    <xf numFmtId="0" fontId="3" fillId="0" borderId="14" xfId="0" applyFont="1" applyBorder="1" applyAlignment="1">
      <alignment horizontal="right" vertical="center"/>
    </xf>
    <xf numFmtId="0" fontId="3" fillId="0" borderId="39" xfId="0" applyFont="1" applyBorder="1" applyAlignment="1">
      <alignment horizontal="right" vertical="center"/>
    </xf>
    <xf numFmtId="0" fontId="3" fillId="0" borderId="38" xfId="0" applyFont="1" applyBorder="1" applyAlignment="1">
      <alignment horizontal="right" vertical="center"/>
    </xf>
    <xf numFmtId="0" fontId="2" fillId="0" borderId="23" xfId="0" quotePrefix="1" applyFont="1" applyBorder="1" applyAlignment="1">
      <alignment horizontal="right" vertical="center"/>
    </xf>
    <xf numFmtId="0" fontId="2" fillId="0" borderId="11" xfId="0" applyFont="1" applyFill="1" applyBorder="1" applyAlignment="1">
      <alignment horizontal="right" vertical="center"/>
    </xf>
    <xf numFmtId="0" fontId="0" fillId="0" borderId="0" xfId="0"/>
    <xf numFmtId="0" fontId="3" fillId="0" borderId="13" xfId="0" applyFont="1" applyBorder="1" applyAlignment="1">
      <alignment horizontal="right" vertical="center"/>
    </xf>
    <xf numFmtId="0" fontId="3" fillId="0" borderId="0" xfId="0" applyFont="1" applyBorder="1" applyAlignment="1">
      <alignment horizontal="right" vertical="center"/>
    </xf>
    <xf numFmtId="0" fontId="0" fillId="0" borderId="0" xfId="0"/>
    <xf numFmtId="0" fontId="3" fillId="0" borderId="0" xfId="0" applyFont="1" applyBorder="1"/>
    <xf numFmtId="0" fontId="3" fillId="0" borderId="0" xfId="0" applyFont="1" applyBorder="1" applyAlignment="1">
      <alignment vertical="center"/>
    </xf>
    <xf numFmtId="0" fontId="2" fillId="28" borderId="27" xfId="0" applyFont="1" applyFill="1" applyBorder="1" applyAlignment="1">
      <alignment vertical="center"/>
    </xf>
    <xf numFmtId="0" fontId="3" fillId="0" borderId="24" xfId="0" applyNumberFormat="1" applyFont="1" applyFill="1" applyBorder="1" applyAlignment="1">
      <alignment vertical="center"/>
    </xf>
    <xf numFmtId="0" fontId="3" fillId="0" borderId="27" xfId="0" applyFont="1" applyBorder="1" applyAlignment="1">
      <alignment horizontal="right" vertical="center"/>
    </xf>
    <xf numFmtId="0" fontId="2" fillId="28" borderId="0" xfId="0" applyFont="1" applyFill="1" applyAlignment="1">
      <alignment horizontal="left" vertical="center"/>
    </xf>
    <xf numFmtId="0" fontId="2" fillId="28" borderId="12" xfId="0" applyFont="1" applyFill="1" applyBorder="1" applyAlignment="1">
      <alignment horizontal="left" vertical="center"/>
    </xf>
    <xf numFmtId="0" fontId="2" fillId="0" borderId="15" xfId="0" applyFont="1" applyBorder="1" applyAlignment="1">
      <alignment horizontal="right"/>
    </xf>
    <xf numFmtId="0" fontId="11" fillId="23" borderId="0" xfId="0" applyFont="1" applyFill="1" applyBorder="1" applyAlignment="1">
      <alignment vertical="center"/>
    </xf>
    <xf numFmtId="0" fontId="0" fillId="0" borderId="0" xfId="0"/>
    <xf numFmtId="0" fontId="0" fillId="0" borderId="12" xfId="0" applyBorder="1"/>
    <xf numFmtId="0" fontId="4" fillId="23" borderId="12" xfId="0" applyFont="1" applyFill="1" applyBorder="1" applyAlignment="1">
      <alignment horizontal="left" vertical="center"/>
    </xf>
    <xf numFmtId="0" fontId="4" fillId="23" borderId="0" xfId="0" applyFont="1" applyFill="1" applyBorder="1" applyAlignment="1">
      <alignment horizontal="left" vertical="center"/>
    </xf>
    <xf numFmtId="0" fontId="1" fillId="27" borderId="25" xfId="0" applyFont="1" applyFill="1" applyBorder="1" applyAlignment="1">
      <alignment horizontal="center" vertical="center"/>
    </xf>
    <xf numFmtId="0" fontId="39" fillId="0" borderId="38" xfId="0" applyNumberFormat="1" applyFont="1" applyBorder="1" applyAlignment="1">
      <alignment horizontal="right" vertical="center"/>
    </xf>
    <xf numFmtId="0" fontId="20" fillId="0" borderId="0" xfId="0" applyFont="1" applyBorder="1" applyAlignment="1">
      <alignment vertical="center"/>
    </xf>
    <xf numFmtId="0" fontId="46" fillId="0" borderId="70" xfId="0" applyFont="1" applyBorder="1" applyAlignment="1">
      <alignment horizontal="right" vertical="center"/>
    </xf>
    <xf numFmtId="0" fontId="2" fillId="0" borderId="10" xfId="0" applyFont="1" applyFill="1" applyBorder="1" applyAlignment="1">
      <alignment horizontal="left" vertical="center"/>
    </xf>
    <xf numFmtId="0" fontId="3" fillId="0" borderId="46" xfId="0" applyFont="1" applyBorder="1" applyAlignment="1">
      <alignment vertical="center"/>
    </xf>
    <xf numFmtId="0" fontId="3" fillId="0" borderId="38" xfId="0" applyFont="1" applyFill="1" applyBorder="1" applyAlignment="1">
      <alignment horizontal="right" vertical="center"/>
    </xf>
    <xf numFmtId="0" fontId="0" fillId="23" borderId="0" xfId="0" applyFill="1" applyAlignment="1">
      <alignment vertical="center"/>
    </xf>
    <xf numFmtId="167" fontId="3" fillId="0" borderId="10" xfId="0" quotePrefix="1" applyNumberFormat="1" applyFont="1" applyFill="1" applyBorder="1" applyAlignment="1">
      <alignment horizontal="right" vertical="center"/>
    </xf>
    <xf numFmtId="1" fontId="3" fillId="0" borderId="0" xfId="0" applyNumberFormat="1" applyFont="1" applyFill="1" applyBorder="1" applyAlignment="1">
      <alignment vertical="center"/>
    </xf>
    <xf numFmtId="1" fontId="3" fillId="0" borderId="16" xfId="0" applyNumberFormat="1" applyFont="1" applyFill="1" applyBorder="1" applyAlignment="1">
      <alignment vertical="center"/>
    </xf>
    <xf numFmtId="0" fontId="2" fillId="0" borderId="13" xfId="0" applyFont="1" applyFill="1" applyBorder="1" applyAlignment="1">
      <alignment vertical="center"/>
    </xf>
    <xf numFmtId="1" fontId="35" fillId="0" borderId="0" xfId="0" applyNumberFormat="1" applyFont="1" applyBorder="1" applyAlignment="1">
      <alignment vertical="center"/>
    </xf>
    <xf numFmtId="1" fontId="35" fillId="0" borderId="39" xfId="0" applyNumberFormat="1" applyFont="1" applyBorder="1" applyAlignment="1">
      <alignment vertical="center"/>
    </xf>
    <xf numFmtId="1" fontId="3" fillId="0" borderId="38" xfId="0" quotePrefix="1" applyNumberFormat="1" applyFont="1" applyBorder="1" applyAlignment="1">
      <alignment horizontal="right" vertical="center"/>
    </xf>
    <xf numFmtId="1" fontId="3" fillId="0" borderId="40" xfId="0" quotePrefix="1" applyNumberFormat="1" applyFont="1" applyBorder="1" applyAlignment="1">
      <alignment horizontal="right" vertical="center"/>
    </xf>
    <xf numFmtId="1" fontId="3" fillId="0" borderId="38" xfId="0" quotePrefix="1" applyNumberFormat="1" applyFont="1" applyFill="1" applyBorder="1" applyAlignment="1">
      <alignment horizontal="right" vertical="center"/>
    </xf>
    <xf numFmtId="1" fontId="3" fillId="0" borderId="10" xfId="0" quotePrefix="1" applyNumberFormat="1" applyFont="1" applyFill="1" applyBorder="1" applyAlignment="1">
      <alignment horizontal="right" vertical="center"/>
    </xf>
    <xf numFmtId="0" fontId="3" fillId="0" borderId="12" xfId="0" applyFont="1" applyBorder="1" applyAlignment="1">
      <alignment horizontal="right" vertical="center"/>
    </xf>
    <xf numFmtId="1" fontId="35" fillId="0" borderId="15" xfId="0" applyNumberFormat="1" applyFont="1" applyBorder="1" applyAlignment="1">
      <alignment horizontal="right" vertical="center"/>
    </xf>
    <xf numFmtId="1" fontId="35" fillId="0" borderId="38" xfId="0" applyNumberFormat="1" applyFont="1" applyFill="1" applyBorder="1" applyAlignment="1">
      <alignment horizontal="right" vertical="center"/>
    </xf>
    <xf numFmtId="0" fontId="48" fillId="0" borderId="14" xfId="0" applyFont="1" applyFill="1" applyBorder="1" applyAlignment="1">
      <alignment horizontal="right" vertical="center"/>
    </xf>
    <xf numFmtId="2" fontId="45" fillId="0" borderId="39" xfId="0" applyNumberFormat="1" applyFont="1" applyFill="1" applyBorder="1" applyAlignment="1">
      <alignment horizontal="right" vertical="center"/>
    </xf>
    <xf numFmtId="2" fontId="45" fillId="0" borderId="38" xfId="0" applyNumberFormat="1" applyFont="1" applyFill="1" applyBorder="1" applyAlignment="1">
      <alignment horizontal="right" vertical="center"/>
    </xf>
    <xf numFmtId="0" fontId="13" fillId="28" borderId="12" xfId="0" applyFont="1" applyFill="1" applyBorder="1" applyAlignment="1">
      <alignment vertical="center"/>
    </xf>
    <xf numFmtId="0" fontId="13" fillId="28" borderId="0" xfId="0" applyFont="1" applyFill="1" applyAlignment="1">
      <alignment vertical="center"/>
    </xf>
    <xf numFmtId="9" fontId="46" fillId="0" borderId="46" xfId="0" applyNumberFormat="1" applyFont="1" applyBorder="1" applyAlignment="1">
      <alignment vertical="center"/>
    </xf>
    <xf numFmtId="9" fontId="46" fillId="0" borderId="44" xfId="0" applyNumberFormat="1" applyFont="1" applyBorder="1" applyAlignment="1">
      <alignment vertical="center"/>
    </xf>
    <xf numFmtId="9" fontId="46" fillId="0" borderId="15" xfId="0" applyNumberFormat="1" applyFont="1" applyFill="1" applyBorder="1" applyAlignment="1">
      <alignment horizontal="right" vertical="center"/>
    </xf>
    <xf numFmtId="2" fontId="45" fillId="28" borderId="0" xfId="0" applyNumberFormat="1" applyFont="1" applyFill="1" applyBorder="1" applyAlignment="1">
      <alignment horizontal="right" vertical="center"/>
    </xf>
    <xf numFmtId="0" fontId="54" fillId="28" borderId="0" xfId="0" applyFont="1" applyFill="1" applyBorder="1" applyAlignment="1">
      <alignment vertical="center"/>
    </xf>
    <xf numFmtId="9" fontId="46" fillId="28" borderId="12" xfId="0" applyNumberFormat="1" applyFont="1" applyFill="1" applyBorder="1" applyAlignment="1">
      <alignment horizontal="right" vertical="center"/>
    </xf>
    <xf numFmtId="0" fontId="5" fillId="0" borderId="46" xfId="0" applyFont="1" applyBorder="1" applyAlignment="1">
      <alignment horizontal="right" vertical="center"/>
    </xf>
    <xf numFmtId="0" fontId="54" fillId="0" borderId="46" xfId="0" applyFont="1" applyBorder="1" applyAlignment="1">
      <alignment horizontal="left" vertical="center"/>
    </xf>
    <xf numFmtId="0" fontId="5" fillId="0" borderId="14" xfId="0" applyFont="1" applyBorder="1" applyAlignment="1">
      <alignment horizontal="right" vertical="center"/>
    </xf>
    <xf numFmtId="0" fontId="5" fillId="0" borderId="11" xfId="0" applyFont="1" applyBorder="1" applyAlignment="1">
      <alignment horizontal="right" vertical="center"/>
    </xf>
    <xf numFmtId="0" fontId="5" fillId="0" borderId="38" xfId="0" applyFont="1" applyBorder="1" applyAlignment="1">
      <alignment horizontal="right" vertical="center"/>
    </xf>
    <xf numFmtId="0" fontId="5" fillId="28" borderId="0" xfId="0" applyFont="1" applyFill="1" applyBorder="1" applyAlignment="1">
      <alignment horizontal="right" vertical="center"/>
    </xf>
    <xf numFmtId="1" fontId="3" fillId="0" borderId="44" xfId="0" quotePrefix="1" applyNumberFormat="1" applyFont="1" applyFill="1" applyBorder="1" applyAlignment="1">
      <alignment horizontal="right" vertical="center"/>
    </xf>
    <xf numFmtId="1" fontId="3" fillId="0" borderId="12" xfId="0" quotePrefix="1" applyNumberFormat="1" applyFont="1" applyFill="1" applyBorder="1" applyAlignment="1">
      <alignment horizontal="right" vertical="center"/>
    </xf>
    <xf numFmtId="0" fontId="54" fillId="0" borderId="72" xfId="0" applyFont="1" applyBorder="1" applyAlignment="1">
      <alignment vertical="center"/>
    </xf>
    <xf numFmtId="9" fontId="10" fillId="0" borderId="12" xfId="0" applyNumberFormat="1" applyFont="1" applyBorder="1" applyAlignment="1">
      <alignment vertical="center"/>
    </xf>
    <xf numFmtId="0" fontId="46" fillId="0" borderId="0" xfId="0" applyFont="1" applyAlignment="1">
      <alignment vertical="center"/>
    </xf>
    <xf numFmtId="0" fontId="38" fillId="0" borderId="40" xfId="0" applyFont="1" applyBorder="1" applyAlignment="1">
      <alignment horizontal="right" vertical="center"/>
    </xf>
    <xf numFmtId="0" fontId="46" fillId="0" borderId="46" xfId="0" applyFont="1" applyBorder="1" applyAlignment="1">
      <alignment vertical="center"/>
    </xf>
    <xf numFmtId="9" fontId="46" fillId="0" borderId="73" xfId="0" applyNumberFormat="1" applyFont="1" applyBorder="1" applyAlignment="1">
      <alignment vertical="center"/>
    </xf>
    <xf numFmtId="9" fontId="46" fillId="0" borderId="40" xfId="0" applyNumberFormat="1" applyFont="1" applyBorder="1" applyAlignment="1">
      <alignment vertical="center"/>
    </xf>
    <xf numFmtId="9" fontId="46" fillId="0" borderId="39" xfId="0" applyNumberFormat="1" applyFont="1" applyBorder="1" applyAlignment="1">
      <alignment vertical="center"/>
    </xf>
    <xf numFmtId="0" fontId="0" fillId="23" borderId="0" xfId="0" applyFill="1" applyAlignment="1">
      <alignment vertical="center"/>
    </xf>
    <xf numFmtId="0" fontId="0" fillId="0" borderId="0" xfId="0"/>
    <xf numFmtId="0" fontId="2" fillId="28" borderId="27" xfId="0" applyFont="1" applyFill="1" applyBorder="1" applyAlignment="1">
      <alignment horizontal="left" vertical="center" wrapText="1"/>
    </xf>
    <xf numFmtId="0" fontId="0" fillId="0" borderId="16" xfId="0" applyBorder="1"/>
    <xf numFmtId="0" fontId="0" fillId="23" borderId="12" xfId="0" applyFill="1" applyBorder="1" applyAlignment="1">
      <alignment vertical="center"/>
    </xf>
    <xf numFmtId="0" fontId="2" fillId="0" borderId="26" xfId="0" applyFont="1" applyFill="1" applyBorder="1" applyAlignment="1">
      <alignment vertical="center"/>
    </xf>
    <xf numFmtId="1" fontId="3" fillId="0" borderId="14" xfId="0" quotePrefix="1" applyNumberFormat="1" applyFont="1" applyFill="1" applyBorder="1" applyAlignment="1">
      <alignment horizontal="right" vertical="center"/>
    </xf>
    <xf numFmtId="1" fontId="35" fillId="0" borderId="16" xfId="0" applyNumberFormat="1" applyFont="1" applyBorder="1" applyAlignment="1">
      <alignment vertical="center"/>
    </xf>
    <xf numFmtId="1" fontId="3" fillId="0" borderId="24" xfId="0" applyNumberFormat="1" applyFont="1" applyFill="1" applyBorder="1" applyAlignment="1">
      <alignment horizontal="right" vertical="center"/>
    </xf>
    <xf numFmtId="0" fontId="0" fillId="0" borderId="0" xfId="0"/>
    <xf numFmtId="0" fontId="1" fillId="27" borderId="25" xfId="0" applyFont="1" applyFill="1" applyBorder="1" applyAlignment="1">
      <alignment horizontal="center" vertical="center" wrapText="1"/>
    </xf>
    <xf numFmtId="164" fontId="3" fillId="28" borderId="0" xfId="0" applyNumberFormat="1" applyFont="1" applyFill="1" applyBorder="1" applyAlignment="1">
      <alignment horizontal="right" vertical="center"/>
    </xf>
    <xf numFmtId="0" fontId="2" fillId="0" borderId="0" xfId="0" applyFont="1" applyFill="1" applyBorder="1" applyAlignment="1">
      <alignment horizontal="left" vertical="center"/>
    </xf>
    <xf numFmtId="165" fontId="3" fillId="0" borderId="0" xfId="0" applyNumberFormat="1" applyFont="1" applyFill="1" applyBorder="1" applyAlignment="1">
      <alignment horizontal="right" vertical="center"/>
    </xf>
    <xf numFmtId="0" fontId="1" fillId="28" borderId="0" xfId="0" applyFont="1" applyFill="1" applyBorder="1" applyAlignment="1">
      <alignment vertical="center"/>
    </xf>
    <xf numFmtId="0" fontId="0" fillId="0" borderId="27" xfId="0" applyFill="1" applyBorder="1"/>
    <xf numFmtId="167" fontId="3" fillId="0" borderId="0" xfId="0" quotePrefix="1" applyNumberFormat="1" applyFont="1" applyFill="1" applyBorder="1" applyAlignment="1">
      <alignment horizontal="right" vertical="center"/>
    </xf>
    <xf numFmtId="1" fontId="3" fillId="0" borderId="0" xfId="0" quotePrefix="1" applyNumberFormat="1" applyFont="1" applyFill="1" applyBorder="1" applyAlignment="1">
      <alignment horizontal="right" vertical="center"/>
    </xf>
    <xf numFmtId="0" fontId="1" fillId="0" borderId="0" xfId="0" applyFont="1" applyFill="1" applyBorder="1" applyAlignment="1">
      <alignment horizontal="center" vertical="center" wrapText="1"/>
    </xf>
    <xf numFmtId="1" fontId="35" fillId="0" borderId="0" xfId="0" applyNumberFormat="1" applyFont="1" applyFill="1" applyBorder="1" applyAlignment="1">
      <alignment vertical="center"/>
    </xf>
    <xf numFmtId="0" fontId="0" fillId="0" borderId="0" xfId="0"/>
    <xf numFmtId="0" fontId="0" fillId="23" borderId="0" xfId="0" applyFill="1" applyAlignment="1">
      <alignment vertical="center"/>
    </xf>
    <xf numFmtId="0" fontId="2" fillId="28" borderId="0" xfId="0" applyFont="1" applyFill="1" applyBorder="1" applyAlignment="1">
      <alignment horizontal="left" vertical="center" wrapText="1"/>
    </xf>
    <xf numFmtId="0" fontId="2" fillId="28" borderId="12" xfId="0" applyFont="1" applyFill="1" applyBorder="1" applyAlignment="1">
      <alignment horizontal="left" vertical="center" wrapText="1"/>
    </xf>
    <xf numFmtId="0" fontId="0" fillId="0" borderId="0" xfId="0"/>
    <xf numFmtId="0" fontId="0" fillId="0" borderId="12" xfId="0" applyBorder="1"/>
    <xf numFmtId="0" fontId="0" fillId="0" borderId="13" xfId="0" applyBorder="1"/>
    <xf numFmtId="0" fontId="0" fillId="0" borderId="27" xfId="0" applyBorder="1"/>
    <xf numFmtId="0" fontId="0" fillId="0" borderId="15" xfId="0" applyBorder="1"/>
    <xf numFmtId="0" fontId="1" fillId="27" borderId="25" xfId="0" applyFont="1" applyFill="1" applyBorder="1" applyAlignment="1">
      <alignment horizontal="center" vertical="center"/>
    </xf>
    <xf numFmtId="0" fontId="0" fillId="23" borderId="12" xfId="0" applyFill="1" applyBorder="1" applyAlignment="1">
      <alignment vertical="center"/>
    </xf>
    <xf numFmtId="0" fontId="2" fillId="28" borderId="0" xfId="0" applyFont="1" applyFill="1" applyBorder="1" applyAlignment="1">
      <alignment horizontal="left" vertical="center"/>
    </xf>
    <xf numFmtId="0" fontId="2" fillId="28" borderId="12" xfId="0" applyFont="1" applyFill="1" applyBorder="1" applyAlignment="1">
      <alignment horizontal="left" vertical="center"/>
    </xf>
    <xf numFmtId="0" fontId="8" fillId="23" borderId="0" xfId="0" applyFont="1" applyFill="1" applyBorder="1" applyAlignment="1">
      <alignment horizontal="left" vertical="center"/>
    </xf>
    <xf numFmtId="0" fontId="8" fillId="23" borderId="12" xfId="0" applyFont="1" applyFill="1" applyBorder="1" applyAlignment="1">
      <alignment horizontal="left" vertical="center"/>
    </xf>
    <xf numFmtId="0" fontId="8" fillId="23" borderId="0" xfId="0" applyFont="1" applyFill="1" applyBorder="1" applyAlignment="1">
      <alignment horizontal="left" vertical="center" wrapText="1"/>
    </xf>
    <xf numFmtId="0" fontId="8" fillId="23" borderId="12" xfId="0" applyFont="1" applyFill="1" applyBorder="1" applyAlignment="1">
      <alignment horizontal="left" vertical="center" wrapText="1"/>
    </xf>
    <xf numFmtId="0" fontId="2" fillId="28" borderId="0" xfId="0" applyFont="1" applyFill="1" applyAlignment="1">
      <alignment horizontal="left" vertical="center"/>
    </xf>
    <xf numFmtId="0" fontId="8" fillId="23" borderId="13" xfId="0" applyFont="1" applyFill="1" applyBorder="1" applyAlignment="1">
      <alignment horizontal="left" vertical="center"/>
    </xf>
    <xf numFmtId="0" fontId="2" fillId="28" borderId="0" xfId="0" applyFont="1" applyFill="1" applyAlignment="1">
      <alignment horizontal="left" vertical="center" wrapText="1"/>
    </xf>
    <xf numFmtId="0" fontId="0" fillId="0" borderId="0" xfId="0"/>
    <xf numFmtId="0" fontId="0" fillId="23" borderId="12" xfId="0" applyFill="1" applyBorder="1" applyAlignment="1">
      <alignment vertical="center"/>
    </xf>
    <xf numFmtId="0" fontId="2" fillId="0" borderId="0" xfId="0" applyFont="1"/>
    <xf numFmtId="0" fontId="13" fillId="28" borderId="23" xfId="0" applyFont="1" applyFill="1" applyBorder="1" applyAlignment="1">
      <alignment vertical="center"/>
    </xf>
    <xf numFmtId="0" fontId="0" fillId="0" borderId="10" xfId="0" applyBorder="1" applyAlignment="1">
      <alignment vertical="center"/>
    </xf>
    <xf numFmtId="0" fontId="17" fillId="0" borderId="14" xfId="0" applyFont="1" applyBorder="1" applyAlignment="1">
      <alignment horizontal="right" vertical="center"/>
    </xf>
    <xf numFmtId="0" fontId="54" fillId="28" borderId="39" xfId="0" applyFont="1" applyFill="1" applyBorder="1" applyAlignment="1">
      <alignment vertical="center"/>
    </xf>
    <xf numFmtId="0" fontId="2" fillId="28" borderId="23" xfId="0" applyFont="1" applyFill="1" applyBorder="1" applyAlignment="1">
      <alignment vertical="center"/>
    </xf>
    <xf numFmtId="0" fontId="48" fillId="0" borderId="39" xfId="0" applyFont="1" applyBorder="1" applyAlignment="1">
      <alignment horizontal="right" vertical="center"/>
    </xf>
    <xf numFmtId="0" fontId="17" fillId="28" borderId="14" xfId="0" applyFont="1" applyFill="1" applyBorder="1" applyAlignment="1">
      <alignment horizontal="right" vertical="center"/>
    </xf>
    <xf numFmtId="0" fontId="13" fillId="28" borderId="22" xfId="0" applyFont="1" applyFill="1" applyBorder="1" applyAlignment="1">
      <alignment vertical="center"/>
    </xf>
    <xf numFmtId="0" fontId="3" fillId="23" borderId="14" xfId="0" applyFont="1" applyFill="1" applyBorder="1" applyAlignment="1">
      <alignment horizontal="right" vertical="center"/>
    </xf>
    <xf numFmtId="0" fontId="3" fillId="23" borderId="10" xfId="0" applyFont="1" applyFill="1" applyBorder="1" applyAlignment="1">
      <alignment horizontal="right" vertical="center"/>
    </xf>
    <xf numFmtId="0" fontId="3" fillId="23" borderId="11" xfId="0" applyFont="1" applyFill="1" applyBorder="1" applyAlignment="1">
      <alignment horizontal="right" vertical="center"/>
    </xf>
    <xf numFmtId="0" fontId="3" fillId="23" borderId="46" xfId="0" applyFont="1" applyFill="1" applyBorder="1" applyAlignment="1">
      <alignment horizontal="right" vertical="center"/>
    </xf>
    <xf numFmtId="0" fontId="3" fillId="23" borderId="40" xfId="0" applyFont="1" applyFill="1" applyBorder="1" applyAlignment="1">
      <alignment horizontal="right" vertical="center"/>
    </xf>
    <xf numFmtId="0" fontId="3" fillId="23" borderId="38" xfId="0" applyFont="1" applyFill="1" applyBorder="1" applyAlignment="1">
      <alignment horizontal="right" vertical="center"/>
    </xf>
    <xf numFmtId="0" fontId="3" fillId="0" borderId="40" xfId="0" applyFont="1" applyBorder="1" applyAlignment="1">
      <alignment horizontal="right" vertical="center"/>
    </xf>
    <xf numFmtId="1" fontId="35" fillId="0" borderId="12" xfId="0" applyNumberFormat="1" applyFont="1" applyFill="1" applyBorder="1" applyAlignment="1">
      <alignment horizontal="right" vertical="center"/>
    </xf>
    <xf numFmtId="1" fontId="35" fillId="0" borderId="46" xfId="0" applyNumberFormat="1" applyFont="1" applyFill="1" applyBorder="1" applyAlignment="1">
      <alignment horizontal="right" vertical="center"/>
    </xf>
    <xf numFmtId="0" fontId="17" fillId="0" borderId="12" xfId="0" applyFont="1" applyBorder="1" applyAlignment="1">
      <alignment horizontal="right" vertical="center"/>
    </xf>
    <xf numFmtId="0" fontId="1" fillId="2" borderId="24" xfId="0" applyFont="1" applyFill="1" applyBorder="1" applyAlignment="1">
      <alignment vertical="center"/>
    </xf>
    <xf numFmtId="0" fontId="13" fillId="0" borderId="12" xfId="0" applyFont="1" applyBorder="1" applyAlignment="1">
      <alignment vertical="center"/>
    </xf>
    <xf numFmtId="0" fontId="58" fillId="0" borderId="0" xfId="0" applyFont="1" applyAlignment="1">
      <alignment vertical="center"/>
    </xf>
    <xf numFmtId="0" fontId="8" fillId="23" borderId="23" xfId="0" applyFont="1" applyFill="1" applyBorder="1"/>
    <xf numFmtId="0" fontId="8" fillId="23" borderId="15" xfId="0" applyFont="1" applyFill="1" applyBorder="1"/>
    <xf numFmtId="0" fontId="0" fillId="28" borderId="23" xfId="0" applyFill="1" applyBorder="1" applyAlignment="1">
      <alignment vertical="center"/>
    </xf>
    <xf numFmtId="0" fontId="8" fillId="28" borderId="13" xfId="0" applyFont="1" applyFill="1" applyBorder="1" applyAlignment="1">
      <alignment horizontal="right"/>
    </xf>
    <xf numFmtId="0" fontId="8" fillId="28" borderId="23" xfId="0" applyFont="1" applyFill="1" applyBorder="1"/>
    <xf numFmtId="0" fontId="2" fillId="0" borderId="46" xfId="0" quotePrefix="1" applyFont="1" applyBorder="1" applyAlignment="1">
      <alignment horizontal="right"/>
    </xf>
    <xf numFmtId="0" fontId="2" fillId="0" borderId="10" xfId="0" quotePrefix="1" applyFont="1" applyBorder="1" applyAlignment="1">
      <alignment horizontal="right"/>
    </xf>
    <xf numFmtId="0" fontId="20" fillId="0" borderId="0" xfId="0" quotePrefix="1" applyFont="1" applyAlignment="1">
      <alignment vertical="center"/>
    </xf>
    <xf numFmtId="0" fontId="1" fillId="24" borderId="26" xfId="0" applyFont="1" applyFill="1" applyBorder="1" applyAlignment="1">
      <alignment vertical="center"/>
    </xf>
    <xf numFmtId="0" fontId="8" fillId="0" borderId="30" xfId="0" applyFont="1" applyFill="1" applyBorder="1" applyAlignment="1">
      <alignment vertical="center"/>
    </xf>
    <xf numFmtId="1" fontId="35" fillId="0" borderId="40" xfId="0" applyNumberFormat="1" applyFont="1" applyFill="1" applyBorder="1" applyAlignment="1">
      <alignment horizontal="right" vertical="center"/>
    </xf>
    <xf numFmtId="1" fontId="35" fillId="0" borderId="39" xfId="0" applyNumberFormat="1" applyFont="1" applyFill="1" applyBorder="1" applyAlignment="1">
      <alignment horizontal="right" vertical="center"/>
    </xf>
    <xf numFmtId="0" fontId="2" fillId="0" borderId="31" xfId="0" applyFont="1" applyFill="1" applyBorder="1" applyAlignment="1">
      <alignment vertical="center"/>
    </xf>
    <xf numFmtId="0" fontId="3" fillId="23" borderId="0" xfId="0" applyFont="1" applyFill="1" applyBorder="1" applyAlignment="1">
      <alignment vertical="center"/>
    </xf>
    <xf numFmtId="0" fontId="2" fillId="23" borderId="14" xfId="0" applyFont="1" applyFill="1" applyBorder="1" applyAlignment="1">
      <alignment vertical="center"/>
    </xf>
    <xf numFmtId="0" fontId="2" fillId="23" borderId="40" xfId="0" applyFont="1" applyFill="1" applyBorder="1" applyAlignment="1">
      <alignment vertical="center"/>
    </xf>
    <xf numFmtId="0" fontId="2" fillId="23" borderId="11" xfId="0" applyFont="1" applyFill="1" applyBorder="1" applyAlignment="1">
      <alignment vertical="center"/>
    </xf>
    <xf numFmtId="0" fontId="2" fillId="23" borderId="10" xfId="0" applyFont="1" applyFill="1" applyBorder="1" applyAlignment="1">
      <alignment vertical="center"/>
    </xf>
    <xf numFmtId="0" fontId="2" fillId="23" borderId="39" xfId="0" applyFont="1" applyFill="1" applyBorder="1" applyAlignment="1">
      <alignment vertical="center"/>
    </xf>
    <xf numFmtId="0" fontId="2" fillId="23" borderId="38" xfId="0" applyFont="1" applyFill="1" applyBorder="1" applyAlignment="1">
      <alignment vertical="center"/>
    </xf>
    <xf numFmtId="0" fontId="2" fillId="23" borderId="46" xfId="0" applyFont="1" applyFill="1" applyBorder="1" applyAlignment="1">
      <alignment vertical="center"/>
    </xf>
    <xf numFmtId="0" fontId="3" fillId="0" borderId="46" xfId="0" applyFont="1" applyBorder="1" applyAlignment="1">
      <alignment horizontal="right" vertical="center"/>
    </xf>
    <xf numFmtId="0" fontId="35" fillId="0" borderId="15" xfId="0" applyFont="1" applyFill="1" applyBorder="1" applyAlignment="1">
      <alignment horizontal="right" vertical="center"/>
    </xf>
    <xf numFmtId="0" fontId="35" fillId="0" borderId="38" xfId="0" applyFont="1" applyFill="1" applyBorder="1" applyAlignment="1">
      <alignment horizontal="right" vertical="center"/>
    </xf>
    <xf numFmtId="0" fontId="35" fillId="0" borderId="38" xfId="0" applyFont="1" applyBorder="1" applyAlignment="1">
      <alignment horizontal="right" vertical="center"/>
    </xf>
    <xf numFmtId="0" fontId="3" fillId="0" borderId="10" xfId="0" applyFont="1" applyBorder="1" applyAlignment="1">
      <alignment horizontal="right" vertical="center"/>
    </xf>
    <xf numFmtId="0" fontId="3" fillId="0" borderId="23" xfId="0" applyFont="1" applyBorder="1" applyAlignment="1">
      <alignment horizontal="right" vertical="center"/>
    </xf>
    <xf numFmtId="0" fontId="3" fillId="0" borderId="37" xfId="0" applyFont="1" applyBorder="1" applyAlignment="1">
      <alignment horizontal="right" vertical="center"/>
    </xf>
    <xf numFmtId="0" fontId="3" fillId="0" borderId="11" xfId="0" applyFont="1" applyBorder="1" applyAlignment="1">
      <alignment horizontal="right" vertical="center"/>
    </xf>
    <xf numFmtId="0" fontId="35" fillId="0" borderId="14" xfId="0" applyFont="1" applyBorder="1" applyAlignment="1">
      <alignment horizontal="right" vertical="center"/>
    </xf>
    <xf numFmtId="0" fontId="35" fillId="0" borderId="46" xfId="0" applyFont="1" applyBorder="1" applyAlignment="1">
      <alignment horizontal="right" vertical="center"/>
    </xf>
    <xf numFmtId="0" fontId="35" fillId="0" borderId="39" xfId="0" applyFont="1" applyBorder="1" applyAlignment="1">
      <alignment horizontal="right" vertical="center"/>
    </xf>
    <xf numFmtId="0" fontId="4" fillId="28" borderId="21" xfId="0" applyFont="1" applyFill="1" applyBorder="1" applyAlignment="1">
      <alignment horizontal="left" vertical="center" wrapText="1"/>
    </xf>
    <xf numFmtId="0" fontId="4" fillId="28" borderId="27" xfId="0" applyFont="1" applyFill="1" applyBorder="1" applyAlignment="1">
      <alignment horizontal="left" vertical="center" wrapText="1"/>
    </xf>
    <xf numFmtId="0" fontId="4" fillId="28" borderId="15" xfId="0" applyFont="1" applyFill="1" applyBorder="1" applyAlignment="1">
      <alignment horizontal="left" vertical="center" wrapText="1"/>
    </xf>
    <xf numFmtId="0" fontId="0" fillId="23" borderId="23" xfId="0" applyFill="1" applyBorder="1" applyAlignment="1">
      <alignment vertical="center"/>
    </xf>
    <xf numFmtId="0" fontId="35" fillId="23" borderId="0" xfId="0" applyFont="1" applyFill="1" applyBorder="1" applyAlignment="1">
      <alignment vertical="center"/>
    </xf>
    <xf numFmtId="0" fontId="8" fillId="0" borderId="11" xfId="0" applyFont="1" applyFill="1" applyBorder="1" applyAlignment="1">
      <alignment vertical="center"/>
    </xf>
    <xf numFmtId="0" fontId="35" fillId="23" borderId="13" xfId="0" applyFont="1" applyFill="1" applyBorder="1" applyAlignment="1">
      <alignment vertical="center"/>
    </xf>
    <xf numFmtId="1" fontId="35" fillId="0" borderId="67" xfId="0" applyNumberFormat="1" applyFont="1" applyBorder="1" applyAlignment="1">
      <alignment vertical="center"/>
    </xf>
    <xf numFmtId="1" fontId="3" fillId="0" borderId="17" xfId="0" applyNumberFormat="1" applyFont="1" applyBorder="1" applyAlignment="1">
      <alignment vertical="center"/>
    </xf>
    <xf numFmtId="9" fontId="3" fillId="0" borderId="40" xfId="0" applyNumberFormat="1" applyFont="1" applyBorder="1" applyAlignment="1">
      <alignment vertical="center"/>
    </xf>
    <xf numFmtId="1" fontId="35" fillId="0" borderId="12" xfId="0" applyNumberFormat="1" applyFont="1" applyBorder="1" applyAlignment="1">
      <alignment vertical="center"/>
    </xf>
    <xf numFmtId="0" fontId="3" fillId="0" borderId="14" xfId="0" applyFont="1" applyFill="1" applyBorder="1" applyAlignment="1">
      <alignment horizontal="right" vertical="center"/>
    </xf>
    <xf numFmtId="1" fontId="3" fillId="0" borderId="40" xfId="0" applyNumberFormat="1" applyFont="1" applyFill="1" applyBorder="1" applyAlignment="1">
      <alignment horizontal="right" vertical="center"/>
    </xf>
    <xf numFmtId="1" fontId="35" fillId="0" borderId="11" xfId="0" applyNumberFormat="1" applyFont="1" applyBorder="1" applyAlignment="1">
      <alignment horizontal="right" vertical="center"/>
    </xf>
    <xf numFmtId="0" fontId="8" fillId="0" borderId="0" xfId="0" applyFont="1" applyFill="1" applyBorder="1" applyAlignment="1">
      <alignment vertical="center"/>
    </xf>
    <xf numFmtId="0" fontId="35" fillId="0" borderId="16" xfId="0" applyFont="1" applyFill="1" applyBorder="1" applyAlignment="1">
      <alignment vertical="center"/>
    </xf>
    <xf numFmtId="0" fontId="35" fillId="0" borderId="10" xfId="0" applyFont="1" applyFill="1" applyBorder="1" applyAlignment="1">
      <alignment vertical="center"/>
    </xf>
    <xf numFmtId="0" fontId="2" fillId="0" borderId="21" xfId="0" applyFont="1" applyBorder="1" applyAlignment="1">
      <alignment vertical="center"/>
    </xf>
    <xf numFmtId="0" fontId="3" fillId="0" borderId="44" xfId="0" applyFont="1" applyBorder="1" applyAlignment="1">
      <alignment vertical="center"/>
    </xf>
    <xf numFmtId="1" fontId="3" fillId="0" borderId="46" xfId="0" applyNumberFormat="1" applyFont="1" applyBorder="1" applyAlignment="1">
      <alignment vertical="center"/>
    </xf>
    <xf numFmtId="0" fontId="1" fillId="29" borderId="14" xfId="0" applyFont="1" applyFill="1" applyBorder="1" applyAlignment="1">
      <alignment horizontal="center" vertical="center"/>
    </xf>
    <xf numFmtId="0" fontId="1" fillId="29" borderId="25" xfId="0" applyFont="1" applyFill="1" applyBorder="1" applyAlignment="1">
      <alignment horizontal="center" vertical="center"/>
    </xf>
    <xf numFmtId="0" fontId="1" fillId="27" borderId="14" xfId="0" applyFont="1" applyFill="1" applyBorder="1" applyAlignment="1">
      <alignment horizontal="center" vertical="center"/>
    </xf>
    <xf numFmtId="0" fontId="0" fillId="23" borderId="0" xfId="0" applyFill="1" applyAlignment="1">
      <alignment vertical="center"/>
    </xf>
    <xf numFmtId="0" fontId="2" fillId="28" borderId="21" xfId="0" applyFont="1" applyFill="1" applyBorder="1" applyAlignment="1">
      <alignment horizontal="left" vertical="center" wrapText="1"/>
    </xf>
    <xf numFmtId="0" fontId="4" fillId="23" borderId="0" xfId="0" applyFont="1" applyFill="1" applyBorder="1" applyAlignment="1">
      <alignment horizontal="left" vertical="center"/>
    </xf>
    <xf numFmtId="0" fontId="4" fillId="23" borderId="0" xfId="0" applyFont="1" applyFill="1" applyBorder="1" applyAlignment="1">
      <alignment horizontal="left" vertical="center" wrapText="1"/>
    </xf>
    <xf numFmtId="0" fontId="1" fillId="27" borderId="25" xfId="0" applyFont="1" applyFill="1" applyBorder="1" applyAlignment="1">
      <alignment horizontal="center" vertical="center"/>
    </xf>
    <xf numFmtId="0" fontId="2" fillId="0" borderId="12" xfId="0" applyFont="1" applyFill="1" applyBorder="1" applyAlignment="1">
      <alignment horizontal="left" vertical="center"/>
    </xf>
    <xf numFmtId="0" fontId="0" fillId="0" borderId="16" xfId="0" applyBorder="1"/>
    <xf numFmtId="0" fontId="1" fillId="27" borderId="23" xfId="0" applyFont="1" applyFill="1" applyBorder="1" applyAlignment="1">
      <alignment horizontal="center" vertical="center"/>
    </xf>
    <xf numFmtId="0" fontId="3" fillId="0" borderId="16" xfId="0" applyFont="1" applyFill="1" applyBorder="1" applyAlignment="1">
      <alignment horizontal="left" vertical="center"/>
    </xf>
    <xf numFmtId="0" fontId="2" fillId="0" borderId="41" xfId="0" applyFont="1" applyBorder="1" applyAlignment="1">
      <alignment vertical="center"/>
    </xf>
    <xf numFmtId="1" fontId="3" fillId="0" borderId="23" xfId="0" applyNumberFormat="1" applyFont="1" applyBorder="1" applyAlignment="1">
      <alignment vertical="center"/>
    </xf>
    <xf numFmtId="0" fontId="2" fillId="0" borderId="38" xfId="0" applyFont="1" applyBorder="1" applyAlignment="1">
      <alignment vertical="center"/>
    </xf>
    <xf numFmtId="0" fontId="4" fillId="23" borderId="13" xfId="0" applyFont="1" applyFill="1" applyBorder="1" applyAlignment="1">
      <alignment vertical="center"/>
    </xf>
    <xf numFmtId="0" fontId="0" fillId="0" borderId="28" xfId="0" applyBorder="1"/>
    <xf numFmtId="0" fontId="20" fillId="28" borderId="13" xfId="0" quotePrefix="1" applyFont="1" applyFill="1" applyBorder="1" applyAlignment="1">
      <alignment vertical="center"/>
    </xf>
    <xf numFmtId="0" fontId="8" fillId="0" borderId="13" xfId="0" applyFont="1" applyFill="1" applyBorder="1" applyAlignment="1">
      <alignment vertical="center"/>
    </xf>
    <xf numFmtId="0" fontId="2" fillId="23" borderId="21" xfId="0" applyFont="1" applyFill="1" applyBorder="1" applyAlignment="1">
      <alignment vertical="center"/>
    </xf>
    <xf numFmtId="0" fontId="3" fillId="0" borderId="53" xfId="0" applyFont="1" applyBorder="1" applyAlignment="1">
      <alignment horizontal="right" vertical="center"/>
    </xf>
    <xf numFmtId="0" fontId="3" fillId="0" borderId="74" xfId="0" applyFont="1" applyBorder="1" applyAlignment="1">
      <alignment horizontal="right" vertical="center"/>
    </xf>
    <xf numFmtId="0" fontId="0" fillId="23" borderId="26" xfId="0" applyFill="1" applyBorder="1" applyAlignment="1">
      <alignment vertical="center"/>
    </xf>
    <xf numFmtId="0" fontId="54" fillId="28" borderId="26" xfId="0" applyFont="1" applyFill="1" applyBorder="1" applyAlignment="1">
      <alignment vertical="center"/>
    </xf>
    <xf numFmtId="0" fontId="0" fillId="23" borderId="28" xfId="0" applyFill="1" applyBorder="1" applyAlignment="1">
      <alignment vertical="center"/>
    </xf>
    <xf numFmtId="0" fontId="0" fillId="23" borderId="21" xfId="0" applyFill="1" applyBorder="1" applyAlignment="1">
      <alignment vertical="center"/>
    </xf>
    <xf numFmtId="0" fontId="2" fillId="28" borderId="26" xfId="0" applyFont="1" applyFill="1" applyBorder="1" applyAlignment="1">
      <alignment vertical="center"/>
    </xf>
    <xf numFmtId="0" fontId="0" fillId="0" borderId="21" xfId="0" applyBorder="1"/>
    <xf numFmtId="170" fontId="3" fillId="0" borderId="46" xfId="0" applyNumberFormat="1" applyFont="1" applyFill="1" applyBorder="1" applyAlignment="1">
      <alignment horizontal="center" vertical="center"/>
    </xf>
    <xf numFmtId="170" fontId="3" fillId="0" borderId="10" xfId="0" applyNumberFormat="1" applyFont="1" applyFill="1" applyBorder="1" applyAlignment="1">
      <alignment horizontal="center" vertical="center"/>
    </xf>
    <xf numFmtId="170" fontId="3" fillId="0" borderId="40" xfId="0" applyNumberFormat="1" applyFont="1" applyFill="1" applyBorder="1" applyAlignment="1">
      <alignment horizontal="center" vertical="center"/>
    </xf>
    <xf numFmtId="170" fontId="3" fillId="0" borderId="13" xfId="0" applyNumberFormat="1" applyFont="1" applyFill="1" applyBorder="1" applyAlignment="1">
      <alignment horizontal="center" vertical="center"/>
    </xf>
    <xf numFmtId="170" fontId="3" fillId="0" borderId="39" xfId="0" applyNumberFormat="1" applyFont="1" applyFill="1" applyBorder="1" applyAlignment="1">
      <alignment horizontal="center" vertical="center"/>
    </xf>
    <xf numFmtId="0" fontId="35" fillId="23" borderId="28" xfId="0" applyFont="1" applyFill="1" applyBorder="1" applyAlignment="1">
      <alignment horizontal="center" vertical="center"/>
    </xf>
    <xf numFmtId="0" fontId="4" fillId="23" borderId="28" xfId="0" applyFont="1" applyFill="1" applyBorder="1" applyAlignment="1">
      <alignment vertical="center"/>
    </xf>
    <xf numFmtId="169" fontId="3" fillId="0" borderId="39" xfId="0" applyNumberFormat="1" applyFont="1" applyFill="1" applyBorder="1" applyAlignment="1">
      <alignment horizontal="center" vertical="center"/>
    </xf>
    <xf numFmtId="0" fontId="1" fillId="0" borderId="24" xfId="0" applyFont="1" applyBorder="1" applyAlignment="1">
      <alignment vertical="center"/>
    </xf>
    <xf numFmtId="169" fontId="3" fillId="0" borderId="40" xfId="0" applyNumberFormat="1" applyFont="1" applyFill="1" applyBorder="1" applyAlignment="1">
      <alignment horizontal="center" vertical="center"/>
    </xf>
    <xf numFmtId="169" fontId="3" fillId="0" borderId="46" xfId="0" applyNumberFormat="1" applyFont="1" applyFill="1" applyBorder="1" applyAlignment="1">
      <alignment horizontal="center" vertical="center"/>
    </xf>
    <xf numFmtId="0" fontId="35" fillId="23" borderId="26" xfId="0" applyFont="1" applyFill="1" applyBorder="1" applyAlignment="1">
      <alignment horizontal="center" vertical="center"/>
    </xf>
    <xf numFmtId="0" fontId="8" fillId="28" borderId="13" xfId="0" applyFont="1" applyFill="1" applyBorder="1" applyAlignment="1">
      <alignment horizontal="left" vertical="center"/>
    </xf>
    <xf numFmtId="0" fontId="8" fillId="23" borderId="26" xfId="0" applyFont="1" applyFill="1" applyBorder="1" applyAlignment="1">
      <alignment vertical="center"/>
    </xf>
    <xf numFmtId="0" fontId="8" fillId="0" borderId="38" xfId="0" applyFont="1" applyBorder="1" applyAlignment="1">
      <alignment vertical="center"/>
    </xf>
    <xf numFmtId="0" fontId="8" fillId="0" borderId="13" xfId="0" applyFont="1" applyBorder="1" applyAlignment="1">
      <alignment vertical="center"/>
    </xf>
    <xf numFmtId="0" fontId="2" fillId="0" borderId="44" xfId="0" applyFont="1" applyBorder="1" applyAlignment="1">
      <alignment vertical="center"/>
    </xf>
    <xf numFmtId="0" fontId="8" fillId="0" borderId="44" xfId="0" applyFont="1" applyFill="1" applyBorder="1" applyAlignment="1">
      <alignment vertical="center"/>
    </xf>
    <xf numFmtId="0" fontId="2" fillId="0" borderId="39" xfId="0" applyFont="1" applyBorder="1" applyAlignment="1">
      <alignment vertical="center"/>
    </xf>
    <xf numFmtId="0" fontId="2" fillId="0" borderId="53" xfId="0" applyFont="1" applyFill="1" applyBorder="1" applyAlignment="1">
      <alignment vertical="center"/>
    </xf>
    <xf numFmtId="0" fontId="2" fillId="0" borderId="37" xfId="0" applyFont="1" applyFill="1" applyBorder="1" applyAlignment="1">
      <alignment vertical="center"/>
    </xf>
    <xf numFmtId="0" fontId="2" fillId="0" borderId="15" xfId="0" applyFont="1" applyFill="1" applyBorder="1" applyAlignment="1">
      <alignment vertical="center"/>
    </xf>
    <xf numFmtId="0" fontId="2" fillId="0" borderId="23" xfId="0" applyFont="1" applyFill="1" applyBorder="1" applyAlignment="1">
      <alignment vertical="center"/>
    </xf>
    <xf numFmtId="0" fontId="1" fillId="28" borderId="16" xfId="0" applyFont="1" applyFill="1" applyBorder="1" applyAlignment="1">
      <alignment horizontal="center" vertical="center"/>
    </xf>
    <xf numFmtId="0" fontId="4" fillId="23" borderId="16" xfId="0" applyFont="1" applyFill="1" applyBorder="1" applyAlignment="1">
      <alignment vertical="center"/>
    </xf>
    <xf numFmtId="0" fontId="3" fillId="0" borderId="22" xfId="0" applyFont="1" applyFill="1" applyBorder="1" applyAlignment="1">
      <alignment vertical="center"/>
    </xf>
    <xf numFmtId="0" fontId="3" fillId="0" borderId="47" xfId="0" applyFont="1" applyFill="1" applyBorder="1" applyAlignment="1">
      <alignment vertical="center"/>
    </xf>
    <xf numFmtId="0" fontId="0" fillId="29" borderId="0" xfId="0" applyFill="1" applyBorder="1" applyAlignment="1">
      <alignment vertical="center"/>
    </xf>
    <xf numFmtId="0" fontId="0" fillId="29" borderId="27" xfId="0" applyFill="1" applyBorder="1" applyAlignment="1">
      <alignment vertical="center"/>
    </xf>
    <xf numFmtId="0" fontId="3" fillId="0" borderId="16" xfId="0" applyFont="1" applyBorder="1" applyAlignment="1">
      <alignment horizontal="right" vertical="center"/>
    </xf>
    <xf numFmtId="0" fontId="43" fillId="28" borderId="16" xfId="0" applyFont="1" applyFill="1" applyBorder="1" applyAlignment="1">
      <alignment vertical="center"/>
    </xf>
    <xf numFmtId="0" fontId="1" fillId="28" borderId="16" xfId="0" applyFont="1" applyFill="1" applyBorder="1" applyAlignment="1">
      <alignment horizontal="center"/>
    </xf>
    <xf numFmtId="0" fontId="2" fillId="0" borderId="16" xfId="0" applyFont="1" applyFill="1" applyBorder="1" applyAlignment="1">
      <alignment horizontal="left" vertical="center"/>
    </xf>
    <xf numFmtId="0" fontId="12" fillId="23" borderId="0" xfId="0" applyFont="1" applyFill="1" applyBorder="1" applyAlignment="1"/>
    <xf numFmtId="0" fontId="54" fillId="0" borderId="0" xfId="0" applyFont="1" applyFill="1" applyBorder="1" applyAlignment="1">
      <alignment horizontal="left" vertical="center"/>
    </xf>
    <xf numFmtId="0" fontId="54" fillId="0" borderId="47" xfId="0" applyFont="1" applyFill="1" applyBorder="1" applyAlignment="1">
      <alignment vertical="center"/>
    </xf>
    <xf numFmtId="0" fontId="13" fillId="28" borderId="0" xfId="0" applyFont="1" applyFill="1" applyBorder="1" applyAlignment="1">
      <alignment vertical="center"/>
    </xf>
    <xf numFmtId="0" fontId="1" fillId="2" borderId="25" xfId="0" applyFont="1" applyFill="1" applyBorder="1" applyAlignment="1">
      <alignment vertical="center"/>
    </xf>
    <xf numFmtId="0" fontId="0" fillId="0" borderId="15" xfId="0" applyBorder="1" applyAlignment="1">
      <alignment vertical="center"/>
    </xf>
    <xf numFmtId="0" fontId="0" fillId="0" borderId="27" xfId="0" applyBorder="1" applyAlignment="1">
      <alignment vertical="center"/>
    </xf>
    <xf numFmtId="0" fontId="2" fillId="28" borderId="12" xfId="0" applyFont="1" applyFill="1" applyBorder="1" applyAlignment="1">
      <alignment horizontal="left" vertical="center" wrapText="1"/>
    </xf>
    <xf numFmtId="0" fontId="0" fillId="0" borderId="0" xfId="0"/>
    <xf numFmtId="0" fontId="0" fillId="0" borderId="12" xfId="0" applyBorder="1"/>
    <xf numFmtId="0" fontId="0" fillId="0" borderId="23" xfId="0" applyBorder="1"/>
    <xf numFmtId="0" fontId="1" fillId="0" borderId="13" xfId="0" applyFont="1" applyFill="1" applyBorder="1" applyAlignment="1">
      <alignment horizontal="center" vertical="center" wrapText="1"/>
    </xf>
    <xf numFmtId="0" fontId="2" fillId="23" borderId="10" xfId="0" applyFont="1" applyFill="1" applyBorder="1"/>
    <xf numFmtId="0" fontId="2" fillId="23" borderId="39" xfId="0" applyFont="1" applyFill="1" applyBorder="1"/>
    <xf numFmtId="0" fontId="2" fillId="23" borderId="44" xfId="0" applyFont="1" applyFill="1" applyBorder="1"/>
    <xf numFmtId="0" fontId="8" fillId="0" borderId="44" xfId="0" applyFont="1" applyBorder="1"/>
    <xf numFmtId="0" fontId="48" fillId="0" borderId="12" xfId="0" applyFont="1" applyBorder="1" applyAlignment="1">
      <alignment horizontal="right" vertical="center"/>
    </xf>
    <xf numFmtId="0" fontId="2" fillId="0" borderId="40" xfId="0" applyFont="1" applyBorder="1" applyAlignment="1">
      <alignment horizontal="left" vertical="center"/>
    </xf>
    <xf numFmtId="0" fontId="48" fillId="0" borderId="40" xfId="0" applyFont="1" applyBorder="1" applyAlignment="1">
      <alignment horizontal="right" vertical="center"/>
    </xf>
    <xf numFmtId="167" fontId="3" fillId="0" borderId="38" xfId="0" applyNumberFormat="1" applyFont="1" applyBorder="1" applyAlignment="1">
      <alignment horizontal="right" vertical="center"/>
    </xf>
    <xf numFmtId="167" fontId="35" fillId="0" borderId="14" xfId="0" applyNumberFormat="1" applyFont="1" applyBorder="1" applyAlignment="1">
      <alignment horizontal="right" vertical="center"/>
    </xf>
    <xf numFmtId="167" fontId="35" fillId="0" borderId="40" xfId="0" applyNumberFormat="1" applyFont="1" applyBorder="1" applyAlignment="1">
      <alignment horizontal="right" vertical="center"/>
    </xf>
    <xf numFmtId="1" fontId="3" fillId="0" borderId="23" xfId="0" applyNumberFormat="1" applyFont="1" applyFill="1" applyBorder="1" applyAlignment="1">
      <alignment horizontal="right" vertical="center"/>
    </xf>
    <xf numFmtId="0" fontId="3" fillId="0" borderId="38" xfId="0" applyFont="1" applyBorder="1" applyAlignment="1">
      <alignment vertical="center"/>
    </xf>
    <xf numFmtId="1" fontId="35" fillId="0" borderId="13" xfId="0" applyNumberFormat="1" applyFont="1" applyFill="1" applyBorder="1" applyAlignment="1">
      <alignment vertical="center"/>
    </xf>
    <xf numFmtId="0" fontId="3" fillId="0" borderId="13" xfId="0" applyFont="1" applyFill="1" applyBorder="1" applyAlignment="1">
      <alignment vertical="center"/>
    </xf>
    <xf numFmtId="0" fontId="8" fillId="23" borderId="22" xfId="0" applyFont="1" applyFill="1" applyBorder="1"/>
    <xf numFmtId="0" fontId="54" fillId="0" borderId="75" xfId="0" applyFont="1" applyBorder="1" applyAlignment="1">
      <alignment vertical="center"/>
    </xf>
    <xf numFmtId="0" fontId="54" fillId="0" borderId="76" xfId="0" applyFont="1" applyBorder="1" applyAlignment="1">
      <alignment vertical="center"/>
    </xf>
    <xf numFmtId="9" fontId="3" fillId="0" borderId="39" xfId="0" applyNumberFormat="1" applyFont="1" applyBorder="1" applyAlignment="1">
      <alignment vertical="center"/>
    </xf>
    <xf numFmtId="0" fontId="3" fillId="0" borderId="16" xfId="0" applyFont="1" applyBorder="1" applyAlignment="1">
      <alignment vertical="center"/>
    </xf>
    <xf numFmtId="9" fontId="3" fillId="0" borderId="38" xfId="0" applyNumberFormat="1" applyFont="1" applyBorder="1" applyAlignment="1">
      <alignment vertical="center"/>
    </xf>
    <xf numFmtId="0" fontId="0" fillId="0" borderId="0" xfId="0"/>
    <xf numFmtId="0" fontId="0" fillId="0" borderId="0" xfId="0"/>
    <xf numFmtId="0" fontId="0" fillId="0" borderId="0" xfId="0"/>
    <xf numFmtId="0" fontId="1" fillId="2" borderId="25" xfId="0" applyFont="1" applyFill="1" applyBorder="1" applyAlignment="1">
      <alignment horizontal="center" vertical="center"/>
    </xf>
    <xf numFmtId="0" fontId="1" fillId="29" borderId="26" xfId="0" applyFont="1" applyFill="1" applyBorder="1" applyAlignment="1">
      <alignment horizontal="center" vertical="center"/>
    </xf>
    <xf numFmtId="0" fontId="0" fillId="23" borderId="0" xfId="0" applyFill="1" applyBorder="1" applyAlignment="1">
      <alignment vertical="center"/>
    </xf>
    <xf numFmtId="0" fontId="2" fillId="28" borderId="13" xfId="0" applyFont="1" applyFill="1" applyBorder="1" applyAlignment="1">
      <alignment vertical="center"/>
    </xf>
    <xf numFmtId="0" fontId="0" fillId="23" borderId="22" xfId="0" applyFill="1" applyBorder="1" applyAlignment="1">
      <alignment vertical="center"/>
    </xf>
    <xf numFmtId="0" fontId="3" fillId="0" borderId="44" xfId="0" applyFont="1" applyBorder="1" applyAlignment="1">
      <alignment horizontal="right" vertical="center"/>
    </xf>
    <xf numFmtId="0" fontId="2" fillId="0" borderId="0" xfId="0" applyFont="1" applyFill="1" applyBorder="1"/>
    <xf numFmtId="0" fontId="0" fillId="0" borderId="0" xfId="0"/>
    <xf numFmtId="0" fontId="2" fillId="0" borderId="39" xfId="0" applyFont="1" applyFill="1" applyBorder="1" applyAlignment="1">
      <alignment horizontal="right"/>
    </xf>
    <xf numFmtId="0" fontId="3" fillId="0" borderId="36" xfId="0" applyFont="1" applyBorder="1" applyAlignment="1">
      <alignment horizontal="right" vertical="center"/>
    </xf>
    <xf numFmtId="0" fontId="8" fillId="0" borderId="0" xfId="0" applyFont="1" applyFill="1" applyBorder="1" applyAlignment="1">
      <alignment horizontal="left" vertical="center"/>
    </xf>
    <xf numFmtId="0" fontId="0" fillId="0" borderId="16" xfId="0" applyBorder="1"/>
    <xf numFmtId="0" fontId="2" fillId="0" borderId="0" xfId="0" applyFont="1" applyFill="1" applyBorder="1" applyAlignment="1">
      <alignment horizontal="left" vertical="center"/>
    </xf>
    <xf numFmtId="164" fontId="35" fillId="0" borderId="14" xfId="0" applyNumberFormat="1" applyFont="1" applyFill="1" applyBorder="1" applyAlignment="1">
      <alignment horizontal="right" vertical="center"/>
    </xf>
    <xf numFmtId="1" fontId="39" fillId="0" borderId="44" xfId="0" applyNumberFormat="1" applyFont="1" applyBorder="1" applyAlignment="1">
      <alignment horizontal="right" vertical="center"/>
    </xf>
    <xf numFmtId="0" fontId="5" fillId="0" borderId="40" xfId="0" applyNumberFormat="1" applyFont="1" applyBorder="1" applyAlignment="1">
      <alignment horizontal="right" vertical="center"/>
    </xf>
    <xf numFmtId="0" fontId="54" fillId="0" borderId="13" xfId="0" applyFont="1" applyBorder="1" applyAlignment="1">
      <alignment vertical="center"/>
    </xf>
    <xf numFmtId="0" fontId="35" fillId="0" borderId="0" xfId="0" applyFont="1" applyFill="1" applyBorder="1" applyAlignment="1">
      <alignment horizontal="right" vertical="center"/>
    </xf>
    <xf numFmtId="2" fontId="35" fillId="0" borderId="12" xfId="0" applyNumberFormat="1" applyFont="1" applyFill="1" applyBorder="1" applyAlignment="1">
      <alignment horizontal="right" vertical="center"/>
    </xf>
    <xf numFmtId="0" fontId="1" fillId="28" borderId="13" xfId="0" applyFont="1" applyFill="1" applyBorder="1" applyAlignment="1">
      <alignment vertical="center"/>
    </xf>
    <xf numFmtId="2" fontId="35" fillId="0" borderId="39" xfId="0" applyNumberFormat="1" applyFont="1" applyFill="1" applyBorder="1" applyAlignment="1">
      <alignment horizontal="right" vertical="center"/>
    </xf>
    <xf numFmtId="0" fontId="4" fillId="23" borderId="0" xfId="0" applyFont="1" applyFill="1" applyAlignment="1">
      <alignment vertical="center" wrapText="1"/>
    </xf>
    <xf numFmtId="0" fontId="52" fillId="23" borderId="0" xfId="0" applyFont="1" applyFill="1" applyBorder="1" applyAlignment="1">
      <alignment horizontal="left" vertical="center"/>
    </xf>
    <xf numFmtId="0" fontId="52" fillId="23" borderId="12" xfId="0" applyFont="1" applyFill="1" applyBorder="1" applyAlignment="1">
      <alignment horizontal="left" vertical="center"/>
    </xf>
    <xf numFmtId="0" fontId="0" fillId="28" borderId="0" xfId="0" applyFill="1" applyAlignment="1">
      <alignment horizontal="left" vertical="center" wrapText="1"/>
    </xf>
    <xf numFmtId="0" fontId="0" fillId="28" borderId="12" xfId="0" applyFill="1" applyBorder="1" applyAlignment="1">
      <alignment horizontal="left" vertical="center" wrapText="1"/>
    </xf>
    <xf numFmtId="0" fontId="4" fillId="23" borderId="0" xfId="0" applyFont="1" applyFill="1" applyAlignment="1">
      <alignment horizontal="left" vertical="center"/>
    </xf>
    <xf numFmtId="0" fontId="4" fillId="23" borderId="12" xfId="0" applyFont="1" applyFill="1" applyBorder="1" applyAlignment="1">
      <alignment horizontal="left" vertical="center"/>
    </xf>
    <xf numFmtId="0" fontId="4" fillId="23" borderId="0" xfId="0" applyFont="1" applyFill="1" applyAlignment="1">
      <alignment vertical="center"/>
    </xf>
    <xf numFmtId="0" fontId="0" fillId="23" borderId="0" xfId="0" applyFill="1" applyAlignment="1">
      <alignment vertical="center"/>
    </xf>
    <xf numFmtId="0" fontId="4" fillId="23" borderId="0" xfId="0" applyFont="1" applyFill="1" applyAlignment="1">
      <alignment horizontal="left" vertical="center" wrapText="1"/>
    </xf>
    <xf numFmtId="0" fontId="4" fillId="23" borderId="12" xfId="0" applyFont="1" applyFill="1" applyBorder="1" applyAlignment="1">
      <alignment horizontal="left" vertical="center" wrapText="1"/>
    </xf>
    <xf numFmtId="0" fontId="1" fillId="26" borderId="16" xfId="0" applyFont="1" applyFill="1" applyBorder="1" applyAlignment="1">
      <alignment vertical="center"/>
    </xf>
    <xf numFmtId="0" fontId="51" fillId="26" borderId="16" xfId="0" applyFont="1" applyFill="1" applyBorder="1" applyAlignment="1">
      <alignment vertical="center"/>
    </xf>
    <xf numFmtId="0" fontId="51" fillId="26" borderId="25" xfId="0" applyFont="1" applyFill="1" applyBorder="1" applyAlignment="1">
      <alignment vertical="center"/>
    </xf>
    <xf numFmtId="0" fontId="1" fillId="2" borderId="26" xfId="0" applyFont="1" applyFill="1" applyBorder="1" applyAlignment="1">
      <alignment horizontal="center" vertical="center"/>
    </xf>
    <xf numFmtId="0" fontId="1" fillId="2" borderId="25"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25" xfId="0" applyFont="1" applyFill="1" applyBorder="1" applyAlignment="1">
      <alignment horizontal="center" vertical="center"/>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0" fillId="26" borderId="16" xfId="0" applyFill="1" applyBorder="1" applyAlignment="1">
      <alignment vertical="center"/>
    </xf>
    <xf numFmtId="0" fontId="0" fillId="26" borderId="25" xfId="0" applyFill="1" applyBorder="1" applyAlignment="1">
      <alignment vertical="center"/>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1" fillId="2" borderId="16" xfId="0" applyFont="1" applyFill="1" applyBorder="1" applyAlignment="1">
      <alignment horizontal="center" vertical="center"/>
    </xf>
    <xf numFmtId="0" fontId="2" fillId="28" borderId="28" xfId="0" applyFont="1" applyFill="1" applyBorder="1" applyAlignment="1">
      <alignment horizontal="left" vertical="center" wrapText="1"/>
    </xf>
    <xf numFmtId="0" fontId="2" fillId="28" borderId="22" xfId="0" applyFont="1" applyFill="1" applyBorder="1" applyAlignment="1">
      <alignment horizontal="left" vertical="center" wrapText="1"/>
    </xf>
    <xf numFmtId="0" fontId="2" fillId="28" borderId="23" xfId="0" applyFont="1" applyFill="1" applyBorder="1" applyAlignment="1">
      <alignment horizontal="left" vertical="center" wrapText="1"/>
    </xf>
    <xf numFmtId="0" fontId="2" fillId="28" borderId="13" xfId="0" applyFont="1" applyFill="1" applyBorder="1" applyAlignment="1">
      <alignment horizontal="left" vertical="center" wrapText="1"/>
    </xf>
    <xf numFmtId="0" fontId="2" fillId="28" borderId="0" xfId="0" applyFont="1" applyFill="1" applyBorder="1" applyAlignment="1">
      <alignment horizontal="left" vertical="center" wrapText="1"/>
    </xf>
    <xf numFmtId="0" fontId="2" fillId="28" borderId="12" xfId="0" applyFont="1" applyFill="1" applyBorder="1" applyAlignment="1">
      <alignment horizontal="left" vertical="center" wrapText="1"/>
    </xf>
    <xf numFmtId="0" fontId="11" fillId="23" borderId="13" xfId="0" applyFont="1" applyFill="1" applyBorder="1" applyAlignment="1">
      <alignment horizontal="left" vertical="center"/>
    </xf>
    <xf numFmtId="0" fontId="11" fillId="23" borderId="0" xfId="0" applyFont="1" applyFill="1" applyBorder="1" applyAlignment="1">
      <alignment horizontal="left" vertical="center"/>
    </xf>
    <xf numFmtId="0" fontId="0" fillId="0" borderId="0" xfId="0"/>
    <xf numFmtId="0" fontId="0" fillId="0" borderId="12" xfId="0" applyBorder="1"/>
    <xf numFmtId="0" fontId="11" fillId="23" borderId="0" xfId="0" applyFont="1" applyFill="1" applyBorder="1" applyAlignment="1">
      <alignment vertical="center"/>
    </xf>
    <xf numFmtId="0" fontId="1" fillId="30" borderId="14" xfId="0" applyFont="1" applyFill="1" applyBorder="1" applyAlignment="1">
      <alignment horizontal="center" vertical="center" wrapText="1"/>
    </xf>
    <xf numFmtId="0" fontId="0" fillId="30" borderId="11" xfId="0" applyFill="1" applyBorder="1" applyAlignment="1">
      <alignment vertical="center"/>
    </xf>
    <xf numFmtId="0" fontId="1" fillId="30" borderId="23" xfId="0" applyFont="1" applyFill="1" applyBorder="1" applyAlignment="1">
      <alignment horizontal="center" vertical="center"/>
    </xf>
    <xf numFmtId="0" fontId="0" fillId="30" borderId="15" xfId="0" applyFill="1" applyBorder="1" applyAlignment="1">
      <alignment vertical="center"/>
    </xf>
    <xf numFmtId="0" fontId="18" fillId="2" borderId="16" xfId="0" applyFont="1" applyFill="1" applyBorder="1" applyAlignment="1">
      <alignment horizontal="center" vertical="center"/>
    </xf>
    <xf numFmtId="0" fontId="0" fillId="28" borderId="27" xfId="0" applyFill="1" applyBorder="1" applyAlignment="1">
      <alignment horizontal="left" vertical="center"/>
    </xf>
    <xf numFmtId="0" fontId="0" fillId="28" borderId="15" xfId="0" applyFill="1" applyBorder="1" applyAlignment="1">
      <alignment horizontal="left" vertical="center"/>
    </xf>
    <xf numFmtId="0" fontId="1" fillId="30" borderId="16" xfId="0" applyFont="1" applyFill="1" applyBorder="1" applyAlignment="1">
      <alignment horizontal="center" vertical="center"/>
    </xf>
    <xf numFmtId="0" fontId="1" fillId="30" borderId="25" xfId="0" applyFont="1" applyFill="1" applyBorder="1" applyAlignment="1">
      <alignment horizontal="center" vertical="center"/>
    </xf>
    <xf numFmtId="0" fontId="1" fillId="24" borderId="16" xfId="0" applyFont="1" applyFill="1" applyBorder="1" applyAlignment="1">
      <alignment horizontal="center" vertical="center"/>
    </xf>
    <xf numFmtId="0" fontId="0" fillId="24" borderId="25" xfId="0" applyFill="1" applyBorder="1" applyAlignment="1">
      <alignment horizontal="center" vertical="center"/>
    </xf>
    <xf numFmtId="0" fontId="1" fillId="24" borderId="26" xfId="0" applyFont="1" applyFill="1" applyBorder="1" applyAlignment="1">
      <alignment horizontal="center" vertical="center"/>
    </xf>
    <xf numFmtId="0" fontId="2" fillId="28" borderId="21" xfId="0" applyFont="1" applyFill="1" applyBorder="1" applyAlignment="1">
      <alignment horizontal="left" vertical="center" wrapText="1"/>
    </xf>
    <xf numFmtId="0" fontId="2" fillId="28" borderId="27" xfId="0" applyFont="1" applyFill="1" applyBorder="1" applyAlignment="1">
      <alignment horizontal="left" vertical="center" wrapText="1"/>
    </xf>
    <xf numFmtId="0" fontId="2" fillId="28" borderId="15" xfId="0" applyFont="1" applyFill="1" applyBorder="1" applyAlignment="1">
      <alignment horizontal="left" vertical="center" wrapText="1"/>
    </xf>
    <xf numFmtId="0" fontId="1" fillId="27" borderId="26" xfId="0" applyFont="1" applyFill="1" applyBorder="1" applyAlignment="1">
      <alignment horizontal="left" vertical="center"/>
    </xf>
    <xf numFmtId="0" fontId="1" fillId="27" borderId="16" xfId="0" applyFont="1" applyFill="1" applyBorder="1" applyAlignment="1">
      <alignment horizontal="left" vertical="center"/>
    </xf>
    <xf numFmtId="0" fontId="1" fillId="27" borderId="25" xfId="0" applyFont="1" applyFill="1" applyBorder="1" applyAlignment="1">
      <alignment horizontal="left" vertical="center"/>
    </xf>
    <xf numFmtId="0" fontId="1" fillId="27" borderId="16" xfId="0" applyFont="1" applyFill="1" applyBorder="1" applyAlignment="1">
      <alignment vertical="center"/>
    </xf>
    <xf numFmtId="0" fontId="35" fillId="27" borderId="16" xfId="0" applyFont="1" applyFill="1" applyBorder="1" applyAlignment="1">
      <alignment vertical="center"/>
    </xf>
    <xf numFmtId="0" fontId="35" fillId="27" borderId="25" xfId="0" applyFont="1" applyFill="1" applyBorder="1" applyAlignment="1">
      <alignment vertical="center"/>
    </xf>
    <xf numFmtId="0" fontId="4" fillId="23" borderId="13" xfId="0" applyFont="1" applyFill="1" applyBorder="1" applyAlignment="1">
      <alignment horizontal="left" vertical="center"/>
    </xf>
    <xf numFmtId="0" fontId="4" fillId="23" borderId="0" xfId="0" applyFont="1" applyFill="1" applyBorder="1" applyAlignment="1">
      <alignment horizontal="left" vertical="center"/>
    </xf>
    <xf numFmtId="0" fontId="1" fillId="24" borderId="16" xfId="0" applyFont="1" applyFill="1" applyBorder="1" applyAlignment="1">
      <alignment vertical="center"/>
    </xf>
    <xf numFmtId="0" fontId="35" fillId="0" borderId="16" xfId="0" applyFont="1" applyBorder="1" applyAlignment="1">
      <alignment vertical="center"/>
    </xf>
    <xf numFmtId="0" fontId="35" fillId="0" borderId="25" xfId="0" applyFont="1" applyBorder="1" applyAlignment="1">
      <alignment vertical="center"/>
    </xf>
    <xf numFmtId="0" fontId="1" fillId="24" borderId="25" xfId="0" applyFont="1" applyFill="1" applyBorder="1" applyAlignment="1">
      <alignment horizontal="center" vertical="center"/>
    </xf>
    <xf numFmtId="0" fontId="4" fillId="23" borderId="0" xfId="0" applyFont="1" applyFill="1" applyBorder="1" applyAlignment="1">
      <alignment horizontal="left" vertical="center" wrapText="1"/>
    </xf>
    <xf numFmtId="0" fontId="0" fillId="23" borderId="10" xfId="0" applyFill="1" applyBorder="1" applyAlignment="1">
      <alignment horizontal="right" vertical="center"/>
    </xf>
    <xf numFmtId="0" fontId="0" fillId="23" borderId="11" xfId="0" applyFill="1" applyBorder="1" applyAlignment="1">
      <alignment horizontal="right" vertical="center"/>
    </xf>
    <xf numFmtId="0" fontId="0" fillId="0" borderId="23" xfId="0" applyFill="1" applyBorder="1" applyAlignment="1">
      <alignment horizontal="right" vertical="center"/>
    </xf>
    <xf numFmtId="0" fontId="0" fillId="0" borderId="15" xfId="0" applyFill="1" applyBorder="1" applyAlignment="1">
      <alignment horizontal="right" vertical="center"/>
    </xf>
    <xf numFmtId="167" fontId="3" fillId="0" borderId="71" xfId="0" applyNumberFormat="1" applyFont="1" applyBorder="1" applyAlignment="1">
      <alignment horizontal="right" vertical="center"/>
    </xf>
    <xf numFmtId="167" fontId="3" fillId="0" borderId="11" xfId="0" applyNumberFormat="1" applyFont="1" applyBorder="1" applyAlignment="1">
      <alignment horizontal="right" vertical="center"/>
    </xf>
    <xf numFmtId="0" fontId="1" fillId="0" borderId="14" xfId="0" applyFont="1" applyBorder="1" applyAlignment="1">
      <alignment horizontal="left" vertical="center" wrapText="1"/>
    </xf>
    <xf numFmtId="0" fontId="1" fillId="0" borderId="11" xfId="0" applyFont="1" applyBorder="1" applyAlignment="1">
      <alignment horizontal="left" vertical="center" wrapText="1"/>
    </xf>
    <xf numFmtId="1" fontId="3" fillId="0" borderId="71" xfId="0" applyNumberFormat="1" applyFont="1" applyBorder="1" applyAlignment="1">
      <alignment horizontal="right" vertical="center"/>
    </xf>
    <xf numFmtId="1" fontId="3" fillId="0" borderId="11" xfId="0" applyNumberFormat="1" applyFont="1" applyBorder="1" applyAlignment="1">
      <alignment horizontal="right" vertical="center"/>
    </xf>
    <xf numFmtId="167" fontId="35" fillId="0" borderId="71" xfId="0" applyNumberFormat="1" applyFont="1" applyBorder="1" applyAlignment="1">
      <alignment horizontal="right" vertical="center"/>
    </xf>
    <xf numFmtId="167" fontId="35" fillId="0" borderId="11" xfId="0" applyNumberFormat="1" applyFont="1" applyBorder="1" applyAlignment="1">
      <alignment horizontal="right" vertical="center"/>
    </xf>
    <xf numFmtId="0" fontId="3" fillId="0" borderId="26" xfId="0" applyFont="1" applyFill="1" applyBorder="1" applyAlignment="1">
      <alignment horizontal="left" vertical="center"/>
    </xf>
    <xf numFmtId="0" fontId="3" fillId="0" borderId="25" xfId="0" applyFont="1" applyFill="1" applyBorder="1" applyAlignment="1">
      <alignment horizontal="left" vertical="center"/>
    </xf>
    <xf numFmtId="0" fontId="35" fillId="23" borderId="26" xfId="0" applyFont="1" applyFill="1" applyBorder="1" applyAlignment="1">
      <alignment horizontal="right" vertical="center"/>
    </xf>
    <xf numFmtId="0" fontId="35" fillId="23" borderId="25" xfId="0" applyFont="1" applyFill="1" applyBorder="1" applyAlignment="1">
      <alignment horizontal="right" vertical="center"/>
    </xf>
    <xf numFmtId="0" fontId="1" fillId="27" borderId="26" xfId="0" applyFont="1" applyFill="1" applyBorder="1" applyAlignment="1">
      <alignment horizontal="center" vertical="center"/>
    </xf>
    <xf numFmtId="0" fontId="1" fillId="27" borderId="16" xfId="0" applyFont="1" applyFill="1" applyBorder="1" applyAlignment="1">
      <alignment horizontal="center" vertical="center"/>
    </xf>
    <xf numFmtId="0" fontId="1" fillId="27" borderId="25" xfId="0" applyFont="1" applyFill="1" applyBorder="1" applyAlignment="1">
      <alignment horizontal="center" vertical="center"/>
    </xf>
    <xf numFmtId="0" fontId="8" fillId="0" borderId="49" xfId="0" applyFont="1" applyFill="1" applyBorder="1" applyAlignment="1">
      <alignment horizontal="left" vertical="center"/>
    </xf>
    <xf numFmtId="0" fontId="8" fillId="0" borderId="50" xfId="0" applyFont="1" applyFill="1" applyBorder="1" applyAlignment="1">
      <alignment horizontal="left" vertical="center"/>
    </xf>
    <xf numFmtId="0" fontId="8" fillId="0" borderId="41" xfId="0" applyFont="1" applyFill="1" applyBorder="1" applyAlignment="1">
      <alignment horizontal="left" vertical="center"/>
    </xf>
    <xf numFmtId="0" fontId="8" fillId="0" borderId="51" xfId="0" applyFont="1" applyFill="1" applyBorder="1" applyAlignment="1">
      <alignment horizontal="left" vertical="center"/>
    </xf>
    <xf numFmtId="0" fontId="8" fillId="0" borderId="52" xfId="0" applyFont="1" applyFill="1" applyBorder="1" applyAlignment="1">
      <alignment horizontal="left" vertical="center"/>
    </xf>
    <xf numFmtId="0" fontId="8" fillId="0" borderId="36" xfId="0" applyFont="1" applyFill="1" applyBorder="1" applyAlignment="1">
      <alignment horizontal="left" vertical="center"/>
    </xf>
    <xf numFmtId="0" fontId="8" fillId="0" borderId="26" xfId="0" applyFont="1" applyFill="1" applyBorder="1" applyAlignment="1">
      <alignment horizontal="left" vertical="center"/>
    </xf>
    <xf numFmtId="0" fontId="8" fillId="0" borderId="16" xfId="0" applyFont="1" applyFill="1" applyBorder="1" applyAlignment="1">
      <alignment horizontal="left" vertical="center"/>
    </xf>
    <xf numFmtId="0" fontId="8" fillId="0" borderId="25" xfId="0" applyFont="1" applyFill="1" applyBorder="1" applyAlignment="1">
      <alignment horizontal="left" vertical="center"/>
    </xf>
    <xf numFmtId="0" fontId="8" fillId="0" borderId="13"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1" fillId="24" borderId="26" xfId="0" applyFont="1" applyFill="1" applyBorder="1" applyAlignment="1">
      <alignment horizontal="left" vertical="center"/>
    </xf>
    <xf numFmtId="0" fontId="1" fillId="24" borderId="16" xfId="0" applyFont="1" applyFill="1" applyBorder="1" applyAlignment="1">
      <alignment horizontal="left" vertical="center"/>
    </xf>
    <xf numFmtId="0" fontId="1" fillId="24" borderId="25" xfId="0" applyFont="1" applyFill="1" applyBorder="1" applyAlignment="1">
      <alignment horizontal="left" vertical="center"/>
    </xf>
    <xf numFmtId="0" fontId="2" fillId="0" borderId="49" xfId="0" applyFont="1" applyFill="1" applyBorder="1" applyAlignment="1">
      <alignment horizontal="left" vertical="center"/>
    </xf>
    <xf numFmtId="0" fontId="2" fillId="0" borderId="41" xfId="0" applyFont="1" applyFill="1" applyBorder="1" applyAlignment="1">
      <alignment horizontal="left"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53" xfId="0" applyFont="1" applyBorder="1" applyAlignment="1">
      <alignment horizontal="left" vertical="center"/>
    </xf>
    <xf numFmtId="0" fontId="2" fillId="0" borderId="37" xfId="0" applyFont="1" applyBorder="1" applyAlignment="1">
      <alignment horizontal="left" vertical="center"/>
    </xf>
    <xf numFmtId="0" fontId="2" fillId="0" borderId="51" xfId="0" applyFont="1" applyFill="1" applyBorder="1" applyAlignment="1">
      <alignment horizontal="left" vertical="center"/>
    </xf>
    <xf numFmtId="0" fontId="2" fillId="0" borderId="36" xfId="0" applyFont="1" applyFill="1" applyBorder="1" applyAlignment="1">
      <alignment horizontal="left" vertical="center"/>
    </xf>
    <xf numFmtId="0" fontId="2" fillId="0" borderId="77" xfId="0" applyFont="1" applyFill="1" applyBorder="1" applyAlignment="1">
      <alignment horizontal="left" vertical="center"/>
    </xf>
    <xf numFmtId="0" fontId="8" fillId="0" borderId="78" xfId="0" applyFont="1" applyFill="1" applyBorder="1" applyAlignment="1">
      <alignment horizontal="left" vertical="center"/>
    </xf>
    <xf numFmtId="0" fontId="8" fillId="0" borderId="79" xfId="0" applyFont="1" applyFill="1" applyBorder="1" applyAlignment="1">
      <alignment horizontal="left" vertical="center"/>
    </xf>
    <xf numFmtId="0" fontId="8" fillId="0" borderId="77" xfId="0" applyFont="1" applyFill="1" applyBorder="1" applyAlignment="1">
      <alignment horizontal="left" vertical="center"/>
    </xf>
    <xf numFmtId="0" fontId="8" fillId="0" borderId="28" xfId="0" applyFont="1" applyFill="1" applyBorder="1" applyAlignment="1">
      <alignment horizontal="left" vertical="center"/>
    </xf>
    <xf numFmtId="0" fontId="8" fillId="0" borderId="22" xfId="0" applyFont="1" applyFill="1" applyBorder="1" applyAlignment="1">
      <alignment horizontal="left" vertical="center"/>
    </xf>
    <xf numFmtId="0" fontId="8" fillId="0" borderId="23" xfId="0" applyFont="1" applyFill="1" applyBorder="1" applyAlignment="1">
      <alignment horizontal="left" vertical="center"/>
    </xf>
    <xf numFmtId="0" fontId="1" fillId="24" borderId="28" xfId="0" applyFont="1" applyFill="1" applyBorder="1" applyAlignment="1">
      <alignment horizontal="center" vertical="center"/>
    </xf>
    <xf numFmtId="0" fontId="1" fillId="24" borderId="22" xfId="0" applyFont="1" applyFill="1" applyBorder="1" applyAlignment="1">
      <alignment horizontal="center" vertical="center"/>
    </xf>
    <xf numFmtId="0" fontId="1" fillId="24" borderId="23" xfId="0" applyFont="1" applyFill="1" applyBorder="1" applyAlignment="1">
      <alignment horizontal="center" vertical="center"/>
    </xf>
    <xf numFmtId="0" fontId="2" fillId="0" borderId="28" xfId="0" applyFont="1" applyFill="1" applyBorder="1" applyAlignment="1">
      <alignment horizontal="left" vertical="center"/>
    </xf>
    <xf numFmtId="0" fontId="35" fillId="0" borderId="21" xfId="0" applyFont="1" applyFill="1" applyBorder="1" applyAlignment="1">
      <alignment horizontal="right" vertical="center"/>
    </xf>
    <xf numFmtId="0" fontId="0" fillId="0" borderId="27" xfId="0" applyBorder="1"/>
    <xf numFmtId="0" fontId="0" fillId="0" borderId="15" xfId="0" applyBorder="1"/>
    <xf numFmtId="0" fontId="35" fillId="0" borderId="28" xfId="0" applyFont="1" applyFill="1" applyBorder="1" applyAlignment="1">
      <alignment horizontal="right" vertical="center"/>
    </xf>
    <xf numFmtId="0" fontId="0" fillId="0" borderId="22" xfId="0" applyBorder="1"/>
    <xf numFmtId="0" fontId="0" fillId="0" borderId="23" xfId="0" applyBorder="1"/>
    <xf numFmtId="0" fontId="35" fillId="0" borderId="54" xfId="0" applyFont="1" applyFill="1" applyBorder="1" applyAlignment="1">
      <alignment horizontal="right" vertical="center"/>
    </xf>
    <xf numFmtId="0" fontId="0" fillId="0" borderId="55" xfId="0" applyBorder="1"/>
    <xf numFmtId="0" fontId="0" fillId="0" borderId="47" xfId="0" applyBorder="1"/>
    <xf numFmtId="0" fontId="0" fillId="0" borderId="16" xfId="0" applyBorder="1"/>
    <xf numFmtId="0" fontId="0" fillId="0" borderId="25" xfId="0" applyBorder="1"/>
    <xf numFmtId="0" fontId="3" fillId="28" borderId="42" xfId="0" applyFont="1" applyFill="1" applyBorder="1" applyAlignment="1">
      <alignment horizontal="right" vertical="center"/>
    </xf>
    <xf numFmtId="0" fontId="3" fillId="28" borderId="45" xfId="0" applyFont="1" applyFill="1" applyBorder="1" applyAlignment="1">
      <alignment horizontal="right" vertical="center"/>
    </xf>
    <xf numFmtId="0" fontId="2" fillId="28" borderId="51" xfId="0" applyFont="1" applyFill="1" applyBorder="1" applyAlignment="1">
      <alignment horizontal="left" vertical="center"/>
    </xf>
    <xf numFmtId="0" fontId="2" fillId="28" borderId="52" xfId="0" applyFont="1" applyFill="1" applyBorder="1" applyAlignment="1">
      <alignment horizontal="left" vertical="center"/>
    </xf>
    <xf numFmtId="0" fontId="2" fillId="28" borderId="36" xfId="0" applyFont="1" applyFill="1" applyBorder="1" applyAlignment="1">
      <alignment horizontal="left" vertical="center"/>
    </xf>
    <xf numFmtId="0" fontId="2" fillId="28" borderId="49" xfId="0" applyFont="1" applyFill="1" applyBorder="1" applyAlignment="1">
      <alignment horizontal="left" vertical="center"/>
    </xf>
    <xf numFmtId="0" fontId="2" fillId="28" borderId="50" xfId="0" applyFont="1" applyFill="1" applyBorder="1" applyAlignment="1">
      <alignment horizontal="left" vertical="center"/>
    </xf>
    <xf numFmtId="0" fontId="2" fillId="28" borderId="41" xfId="0" applyFont="1" applyFill="1" applyBorder="1" applyAlignment="1">
      <alignment horizontal="left" vertical="center"/>
    </xf>
    <xf numFmtId="0" fontId="3" fillId="28" borderId="52" xfId="0" applyFont="1" applyFill="1" applyBorder="1" applyAlignment="1">
      <alignment horizontal="right" vertical="center"/>
    </xf>
    <xf numFmtId="0" fontId="3" fillId="28" borderId="36" xfId="0" applyFont="1" applyFill="1" applyBorder="1" applyAlignment="1">
      <alignment horizontal="right" vertical="center"/>
    </xf>
    <xf numFmtId="0" fontId="2" fillId="28" borderId="28" xfId="0" applyFont="1" applyFill="1" applyBorder="1" applyAlignment="1">
      <alignment horizontal="left" vertical="center"/>
    </xf>
    <xf numFmtId="0" fontId="2" fillId="28" borderId="22" xfId="0" applyFont="1" applyFill="1" applyBorder="1" applyAlignment="1">
      <alignment horizontal="left" vertical="center"/>
    </xf>
    <xf numFmtId="0" fontId="2" fillId="0" borderId="52" xfId="0" applyFont="1" applyFill="1" applyBorder="1" applyAlignment="1">
      <alignment horizontal="left" vertical="center"/>
    </xf>
    <xf numFmtId="0" fontId="3" fillId="28" borderId="49" xfId="0" applyFont="1" applyFill="1" applyBorder="1" applyAlignment="1">
      <alignment horizontal="right" vertical="center"/>
    </xf>
    <xf numFmtId="0" fontId="3" fillId="28" borderId="50" xfId="0" applyFont="1" applyFill="1" applyBorder="1" applyAlignment="1">
      <alignment horizontal="right" vertical="center"/>
    </xf>
    <xf numFmtId="0" fontId="3" fillId="28" borderId="41"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2" xfId="0" applyFont="1" applyFill="1" applyBorder="1" applyAlignment="1">
      <alignment horizontal="right" vertical="center"/>
    </xf>
    <xf numFmtId="0" fontId="3" fillId="0" borderId="36" xfId="0" applyFont="1" applyFill="1" applyBorder="1" applyAlignment="1">
      <alignment horizontal="right" vertical="center"/>
    </xf>
    <xf numFmtId="165" fontId="3" fillId="0" borderId="21" xfId="0" applyNumberFormat="1" applyFont="1" applyFill="1" applyBorder="1" applyAlignment="1">
      <alignment horizontal="right" vertical="center"/>
    </xf>
    <xf numFmtId="165" fontId="3" fillId="0" borderId="27" xfId="0" applyNumberFormat="1" applyFont="1" applyFill="1" applyBorder="1" applyAlignment="1">
      <alignment horizontal="right" vertical="center"/>
    </xf>
    <xf numFmtId="165" fontId="3" fillId="0" borderId="15" xfId="0" applyNumberFormat="1" applyFont="1" applyFill="1" applyBorder="1" applyAlignment="1">
      <alignment horizontal="right" vertical="center"/>
    </xf>
    <xf numFmtId="0" fontId="2" fillId="0" borderId="21" xfId="0" applyFont="1" applyFill="1" applyBorder="1" applyAlignment="1">
      <alignment horizontal="left" vertical="center"/>
    </xf>
    <xf numFmtId="0" fontId="2" fillId="0" borderId="27" xfId="0" applyFont="1" applyFill="1" applyBorder="1" applyAlignment="1">
      <alignment horizontal="left" vertical="center"/>
    </xf>
    <xf numFmtId="0" fontId="2" fillId="0" borderId="15" xfId="0" applyFont="1" applyFill="1" applyBorder="1" applyAlignment="1">
      <alignment horizontal="left" vertical="center"/>
    </xf>
    <xf numFmtId="0" fontId="3" fillId="28" borderId="22" xfId="0" applyFont="1" applyFill="1" applyBorder="1" applyAlignment="1">
      <alignment horizontal="right" vertical="center"/>
    </xf>
    <xf numFmtId="0" fontId="3" fillId="28" borderId="23" xfId="0" applyFont="1" applyFill="1" applyBorder="1" applyAlignment="1">
      <alignment horizontal="right" vertical="center"/>
    </xf>
    <xf numFmtId="0" fontId="2" fillId="0" borderId="50" xfId="0" applyFont="1" applyFill="1" applyBorder="1" applyAlignment="1">
      <alignment horizontal="left" vertical="center"/>
    </xf>
    <xf numFmtId="0" fontId="2" fillId="0" borderId="69" xfId="0" applyFont="1" applyFill="1" applyBorder="1" applyAlignment="1">
      <alignment horizontal="left" vertical="center"/>
    </xf>
    <xf numFmtId="0" fontId="2" fillId="0" borderId="37" xfId="0" applyFont="1" applyFill="1" applyBorder="1" applyAlignment="1">
      <alignment horizontal="left" vertical="center"/>
    </xf>
    <xf numFmtId="0" fontId="2" fillId="0" borderId="52" xfId="0" applyFont="1" applyBorder="1" applyAlignment="1">
      <alignment horizontal="left" vertical="center"/>
    </xf>
    <xf numFmtId="0" fontId="2" fillId="0" borderId="36" xfId="0" applyFont="1" applyBorder="1" applyAlignment="1">
      <alignment horizontal="left" vertical="center"/>
    </xf>
    <xf numFmtId="0" fontId="3" fillId="0" borderId="22" xfId="0" applyFont="1" applyFill="1" applyBorder="1" applyAlignment="1">
      <alignment horizontal="right" vertical="center"/>
    </xf>
    <xf numFmtId="0" fontId="3" fillId="0" borderId="23" xfId="0" applyFont="1" applyFill="1" applyBorder="1" applyAlignment="1">
      <alignment horizontal="right" vertical="center"/>
    </xf>
    <xf numFmtId="174" fontId="3" fillId="0" borderId="39" xfId="0" applyNumberFormat="1" applyFont="1" applyFill="1" applyBorder="1" applyAlignment="1">
      <alignment horizontal="right" vertical="center"/>
    </xf>
    <xf numFmtId="174" fontId="3" fillId="0" borderId="37" xfId="0" applyNumberFormat="1" applyFont="1" applyFill="1" applyBorder="1" applyAlignment="1">
      <alignment horizontal="right" vertical="center"/>
    </xf>
    <xf numFmtId="0" fontId="3" fillId="0" borderId="28" xfId="0" applyFont="1" applyFill="1" applyBorder="1" applyAlignment="1">
      <alignment horizontal="right" vertical="center"/>
    </xf>
    <xf numFmtId="0" fontId="3" fillId="0" borderId="51" xfId="0" applyFont="1" applyBorder="1" applyAlignment="1">
      <alignment horizontal="right" vertical="center"/>
    </xf>
    <xf numFmtId="0" fontId="3" fillId="0" borderId="36" xfId="0" applyFont="1" applyBorder="1" applyAlignment="1">
      <alignment horizontal="right" vertical="center"/>
    </xf>
    <xf numFmtId="0" fontId="1" fillId="29" borderId="28" xfId="0" applyFont="1" applyFill="1" applyBorder="1" applyAlignment="1">
      <alignment horizontal="center"/>
    </xf>
    <xf numFmtId="0" fontId="1" fillId="29" borderId="22" xfId="0" applyFont="1" applyFill="1" applyBorder="1" applyAlignment="1">
      <alignment horizontal="center"/>
    </xf>
    <xf numFmtId="0" fontId="1" fillId="29" borderId="23" xfId="0" applyFont="1" applyFill="1" applyBorder="1" applyAlignment="1">
      <alignment horizontal="center"/>
    </xf>
    <xf numFmtId="0" fontId="1" fillId="29" borderId="28" xfId="0" applyFont="1" applyFill="1" applyBorder="1" applyAlignment="1">
      <alignment horizontal="center" vertical="center"/>
    </xf>
    <xf numFmtId="0" fontId="1" fillId="29" borderId="22"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15" xfId="0" applyFont="1" applyFill="1" applyBorder="1" applyAlignment="1">
      <alignment horizontal="center" vertical="center"/>
    </xf>
    <xf numFmtId="0" fontId="1" fillId="29" borderId="14" xfId="0" applyFont="1" applyFill="1" applyBorder="1" applyAlignment="1">
      <alignment horizontal="center" vertical="center" wrapText="1"/>
    </xf>
    <xf numFmtId="0" fontId="1" fillId="29" borderId="11" xfId="0" applyFont="1" applyFill="1" applyBorder="1" applyAlignment="1">
      <alignment horizontal="center" vertical="center" wrapText="1"/>
    </xf>
    <xf numFmtId="0" fontId="1" fillId="29" borderId="26" xfId="0" applyFont="1" applyFill="1" applyBorder="1" applyAlignment="1">
      <alignment horizontal="center"/>
    </xf>
    <xf numFmtId="0" fontId="1" fillId="29" borderId="16" xfId="0" applyFont="1" applyFill="1" applyBorder="1" applyAlignment="1">
      <alignment horizontal="center"/>
    </xf>
    <xf numFmtId="0" fontId="1" fillId="29" borderId="25" xfId="0" applyFont="1" applyFill="1" applyBorder="1" applyAlignment="1">
      <alignment horizontal="center"/>
    </xf>
    <xf numFmtId="0" fontId="1" fillId="29" borderId="16" xfId="0" applyFont="1" applyFill="1" applyBorder="1" applyAlignment="1">
      <alignment horizontal="center" vertical="center"/>
    </xf>
    <xf numFmtId="0" fontId="1" fillId="29" borderId="25" xfId="0" applyFont="1" applyFill="1" applyBorder="1" applyAlignment="1">
      <alignment horizontal="center" vertical="center"/>
    </xf>
    <xf numFmtId="0" fontId="3" fillId="0" borderId="16" xfId="0" applyFont="1" applyFill="1" applyBorder="1" applyAlignment="1">
      <alignment horizontal="left" vertical="center"/>
    </xf>
    <xf numFmtId="2" fontId="3" fillId="0" borderId="26" xfId="0" applyNumberFormat="1" applyFont="1" applyFill="1" applyBorder="1" applyAlignment="1">
      <alignment horizontal="right" vertical="center"/>
    </xf>
    <xf numFmtId="2" fontId="3" fillId="0" borderId="16" xfId="0" applyNumberFormat="1" applyFont="1" applyFill="1" applyBorder="1" applyAlignment="1">
      <alignment horizontal="right" vertical="center"/>
    </xf>
    <xf numFmtId="2" fontId="3" fillId="0" borderId="25" xfId="0" applyNumberFormat="1" applyFont="1" applyFill="1" applyBorder="1" applyAlignment="1">
      <alignment horizontal="right" vertical="center"/>
    </xf>
    <xf numFmtId="2" fontId="3" fillId="0" borderId="69" xfId="0" applyNumberFormat="1" applyFont="1" applyBorder="1" applyAlignment="1">
      <alignment horizontal="right" vertical="center"/>
    </xf>
    <xf numFmtId="2" fontId="3" fillId="0" borderId="37" xfId="0" applyNumberFormat="1" applyFont="1" applyBorder="1" applyAlignment="1">
      <alignment horizontal="right" vertical="center"/>
    </xf>
    <xf numFmtId="0" fontId="2" fillId="28" borderId="28" xfId="0" applyFont="1" applyFill="1" applyBorder="1" applyAlignment="1">
      <alignment horizontal="left" wrapText="1"/>
    </xf>
    <xf numFmtId="0" fontId="2" fillId="28" borderId="22" xfId="0" applyFont="1" applyFill="1" applyBorder="1" applyAlignment="1">
      <alignment horizontal="left" wrapText="1"/>
    </xf>
    <xf numFmtId="0" fontId="2" fillId="28" borderId="23" xfId="0" applyFont="1" applyFill="1" applyBorder="1" applyAlignment="1">
      <alignment horizontal="left" wrapText="1"/>
    </xf>
    <xf numFmtId="0" fontId="2" fillId="28" borderId="21" xfId="0" applyFont="1" applyFill="1" applyBorder="1" applyAlignment="1">
      <alignment horizontal="left" wrapText="1"/>
    </xf>
    <xf numFmtId="0" fontId="2" fillId="28" borderId="27" xfId="0" applyFont="1" applyFill="1" applyBorder="1" applyAlignment="1">
      <alignment horizontal="left" wrapText="1"/>
    </xf>
    <xf numFmtId="0" fontId="2" fillId="28" borderId="15" xfId="0" applyFont="1" applyFill="1" applyBorder="1" applyAlignment="1">
      <alignment horizontal="left" wrapText="1"/>
    </xf>
    <xf numFmtId="0" fontId="1" fillId="27" borderId="26" xfId="0" applyFont="1" applyFill="1" applyBorder="1" applyAlignment="1">
      <alignment horizontal="left"/>
    </xf>
    <xf numFmtId="0" fontId="1" fillId="27" borderId="16" xfId="0" applyFont="1" applyFill="1" applyBorder="1" applyAlignment="1">
      <alignment horizontal="left"/>
    </xf>
    <xf numFmtId="0" fontId="1" fillId="27" borderId="25" xfId="0" applyFont="1" applyFill="1" applyBorder="1" applyAlignment="1">
      <alignment horizontal="left"/>
    </xf>
    <xf numFmtId="0" fontId="1" fillId="27" borderId="16" xfId="0" applyFont="1" applyFill="1" applyBorder="1" applyAlignment="1">
      <alignment horizontal="center"/>
    </xf>
    <xf numFmtId="0" fontId="1" fillId="27" borderId="25" xfId="0" applyFont="1" applyFill="1" applyBorder="1" applyAlignment="1">
      <alignment horizontal="center"/>
    </xf>
    <xf numFmtId="1" fontId="3" fillId="0" borderId="26" xfId="0" applyNumberFormat="1" applyFont="1" applyFill="1" applyBorder="1" applyAlignment="1">
      <alignment horizontal="right" vertical="center"/>
    </xf>
    <xf numFmtId="1" fontId="3" fillId="0" borderId="16" xfId="0" applyNumberFormat="1" applyFont="1" applyFill="1" applyBorder="1" applyAlignment="1">
      <alignment horizontal="right" vertical="center"/>
    </xf>
    <xf numFmtId="1" fontId="3" fillId="0" borderId="25" xfId="0" applyNumberFormat="1" applyFont="1" applyFill="1" applyBorder="1" applyAlignment="1">
      <alignment horizontal="right" vertical="center"/>
    </xf>
    <xf numFmtId="167" fontId="3" fillId="0" borderId="0" xfId="0" applyNumberFormat="1" applyFont="1" applyFill="1" applyBorder="1" applyAlignment="1">
      <alignment horizontal="right" vertical="center"/>
    </xf>
    <xf numFmtId="167" fontId="3" fillId="0" borderId="12" xfId="0" applyNumberFormat="1" applyFont="1" applyFill="1" applyBorder="1" applyAlignment="1">
      <alignment horizontal="right" vertical="center"/>
    </xf>
    <xf numFmtId="165" fontId="3" fillId="0" borderId="51" xfId="0" applyNumberFormat="1" applyFont="1" applyBorder="1" applyAlignment="1">
      <alignment horizontal="right" vertical="center"/>
    </xf>
    <xf numFmtId="165" fontId="3" fillId="0" borderId="52" xfId="0" applyNumberFormat="1" applyFont="1" applyBorder="1" applyAlignment="1">
      <alignment horizontal="right" vertical="center"/>
    </xf>
    <xf numFmtId="165" fontId="3" fillId="0" borderId="36" xfId="0" applyNumberFormat="1" applyFont="1" applyBorder="1" applyAlignment="1">
      <alignment horizontal="right" vertical="center"/>
    </xf>
    <xf numFmtId="165" fontId="3" fillId="0" borderId="54" xfId="0" applyNumberFormat="1" applyFont="1" applyFill="1" applyBorder="1" applyAlignment="1">
      <alignment horizontal="right" vertical="center"/>
    </xf>
    <xf numFmtId="165" fontId="3" fillId="0" borderId="55" xfId="0" applyNumberFormat="1" applyFont="1" applyFill="1" applyBorder="1" applyAlignment="1">
      <alignment horizontal="right" vertical="center"/>
    </xf>
    <xf numFmtId="165" fontId="3" fillId="0" borderId="47" xfId="0" applyNumberFormat="1" applyFont="1" applyFill="1" applyBorder="1" applyAlignment="1">
      <alignment horizontal="right" vertical="center"/>
    </xf>
    <xf numFmtId="0" fontId="2" fillId="0" borderId="0" xfId="0" applyFont="1" applyFill="1" applyBorder="1" applyAlignment="1">
      <alignment horizontal="left" vertical="center"/>
    </xf>
    <xf numFmtId="2" fontId="3" fillId="0" borderId="0" xfId="0" applyNumberFormat="1" applyFont="1" applyBorder="1" applyAlignment="1">
      <alignment horizontal="right" vertical="center"/>
    </xf>
    <xf numFmtId="173" fontId="3" fillId="0" borderId="0" xfId="0" applyNumberFormat="1" applyFont="1" applyBorder="1" applyAlignment="1">
      <alignment horizontal="right" vertical="center"/>
    </xf>
    <xf numFmtId="173" fontId="3" fillId="0" borderId="12" xfId="0" applyNumberFormat="1" applyFont="1" applyBorder="1" applyAlignment="1">
      <alignment horizontal="right" vertical="center"/>
    </xf>
    <xf numFmtId="2" fontId="3" fillId="0" borderId="55" xfId="0" applyNumberFormat="1" applyFont="1" applyBorder="1" applyAlignment="1">
      <alignment horizontal="right" vertical="center"/>
    </xf>
    <xf numFmtId="2" fontId="3" fillId="0" borderId="47" xfId="0" applyNumberFormat="1" applyFont="1" applyBorder="1" applyAlignment="1">
      <alignment horizontal="right" vertical="center"/>
    </xf>
    <xf numFmtId="2" fontId="3" fillId="0" borderId="52" xfId="0" applyNumberFormat="1" applyFont="1" applyBorder="1" applyAlignment="1">
      <alignment horizontal="right" vertical="center"/>
    </xf>
    <xf numFmtId="2" fontId="3" fillId="0" borderId="36" xfId="0" applyNumberFormat="1" applyFont="1" applyBorder="1" applyAlignment="1">
      <alignment horizontal="righ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41"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47" xfId="0" applyFont="1" applyBorder="1" applyAlignment="1">
      <alignment vertical="center"/>
    </xf>
    <xf numFmtId="0" fontId="3" fillId="0" borderId="49" xfId="0" applyFont="1" applyBorder="1"/>
    <xf numFmtId="0" fontId="3" fillId="0" borderId="50" xfId="0" applyFont="1" applyBorder="1"/>
    <xf numFmtId="0" fontId="3" fillId="0" borderId="41" xfId="0" applyFont="1" applyBorder="1"/>
    <xf numFmtId="0" fontId="3" fillId="0" borderId="54" xfId="0" applyFont="1" applyBorder="1"/>
    <xf numFmtId="0" fontId="3" fillId="0" borderId="55" xfId="0" applyFont="1" applyBorder="1"/>
    <xf numFmtId="0" fontId="3" fillId="0" borderId="47" xfId="0" applyFont="1" applyBorder="1"/>
    <xf numFmtId="0" fontId="3" fillId="0" borderId="54" xfId="0" applyFont="1" applyBorder="1" applyAlignment="1">
      <alignment horizontal="right" vertical="center"/>
    </xf>
    <xf numFmtId="0" fontId="3" fillId="0" borderId="55" xfId="0" applyFont="1" applyBorder="1" applyAlignment="1">
      <alignment horizontal="right" vertical="center"/>
    </xf>
    <xf numFmtId="0" fontId="3" fillId="0" borderId="47" xfId="0" applyFont="1" applyBorder="1" applyAlignment="1">
      <alignment horizontal="right" vertical="center"/>
    </xf>
    <xf numFmtId="0" fontId="3" fillId="0" borderId="54" xfId="0" applyFont="1" applyFill="1" applyBorder="1" applyAlignment="1">
      <alignment horizontal="right" vertical="center"/>
    </xf>
    <xf numFmtId="0" fontId="3" fillId="0" borderId="55" xfId="0" applyFont="1" applyFill="1" applyBorder="1" applyAlignment="1">
      <alignment horizontal="right" vertical="center"/>
    </xf>
    <xf numFmtId="0" fontId="3" fillId="0" borderId="47" xfId="0" applyFont="1" applyFill="1" applyBorder="1" applyAlignment="1">
      <alignment horizontal="right" vertical="center"/>
    </xf>
    <xf numFmtId="0" fontId="1" fillId="29" borderId="26" xfId="0" applyFont="1" applyFill="1" applyBorder="1" applyAlignment="1">
      <alignment horizontal="center" vertical="center"/>
    </xf>
    <xf numFmtId="0" fontId="3" fillId="0" borderId="49" xfId="0" applyFont="1" applyBorder="1" applyAlignment="1">
      <alignment horizontal="right" vertical="center"/>
    </xf>
    <xf numFmtId="0" fontId="3" fillId="0" borderId="50" xfId="0" applyFont="1" applyBorder="1" applyAlignment="1">
      <alignment horizontal="right" vertical="center"/>
    </xf>
    <xf numFmtId="0" fontId="3" fillId="0" borderId="41" xfId="0" applyFont="1" applyBorder="1" applyAlignment="1">
      <alignment horizontal="right" vertical="center"/>
    </xf>
    <xf numFmtId="0" fontId="3" fillId="0" borderId="52" xfId="0" applyFont="1" applyBorder="1" applyAlignment="1">
      <alignment horizontal="righ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36" xfId="0" applyFont="1" applyBorder="1" applyAlignment="1">
      <alignment vertical="center"/>
    </xf>
    <xf numFmtId="0" fontId="2" fillId="28" borderId="16" xfId="0" applyFont="1" applyFill="1" applyBorder="1" applyAlignment="1">
      <alignment horizontal="left" vertical="center"/>
    </xf>
    <xf numFmtId="0" fontId="2" fillId="28" borderId="25" xfId="0" applyFont="1" applyFill="1" applyBorder="1" applyAlignment="1">
      <alignment horizontal="left" vertical="center"/>
    </xf>
    <xf numFmtId="0" fontId="3" fillId="0" borderId="51" xfId="0" applyFont="1" applyBorder="1"/>
    <xf numFmtId="0" fontId="3" fillId="0" borderId="52" xfId="0" applyFont="1" applyBorder="1"/>
    <xf numFmtId="0" fontId="3" fillId="0" borderId="36" xfId="0" applyFont="1" applyBorder="1"/>
    <xf numFmtId="0" fontId="4" fillId="23" borderId="13" xfId="0" applyFont="1" applyFill="1" applyBorder="1" applyAlignment="1">
      <alignment vertical="center"/>
    </xf>
    <xf numFmtId="0" fontId="0" fillId="23" borderId="0" xfId="0" applyFill="1" applyBorder="1" applyAlignment="1">
      <alignment vertical="center"/>
    </xf>
    <xf numFmtId="0" fontId="4" fillId="23" borderId="13" xfId="0" applyFont="1" applyFill="1" applyBorder="1" applyAlignment="1">
      <alignment horizontal="left" vertical="center" wrapText="1"/>
    </xf>
    <xf numFmtId="0" fontId="1" fillId="27" borderId="26" xfId="0" applyFont="1" applyFill="1" applyBorder="1" applyAlignment="1">
      <alignment vertical="center"/>
    </xf>
    <xf numFmtId="0" fontId="2" fillId="0" borderId="22" xfId="0" applyFont="1" applyFill="1" applyBorder="1" applyAlignment="1">
      <alignment horizontal="left"/>
    </xf>
    <xf numFmtId="0" fontId="2" fillId="0" borderId="23" xfId="0" applyFont="1" applyFill="1" applyBorder="1" applyAlignment="1">
      <alignment horizontal="left"/>
    </xf>
    <xf numFmtId="0" fontId="1" fillId="26" borderId="16" xfId="0" applyFont="1" applyFill="1" applyBorder="1" applyAlignment="1"/>
    <xf numFmtId="0" fontId="0" fillId="26" borderId="16" xfId="0" applyFill="1" applyBorder="1" applyAlignment="1"/>
    <xf numFmtId="0" fontId="0" fillId="26" borderId="22" xfId="0" applyFill="1" applyBorder="1" applyAlignment="1"/>
    <xf numFmtId="0" fontId="0" fillId="26" borderId="23" xfId="0" applyFill="1" applyBorder="1" applyAlignment="1"/>
    <xf numFmtId="0" fontId="1" fillId="24" borderId="26" xfId="0" applyFont="1" applyFill="1" applyBorder="1" applyAlignment="1">
      <alignment vertical="center"/>
    </xf>
    <xf numFmtId="0" fontId="4" fillId="28" borderId="0" xfId="0" applyFont="1" applyFill="1" applyBorder="1" applyAlignment="1">
      <alignment horizontal="left"/>
    </xf>
    <xf numFmtId="0" fontId="2" fillId="0" borderId="28" xfId="0" applyNumberFormat="1" applyFont="1" applyBorder="1" applyAlignment="1">
      <alignment horizontal="left" vertical="center" wrapText="1"/>
    </xf>
    <xf numFmtId="0" fontId="2" fillId="0" borderId="22" xfId="0" applyNumberFormat="1" applyFont="1" applyBorder="1" applyAlignment="1">
      <alignment horizontal="left" vertical="center" wrapText="1"/>
    </xf>
    <xf numFmtId="0" fontId="2" fillId="0" borderId="23" xfId="0" applyNumberFormat="1" applyFont="1" applyBorder="1" applyAlignment="1">
      <alignment horizontal="left" vertical="center" wrapText="1"/>
    </xf>
    <xf numFmtId="0" fontId="2" fillId="0" borderId="13" xfId="0" applyNumberFormat="1" applyFont="1" applyBorder="1" applyAlignment="1">
      <alignment horizontal="left" vertical="center" wrapText="1"/>
    </xf>
    <xf numFmtId="0" fontId="2" fillId="0" borderId="0" xfId="0" applyNumberFormat="1" applyFont="1" applyBorder="1" applyAlignment="1">
      <alignment horizontal="left" vertical="center" wrapText="1"/>
    </xf>
    <xf numFmtId="0" fontId="2" fillId="0" borderId="12" xfId="0" applyNumberFormat="1" applyFont="1" applyBorder="1" applyAlignment="1">
      <alignment horizontal="left" vertical="center" wrapText="1"/>
    </xf>
    <xf numFmtId="0" fontId="2" fillId="0" borderId="21" xfId="0" applyNumberFormat="1" applyFont="1" applyBorder="1" applyAlignment="1">
      <alignment horizontal="left" vertical="center" wrapText="1"/>
    </xf>
    <xf numFmtId="0" fontId="2" fillId="0" borderId="27" xfId="0" applyNumberFormat="1" applyFont="1" applyBorder="1" applyAlignment="1">
      <alignment horizontal="left" vertical="center" wrapText="1"/>
    </xf>
    <xf numFmtId="0" fontId="2" fillId="0" borderId="15" xfId="0" applyNumberFormat="1" applyFont="1" applyBorder="1" applyAlignment="1">
      <alignment horizontal="left" vertical="center" wrapText="1"/>
    </xf>
    <xf numFmtId="0" fontId="1" fillId="0" borderId="26" xfId="0" applyFont="1" applyBorder="1" applyAlignment="1">
      <alignment horizontal="left"/>
    </xf>
    <xf numFmtId="0" fontId="1" fillId="0" borderId="16" xfId="0" applyFont="1" applyBorder="1" applyAlignment="1">
      <alignment horizontal="left"/>
    </xf>
    <xf numFmtId="0" fontId="1" fillId="0" borderId="25" xfId="0" applyFont="1" applyBorder="1" applyAlignment="1">
      <alignment horizontal="left"/>
    </xf>
    <xf numFmtId="0" fontId="1" fillId="0" borderId="16" xfId="0" applyFont="1" applyBorder="1" applyAlignment="1">
      <alignment horizontal="left" vertical="center"/>
    </xf>
    <xf numFmtId="0" fontId="1" fillId="0" borderId="25" xfId="0" applyFont="1" applyBorder="1" applyAlignment="1">
      <alignment horizontal="left" vertical="center"/>
    </xf>
    <xf numFmtId="0" fontId="4" fillId="23" borderId="0" xfId="0" applyFont="1" applyFill="1" applyBorder="1" applyAlignment="1">
      <alignment horizontal="left"/>
    </xf>
    <xf numFmtId="0" fontId="2" fillId="0" borderId="0" xfId="0" applyFont="1" applyAlignment="1">
      <alignment horizontal="left" wrapText="1"/>
    </xf>
    <xf numFmtId="0" fontId="2" fillId="0" borderId="12" xfId="0" applyFont="1" applyBorder="1" applyAlignment="1">
      <alignment horizontal="left" wrapText="1"/>
    </xf>
    <xf numFmtId="0" fontId="2" fillId="28" borderId="0" xfId="0" applyFont="1" applyFill="1" applyBorder="1" applyAlignment="1">
      <alignment horizontal="left" vertical="center"/>
    </xf>
    <xf numFmtId="0" fontId="2" fillId="28" borderId="12" xfId="0" applyFont="1" applyFill="1" applyBorder="1" applyAlignment="1">
      <alignment horizontal="left" vertical="center"/>
    </xf>
    <xf numFmtId="0" fontId="2" fillId="0" borderId="13" xfId="0" applyFont="1" applyBorder="1" applyAlignment="1">
      <alignment horizontal="left" vertical="center"/>
    </xf>
    <xf numFmtId="0" fontId="2" fillId="0" borderId="0" xfId="0" applyFont="1" applyBorder="1" applyAlignment="1">
      <alignment horizontal="left" vertical="center"/>
    </xf>
    <xf numFmtId="0" fontId="2" fillId="0" borderId="12" xfId="0" applyFont="1" applyBorder="1" applyAlignment="1">
      <alignment horizontal="left" vertical="center"/>
    </xf>
    <xf numFmtId="0" fontId="2" fillId="23" borderId="13" xfId="0" applyFont="1" applyFill="1" applyBorder="1" applyAlignment="1">
      <alignment horizontal="left" vertical="center"/>
    </xf>
    <xf numFmtId="0" fontId="8" fillId="23" borderId="0" xfId="0" applyFont="1" applyFill="1" applyBorder="1" applyAlignment="1">
      <alignment horizontal="left" vertical="center"/>
    </xf>
    <xf numFmtId="0" fontId="8" fillId="23" borderId="12" xfId="0" applyFont="1" applyFill="1" applyBorder="1" applyAlignment="1">
      <alignment horizontal="left" vertical="center"/>
    </xf>
    <xf numFmtId="0" fontId="2" fillId="28" borderId="0" xfId="0" applyFont="1" applyFill="1" applyAlignment="1">
      <alignment horizontal="left" vertical="center"/>
    </xf>
    <xf numFmtId="0" fontId="2" fillId="28" borderId="0" xfId="0" applyFont="1" applyFill="1" applyAlignment="1">
      <alignment horizontal="left" vertical="center" wrapText="1"/>
    </xf>
    <xf numFmtId="0" fontId="2" fillId="23" borderId="0" xfId="0" applyFont="1" applyFill="1" applyBorder="1" applyAlignment="1">
      <alignment horizontal="left" vertical="center" wrapText="1"/>
    </xf>
    <xf numFmtId="0" fontId="2" fillId="23" borderId="12"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xf>
    <xf numFmtId="0" fontId="2" fillId="0" borderId="0" xfId="0" applyFont="1" applyBorder="1" applyAlignment="1">
      <alignment horizontal="left"/>
    </xf>
    <xf numFmtId="0" fontId="2" fillId="0" borderId="12" xfId="0" applyFont="1" applyBorder="1" applyAlignment="1">
      <alignment horizontal="left"/>
    </xf>
    <xf numFmtId="0" fontId="2" fillId="28" borderId="13" xfId="0" applyFont="1" applyFill="1" applyBorder="1" applyAlignment="1">
      <alignment horizontal="left" vertical="center"/>
    </xf>
    <xf numFmtId="0" fontId="2" fillId="23" borderId="13" xfId="0" applyFont="1" applyFill="1" applyBorder="1" applyAlignment="1">
      <alignment horizontal="left" vertical="center" wrapText="1"/>
    </xf>
    <xf numFmtId="0" fontId="8" fillId="23" borderId="0" xfId="0" applyFont="1" applyFill="1" applyBorder="1" applyAlignment="1">
      <alignment horizontal="left" vertical="center" wrapText="1"/>
    </xf>
    <xf numFmtId="0" fontId="8" fillId="23" borderId="12" xfId="0" applyFont="1" applyFill="1" applyBorder="1" applyAlignment="1">
      <alignment horizontal="left" vertical="center" wrapText="1"/>
    </xf>
    <xf numFmtId="0" fontId="2" fillId="23" borderId="0" xfId="0" applyFont="1" applyFill="1" applyBorder="1" applyAlignment="1">
      <alignment horizontal="left" vertical="center"/>
    </xf>
    <xf numFmtId="0" fontId="4" fillId="23" borderId="28" xfId="0" applyFont="1" applyFill="1" applyBorder="1" applyAlignment="1">
      <alignment horizontal="left"/>
    </xf>
    <xf numFmtId="0" fontId="4" fillId="23" borderId="22" xfId="0" applyFont="1" applyFill="1" applyBorder="1" applyAlignment="1">
      <alignment horizontal="left"/>
    </xf>
    <xf numFmtId="0" fontId="4" fillId="23" borderId="23" xfId="0" applyFont="1" applyFill="1" applyBorder="1" applyAlignment="1">
      <alignment horizontal="left"/>
    </xf>
    <xf numFmtId="0" fontId="8" fillId="23" borderId="13" xfId="0" applyFont="1" applyFill="1" applyBorder="1" applyAlignment="1">
      <alignment horizontal="left" vertical="center"/>
    </xf>
    <xf numFmtId="0" fontId="2" fillId="0" borderId="0" xfId="0" applyFont="1" applyFill="1" applyBorder="1" applyAlignment="1">
      <alignment horizontal="left" wrapText="1"/>
    </xf>
    <xf numFmtId="0" fontId="2" fillId="0" borderId="12" xfId="0" applyFont="1" applyFill="1" applyBorder="1" applyAlignment="1">
      <alignment horizontal="left" wrapText="1"/>
    </xf>
    <xf numFmtId="0" fontId="2" fillId="0" borderId="0" xfId="0" applyFont="1" applyAlignment="1">
      <alignment horizontal="left" vertical="center" wrapText="1"/>
    </xf>
    <xf numFmtId="1" fontId="35" fillId="0" borderId="14" xfId="0" applyNumberFormat="1" applyFont="1" applyFill="1" applyBorder="1" applyAlignment="1">
      <alignment horizontal="right" vertical="center"/>
    </xf>
    <xf numFmtId="0" fontId="3" fillId="0" borderId="24" xfId="0" applyFont="1" applyFill="1" applyBorder="1" applyAlignment="1">
      <alignment horizontal="right" vertical="center"/>
    </xf>
  </cellXfs>
  <cellStyles count="46">
    <cellStyle name="Accent1" xfId="1" builtinId="29" customBuiltin="1"/>
    <cellStyle name="Accent1 - 20%" xfId="2"/>
    <cellStyle name="Accent1 - 40%" xfId="3"/>
    <cellStyle name="Accent1 - 60%" xfId="4"/>
    <cellStyle name="Accent2" xfId="5" builtinId="33" customBuiltin="1"/>
    <cellStyle name="Accent2 - 20%" xfId="6"/>
    <cellStyle name="Accent2 - 40%" xfId="7"/>
    <cellStyle name="Accent2 - 60%" xfId="8"/>
    <cellStyle name="Accent3" xfId="9" builtinId="37" customBuiltin="1"/>
    <cellStyle name="Accent3 - 20%" xfId="10"/>
    <cellStyle name="Accent3 - 40%" xfId="11"/>
    <cellStyle name="Accent3 - 60%" xfId="12"/>
    <cellStyle name="Accent4" xfId="13" builtinId="41" customBuiltin="1"/>
    <cellStyle name="Accent4 - 20%" xfId="14"/>
    <cellStyle name="Accent4 - 40%" xfId="15"/>
    <cellStyle name="Accent4 - 60%" xfId="16"/>
    <cellStyle name="Accent5" xfId="17" builtinId="45" customBuiltin="1"/>
    <cellStyle name="Accent5 - 20%" xfId="18"/>
    <cellStyle name="Accent5 - 40%" xfId="19"/>
    <cellStyle name="Accent5 - 60%" xfId="20"/>
    <cellStyle name="Accent6" xfId="21" builtinId="49" customBuiltin="1"/>
    <cellStyle name="Accent6 - 20%" xfId="22"/>
    <cellStyle name="Accent6 - 40%" xfId="23"/>
    <cellStyle name="Accent6 - 60%" xfId="24"/>
    <cellStyle name="Bad" xfId="25" builtinId="27" customBuiltin="1"/>
    <cellStyle name="Calculation" xfId="26" builtinId="22" customBuiltin="1"/>
    <cellStyle name="Check Cell" xfId="27" builtinId="23" customBuiltin="1"/>
    <cellStyle name="Emphasis 1" xfId="28"/>
    <cellStyle name="Emphasis 2" xfId="29"/>
    <cellStyle name="Emphasis 3" xfId="3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4" builtinId="5"/>
    <cellStyle name="Sheet Title" xfId="41"/>
    <cellStyle name="Total" xfId="42" builtinId="25" customBuiltin="1"/>
    <cellStyle name="Warning Text" xfId="43" builtinId="11" customBuiltin="1"/>
  </cellStyles>
  <dxfs count="125">
    <dxf>
      <font>
        <strike/>
        <color theme="0" tint="-0.24994659260841701"/>
      </font>
    </dxf>
    <dxf>
      <font>
        <strike/>
        <color theme="0" tint="-0.24994659260841701"/>
      </font>
    </dxf>
    <dxf>
      <font>
        <strike/>
        <color theme="0" tint="-0.24994659260841701"/>
      </font>
    </dxf>
    <dxf>
      <fill>
        <patternFill>
          <bgColor rgb="FFFFFF00"/>
        </patternFill>
      </fill>
    </dxf>
    <dxf>
      <fill>
        <patternFill>
          <bgColor rgb="FFFFFF00"/>
        </patternFill>
      </fill>
    </dxf>
    <dxf>
      <fill>
        <patternFill>
          <bgColor rgb="FFFFFF00"/>
        </patternFill>
      </fill>
    </dxf>
    <dxf>
      <fill>
        <patternFill>
          <bgColor rgb="FFFFC000"/>
        </patternFill>
      </fill>
    </dxf>
    <dxf>
      <font>
        <color auto="1"/>
      </font>
      <fill>
        <patternFill>
          <bgColor rgb="FFFFC000"/>
        </patternFill>
      </fill>
    </dxf>
    <dxf>
      <font>
        <strike/>
        <color theme="0" tint="-0.24994659260841701"/>
      </font>
    </dxf>
    <dxf>
      <fill>
        <patternFill>
          <bgColor indexed="51"/>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auto="1"/>
      </font>
      <fill>
        <patternFill>
          <bgColor rgb="FFFFFFCC"/>
        </patternFill>
      </fill>
    </dxf>
    <dxf>
      <fill>
        <patternFill>
          <bgColor rgb="FFFFC000"/>
        </patternFill>
      </fill>
    </dxf>
    <dxf>
      <font>
        <color theme="9" tint="-0.499984740745262"/>
      </font>
    </dxf>
    <dxf>
      <font>
        <b/>
        <i val="0"/>
        <color auto="1"/>
      </font>
      <fill>
        <patternFill>
          <bgColor rgb="FFFFFFCC"/>
        </patternFill>
      </fill>
    </dxf>
    <dxf>
      <fill>
        <patternFill>
          <bgColor rgb="FFFFCC00"/>
        </patternFill>
      </fill>
    </dxf>
    <dxf>
      <fill>
        <patternFill>
          <bgColor rgb="FFFFCC00"/>
        </patternFill>
      </fill>
    </dxf>
    <dxf>
      <font>
        <strike/>
        <color theme="0" tint="-0.24994659260841701"/>
      </font>
    </dxf>
    <dxf>
      <fill>
        <patternFill>
          <bgColor rgb="FFFFFF00"/>
        </patternFill>
      </fill>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colors>
    <mruColors>
      <color rgb="FF99CCFF"/>
      <color rgb="FF0000FF"/>
      <color rgb="FFFFFFCC"/>
      <color rgb="FFFFFF00"/>
      <color rgb="FFFFCC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H143"/>
  <sheetViews>
    <sheetView showGridLines="0" showRowColHeaders="0" tabSelected="1" zoomScale="85" zoomScaleNormal="85" workbookViewId="0">
      <selection activeCell="C28" sqref="C28"/>
    </sheetView>
  </sheetViews>
  <sheetFormatPr defaultRowHeight="12.75"/>
  <cols>
    <col min="1" max="1" width="4.140625" style="74" customWidth="1"/>
    <col min="2" max="2" width="41.42578125" style="74" customWidth="1"/>
    <col min="3" max="3" width="38.5703125" style="74" bestFit="1" customWidth="1"/>
    <col min="4" max="4" width="11.42578125" style="74" customWidth="1"/>
    <col min="5" max="5" width="47.42578125" style="74" bestFit="1" customWidth="1"/>
    <col min="6" max="6" width="31.5703125" style="74" bestFit="1" customWidth="1"/>
    <col min="7" max="16384" width="9.140625" style="74"/>
  </cols>
  <sheetData>
    <row r="1" spans="1:8" ht="18.75" thickBot="1">
      <c r="A1" s="392"/>
      <c r="B1" s="377" t="s">
        <v>51</v>
      </c>
      <c r="C1" s="377"/>
      <c r="D1" s="377"/>
      <c r="E1" s="377"/>
      <c r="F1" s="73" t="s">
        <v>636</v>
      </c>
    </row>
    <row r="2" spans="1:8" s="172" customFormat="1" ht="15" customHeight="1">
      <c r="A2" s="391"/>
      <c r="B2" s="898" t="s">
        <v>17</v>
      </c>
      <c r="C2" s="896"/>
      <c r="D2" s="231"/>
      <c r="E2" s="296"/>
      <c r="F2" s="76" t="s">
        <v>692</v>
      </c>
    </row>
    <row r="3" spans="1:8" s="172" customFormat="1" ht="14.25" customHeight="1">
      <c r="A3" s="391"/>
      <c r="B3" s="895" t="s">
        <v>437</v>
      </c>
      <c r="C3" s="896"/>
      <c r="D3" s="896"/>
      <c r="E3" s="896"/>
      <c r="F3" s="897"/>
    </row>
    <row r="4" spans="1:8" s="172" customFormat="1" ht="15" customHeight="1">
      <c r="A4" s="391"/>
      <c r="B4" s="295" t="s">
        <v>167</v>
      </c>
      <c r="C4" s="296"/>
      <c r="D4" s="295"/>
      <c r="E4" s="296"/>
      <c r="F4" s="232"/>
    </row>
    <row r="5" spans="1:8" s="269" customFormat="1" ht="15" customHeight="1">
      <c r="A5" s="391"/>
      <c r="B5" s="894" t="s">
        <v>498</v>
      </c>
      <c r="C5" s="895"/>
      <c r="D5" s="575"/>
      <c r="E5" s="296"/>
      <c r="F5" s="232"/>
    </row>
    <row r="6" spans="1:8" s="172" customFormat="1" ht="12.75" customHeight="1">
      <c r="A6" s="391"/>
      <c r="B6" s="229"/>
      <c r="C6" s="228"/>
      <c r="D6" s="229"/>
      <c r="E6" s="228"/>
      <c r="F6" s="230"/>
    </row>
    <row r="7" spans="1:8" s="172" customFormat="1" ht="12.75" customHeight="1">
      <c r="A7" s="391"/>
      <c r="B7" s="862" t="s">
        <v>282</v>
      </c>
      <c r="C7" s="862"/>
      <c r="D7" s="862"/>
      <c r="E7" s="862"/>
      <c r="F7" s="863"/>
      <c r="H7" s="282"/>
    </row>
    <row r="8" spans="1:8" s="172" customFormat="1" ht="12.75" customHeight="1">
      <c r="A8" s="391"/>
      <c r="B8" s="862"/>
      <c r="C8" s="862"/>
      <c r="D8" s="862"/>
      <c r="E8" s="862"/>
      <c r="F8" s="863"/>
    </row>
    <row r="9" spans="1:8" s="79" customFormat="1" ht="12.75" customHeight="1">
      <c r="A9" s="391"/>
      <c r="B9" s="868" t="s">
        <v>296</v>
      </c>
      <c r="C9" s="869"/>
      <c r="D9" s="869"/>
      <c r="E9" s="869"/>
      <c r="F9" s="78"/>
    </row>
    <row r="10" spans="1:8" s="79" customFormat="1" ht="12.75" customHeight="1">
      <c r="A10" s="391"/>
      <c r="B10" s="870" t="s">
        <v>351</v>
      </c>
      <c r="C10" s="870"/>
      <c r="D10" s="870"/>
      <c r="E10" s="870"/>
      <c r="F10" s="871"/>
    </row>
    <row r="11" spans="1:8" s="79" customFormat="1" ht="12.75" customHeight="1">
      <c r="A11" s="391"/>
      <c r="B11" s="870"/>
      <c r="C11" s="870"/>
      <c r="D11" s="870"/>
      <c r="E11" s="870"/>
      <c r="F11" s="871"/>
    </row>
    <row r="12" spans="1:8" s="79" customFormat="1" ht="12.75" customHeight="1">
      <c r="A12" s="391"/>
      <c r="B12" s="870"/>
      <c r="C12" s="870"/>
      <c r="D12" s="870"/>
      <c r="E12" s="870"/>
      <c r="F12" s="871"/>
    </row>
    <row r="13" spans="1:8" s="79" customFormat="1" ht="12.75" customHeight="1">
      <c r="A13" s="391"/>
      <c r="B13" s="864"/>
      <c r="C13" s="864"/>
      <c r="D13" s="864"/>
      <c r="E13" s="864"/>
      <c r="F13" s="865"/>
    </row>
    <row r="14" spans="1:8" s="79" customFormat="1" ht="12.75" customHeight="1">
      <c r="A14" s="391"/>
      <c r="B14" s="868" t="s">
        <v>171</v>
      </c>
      <c r="C14" s="869"/>
      <c r="D14" s="869"/>
      <c r="E14" s="869"/>
      <c r="F14" s="80"/>
    </row>
    <row r="15" spans="1:8" s="79" customFormat="1" ht="12.75" customHeight="1">
      <c r="A15" s="391"/>
      <c r="B15" s="866" t="s">
        <v>348</v>
      </c>
      <c r="C15" s="866"/>
      <c r="D15" s="866"/>
      <c r="E15" s="866"/>
      <c r="F15" s="867"/>
    </row>
    <row r="16" spans="1:8" s="79" customFormat="1" ht="12.75" customHeight="1">
      <c r="A16" s="391"/>
      <c r="B16" s="866" t="s">
        <v>219</v>
      </c>
      <c r="C16" s="866"/>
      <c r="D16" s="866"/>
      <c r="E16" s="866"/>
      <c r="F16" s="867"/>
    </row>
    <row r="17" spans="1:7" s="79" customFormat="1" ht="12.75" customHeight="1">
      <c r="A17" s="391"/>
      <c r="B17" s="866" t="s">
        <v>284</v>
      </c>
      <c r="C17" s="866"/>
      <c r="D17" s="866"/>
      <c r="E17" s="866"/>
      <c r="F17" s="867"/>
    </row>
    <row r="18" spans="1:7" s="79" customFormat="1" ht="12.75" customHeight="1">
      <c r="A18" s="391"/>
      <c r="B18" s="866" t="s">
        <v>552</v>
      </c>
      <c r="C18" s="866"/>
      <c r="D18" s="866"/>
      <c r="E18" s="866"/>
      <c r="F18" s="867"/>
    </row>
    <row r="19" spans="1:7" ht="13.5" customHeight="1" thickBot="1">
      <c r="A19" s="391"/>
      <c r="B19" s="904"/>
      <c r="C19" s="904"/>
      <c r="D19" s="904"/>
      <c r="E19" s="904"/>
      <c r="F19" s="905"/>
    </row>
    <row r="20" spans="1:7" s="79" customFormat="1" ht="16.5" thickBot="1">
      <c r="A20" s="391"/>
      <c r="B20" s="872" t="s">
        <v>275</v>
      </c>
      <c r="C20" s="873"/>
      <c r="D20" s="873"/>
      <c r="E20" s="873"/>
      <c r="F20" s="874"/>
    </row>
    <row r="21" spans="1:7" s="210" customFormat="1" ht="15" customHeight="1">
      <c r="A21" s="391"/>
      <c r="B21" s="879" t="s">
        <v>276</v>
      </c>
      <c r="C21" s="879"/>
      <c r="D21" s="879"/>
      <c r="E21" s="879"/>
      <c r="F21" s="880"/>
    </row>
    <row r="22" spans="1:7" s="79" customFormat="1" ht="13.5" customHeight="1" thickBot="1">
      <c r="A22" s="391"/>
      <c r="B22" s="84"/>
      <c r="C22" s="85"/>
      <c r="D22" s="85"/>
      <c r="E22" s="211"/>
      <c r="F22" s="212"/>
      <c r="G22" s="86"/>
    </row>
    <row r="23" spans="1:7" ht="16.5" thickBot="1">
      <c r="A23" s="391"/>
      <c r="B23" s="887" t="s">
        <v>9</v>
      </c>
      <c r="C23" s="876"/>
      <c r="D23" s="196"/>
      <c r="E23" s="875" t="s">
        <v>410</v>
      </c>
      <c r="F23" s="876"/>
    </row>
    <row r="24" spans="1:7" customFormat="1" ht="15">
      <c r="A24" s="488"/>
      <c r="B24" s="181" t="s">
        <v>436</v>
      </c>
      <c r="C24" s="498" t="s">
        <v>419</v>
      </c>
      <c r="D24" s="490"/>
      <c r="E24" s="322" t="s">
        <v>642</v>
      </c>
      <c r="F24" s="821">
        <v>1</v>
      </c>
    </row>
    <row r="25" spans="1:7" s="576" customFormat="1" ht="15">
      <c r="A25" s="577"/>
      <c r="B25" s="310" t="s">
        <v>500</v>
      </c>
      <c r="C25" s="583">
        <v>1</v>
      </c>
      <c r="D25" s="61"/>
      <c r="E25" s="822" t="s">
        <v>627</v>
      </c>
      <c r="F25" s="823" t="s">
        <v>629</v>
      </c>
    </row>
    <row r="26" spans="1:7" ht="15" customHeight="1">
      <c r="A26" s="391"/>
      <c r="B26" s="310" t="s">
        <v>625</v>
      </c>
      <c r="C26" s="498" t="s">
        <v>35</v>
      </c>
      <c r="D26" s="297"/>
      <c r="E26" s="318" t="s">
        <v>403</v>
      </c>
      <c r="F26" s="319">
        <v>86400</v>
      </c>
    </row>
    <row r="27" spans="1:7" ht="15" customHeight="1" thickBot="1">
      <c r="A27" s="391"/>
      <c r="B27" s="832" t="s">
        <v>16</v>
      </c>
      <c r="C27" s="87" t="s">
        <v>82</v>
      </c>
      <c r="D27" s="89"/>
      <c r="E27" s="833" t="s">
        <v>404</v>
      </c>
      <c r="F27" s="482">
        <v>0</v>
      </c>
      <c r="G27" s="88"/>
    </row>
    <row r="28" spans="1:7" ht="15" customHeight="1">
      <c r="A28" s="391"/>
      <c r="B28" s="311" t="s">
        <v>335</v>
      </c>
      <c r="C28" s="313" t="s">
        <v>12</v>
      </c>
      <c r="D28" s="89"/>
      <c r="G28" s="88"/>
    </row>
    <row r="29" spans="1:7" ht="15" customHeight="1" thickBot="1">
      <c r="A29" s="391"/>
      <c r="B29" s="312" t="s">
        <v>207</v>
      </c>
      <c r="C29" s="314">
        <v>0.2</v>
      </c>
      <c r="D29" s="196"/>
      <c r="E29" s="478"/>
      <c r="F29" s="455"/>
    </row>
    <row r="30" spans="1:7" ht="15.75" customHeight="1" thickBot="1">
      <c r="A30" s="391"/>
      <c r="C30" s="485"/>
      <c r="D30" s="196"/>
      <c r="E30" s="91"/>
      <c r="F30" s="455"/>
      <c r="G30" s="88"/>
    </row>
    <row r="31" spans="1:7" ht="15.75" customHeight="1" thickBot="1">
      <c r="A31" s="391"/>
      <c r="B31" s="875" t="s">
        <v>10</v>
      </c>
      <c r="C31" s="876"/>
      <c r="D31" s="481"/>
      <c r="E31" s="877" t="s">
        <v>79</v>
      </c>
      <c r="F31" s="878"/>
      <c r="G31" s="88"/>
    </row>
    <row r="32" spans="1:7" ht="15.75" customHeight="1">
      <c r="A32" s="391"/>
      <c r="B32" s="446" t="s">
        <v>42</v>
      </c>
      <c r="C32" s="99">
        <v>14</v>
      </c>
      <c r="D32" s="481"/>
      <c r="E32" s="238" t="s">
        <v>272</v>
      </c>
      <c r="F32" s="205" t="s">
        <v>12</v>
      </c>
      <c r="G32" s="88"/>
    </row>
    <row r="33" spans="1:7" ht="15" customHeight="1" thickBot="1">
      <c r="A33" s="391"/>
      <c r="B33" s="316" t="s">
        <v>131</v>
      </c>
      <c r="C33" s="304">
        <v>0.2</v>
      </c>
      <c r="D33" s="93"/>
      <c r="E33" s="306" t="s">
        <v>269</v>
      </c>
      <c r="F33" s="305">
        <v>0</v>
      </c>
      <c r="G33" s="88"/>
    </row>
    <row r="34" spans="1:7" ht="15.75" customHeight="1" thickBot="1">
      <c r="A34" s="391"/>
      <c r="B34" s="315" t="s">
        <v>104</v>
      </c>
      <c r="C34" s="303">
        <v>0.05</v>
      </c>
      <c r="D34" s="89"/>
      <c r="E34" s="546"/>
      <c r="F34" s="442"/>
      <c r="G34" s="91"/>
    </row>
    <row r="35" spans="1:7" ht="15.75" customHeight="1" thickBot="1">
      <c r="A35" s="391"/>
      <c r="B35" s="206"/>
      <c r="C35" s="483"/>
      <c r="D35" s="108"/>
      <c r="E35" s="207"/>
      <c r="F35" s="486"/>
      <c r="G35" s="91"/>
    </row>
    <row r="36" spans="1:7" ht="16.5" thickBot="1">
      <c r="A36" s="391"/>
      <c r="B36" s="903" t="s">
        <v>14</v>
      </c>
      <c r="C36" s="878"/>
      <c r="D36" s="196"/>
      <c r="F36" s="455"/>
      <c r="G36" s="91"/>
    </row>
    <row r="37" spans="1:7" ht="15" customHeight="1">
      <c r="A37" s="391"/>
      <c r="B37" s="378" t="s">
        <v>130</v>
      </c>
      <c r="C37" s="323">
        <v>0.2</v>
      </c>
      <c r="D37" s="196"/>
      <c r="F37" s="455"/>
      <c r="G37" s="91"/>
    </row>
    <row r="38" spans="1:7" ht="15.75" customHeight="1" thickBot="1">
      <c r="A38" s="391"/>
      <c r="B38" s="379" t="s">
        <v>693</v>
      </c>
      <c r="C38" s="96">
        <v>0</v>
      </c>
      <c r="D38" s="196"/>
      <c r="F38" s="455"/>
      <c r="G38" s="91"/>
    </row>
    <row r="39" spans="1:7" ht="15.75" customHeight="1" thickBot="1">
      <c r="A39" s="391"/>
      <c r="B39" s="380"/>
      <c r="C39" s="215"/>
      <c r="D39" s="108"/>
      <c r="E39" s="179"/>
      <c r="F39" s="484"/>
      <c r="G39" s="91"/>
    </row>
    <row r="40" spans="1:7" s="79" customFormat="1" ht="16.5" thickBot="1">
      <c r="A40" s="391"/>
      <c r="B40" s="872" t="s">
        <v>293</v>
      </c>
      <c r="C40" s="881"/>
      <c r="D40" s="881"/>
      <c r="E40" s="881"/>
      <c r="F40" s="882"/>
    </row>
    <row r="41" spans="1:7" s="210" customFormat="1" ht="12.75" customHeight="1">
      <c r="A41" s="391"/>
      <c r="B41" s="883" t="s">
        <v>546</v>
      </c>
      <c r="C41" s="883"/>
      <c r="D41" s="883"/>
      <c r="E41" s="883"/>
      <c r="F41" s="884"/>
    </row>
    <row r="42" spans="1:7" s="210" customFormat="1" ht="16.5" customHeight="1">
      <c r="A42" s="391"/>
      <c r="B42" s="885"/>
      <c r="C42" s="885"/>
      <c r="D42" s="885"/>
      <c r="E42" s="885"/>
      <c r="F42" s="886"/>
    </row>
    <row r="43" spans="1:7" s="210" customFormat="1" ht="15" customHeight="1" thickBot="1">
      <c r="A43" s="391"/>
      <c r="B43" s="299"/>
      <c r="C43" s="299"/>
      <c r="D43" s="299"/>
      <c r="E43" s="299"/>
      <c r="F43" s="298"/>
    </row>
    <row r="44" spans="1:7" ht="16.5" thickBot="1">
      <c r="A44" s="391"/>
      <c r="B44" s="887" t="s">
        <v>297</v>
      </c>
      <c r="C44" s="876"/>
      <c r="D44" s="89"/>
      <c r="E44" s="877" t="s">
        <v>188</v>
      </c>
      <c r="F44" s="878"/>
      <c r="G44" s="91"/>
    </row>
    <row r="45" spans="1:7" ht="15.75" customHeight="1" thickBot="1">
      <c r="A45" s="391"/>
      <c r="B45" s="381" t="s">
        <v>544</v>
      </c>
      <c r="C45" s="622">
        <v>4000</v>
      </c>
      <c r="D45" s="89"/>
      <c r="E45" s="240" t="s">
        <v>5</v>
      </c>
      <c r="F45" s="97">
        <v>1</v>
      </c>
      <c r="G45" s="91"/>
    </row>
    <row r="46" spans="1:7" ht="15.75" customHeight="1">
      <c r="A46" s="391"/>
      <c r="B46" s="620" t="s">
        <v>528</v>
      </c>
      <c r="C46" s="625">
        <v>0</v>
      </c>
      <c r="D46" s="89"/>
      <c r="E46" s="478"/>
      <c r="F46" s="621"/>
      <c r="G46" s="91"/>
    </row>
    <row r="47" spans="1:7" ht="15" customHeight="1">
      <c r="A47" s="391"/>
      <c r="B47" s="309" t="s">
        <v>129</v>
      </c>
      <c r="C47" s="307" t="s">
        <v>20</v>
      </c>
      <c r="D47" s="89"/>
      <c r="E47" s="82"/>
      <c r="F47" s="90"/>
      <c r="G47" s="91"/>
    </row>
    <row r="48" spans="1:7" ht="15" customHeight="1">
      <c r="A48" s="391"/>
      <c r="B48" s="241" t="s">
        <v>118</v>
      </c>
      <c r="C48" s="308">
        <v>50</v>
      </c>
      <c r="D48" s="89"/>
      <c r="E48" s="82"/>
      <c r="F48" s="90"/>
    </row>
    <row r="49" spans="1:7" ht="15.75" customHeight="1" thickBot="1">
      <c r="A49" s="391"/>
      <c r="B49" s="382" t="s">
        <v>298</v>
      </c>
      <c r="C49" s="177">
        <v>2048</v>
      </c>
      <c r="D49" s="89"/>
      <c r="E49" s="82"/>
      <c r="F49" s="90"/>
      <c r="G49" s="91"/>
    </row>
    <row r="50" spans="1:7" ht="15" customHeight="1">
      <c r="A50" s="391"/>
      <c r="B50" s="383" t="s">
        <v>200</v>
      </c>
      <c r="C50" s="94" t="s">
        <v>12</v>
      </c>
      <c r="D50" s="89"/>
      <c r="E50" s="108"/>
      <c r="F50" s="90"/>
    </row>
    <row r="51" spans="1:7" ht="15.75" customHeight="1">
      <c r="A51" s="391"/>
      <c r="B51" s="317" t="s">
        <v>299</v>
      </c>
      <c r="C51" s="444">
        <v>0</v>
      </c>
      <c r="D51" s="196"/>
      <c r="E51" s="82"/>
      <c r="F51" s="90"/>
    </row>
    <row r="52" spans="1:7" ht="15.75" customHeight="1" thickBot="1">
      <c r="A52" s="391"/>
      <c r="B52" s="379" t="s">
        <v>387</v>
      </c>
      <c r="C52" s="545">
        <v>0</v>
      </c>
      <c r="D52" s="196"/>
      <c r="E52" s="82"/>
      <c r="F52" s="90"/>
    </row>
    <row r="53" spans="1:7" ht="15.75" customHeight="1" thickBot="1">
      <c r="A53" s="391"/>
      <c r="B53" s="383" t="s">
        <v>192</v>
      </c>
      <c r="C53" s="178" t="s">
        <v>191</v>
      </c>
      <c r="D53" s="196"/>
      <c r="E53" s="82"/>
      <c r="F53" s="90"/>
    </row>
    <row r="54" spans="1:7" ht="15.75" customHeight="1" thickBot="1">
      <c r="A54" s="391"/>
      <c r="B54" s="384"/>
      <c r="C54" s="237"/>
      <c r="D54" s="108"/>
      <c r="E54" s="179"/>
      <c r="F54" s="200"/>
    </row>
    <row r="55" spans="1:7" ht="16.5" thickBot="1">
      <c r="A55" s="391"/>
      <c r="B55" s="887" t="s">
        <v>300</v>
      </c>
      <c r="C55" s="876"/>
      <c r="D55" s="196"/>
      <c r="E55" s="875" t="s">
        <v>302</v>
      </c>
      <c r="F55" s="876"/>
    </row>
    <row r="56" spans="1:7" ht="15" customHeight="1">
      <c r="A56" s="391"/>
      <c r="B56" s="378" t="s">
        <v>542</v>
      </c>
      <c r="C56" s="624">
        <v>0</v>
      </c>
      <c r="D56" s="196"/>
      <c r="E56" s="322" t="s">
        <v>543</v>
      </c>
      <c r="F56" s="95">
        <v>0</v>
      </c>
    </row>
    <row r="57" spans="1:7" ht="15" customHeight="1">
      <c r="A57" s="391"/>
      <c r="B57" s="620" t="s">
        <v>528</v>
      </c>
      <c r="C57" s="626">
        <v>0</v>
      </c>
      <c r="D57" s="196"/>
      <c r="E57" s="317" t="s">
        <v>528</v>
      </c>
      <c r="F57" s="627">
        <v>0</v>
      </c>
    </row>
    <row r="58" spans="1:7" ht="15" customHeight="1">
      <c r="A58" s="391"/>
      <c r="B58" s="385" t="s">
        <v>129</v>
      </c>
      <c r="C58" s="321" t="s">
        <v>20</v>
      </c>
      <c r="D58" s="196"/>
      <c r="E58" s="317" t="s">
        <v>129</v>
      </c>
      <c r="F58" s="623" t="s">
        <v>20</v>
      </c>
    </row>
    <row r="59" spans="1:7" ht="15" customHeight="1">
      <c r="A59" s="391"/>
      <c r="B59" s="318" t="s">
        <v>118</v>
      </c>
      <c r="C59" s="320">
        <v>50</v>
      </c>
      <c r="D59" s="93"/>
      <c r="E59" s="317" t="s">
        <v>118</v>
      </c>
      <c r="F59" s="95">
        <v>50</v>
      </c>
    </row>
    <row r="60" spans="1:7" ht="15.75" customHeight="1" thickBot="1">
      <c r="A60" s="391"/>
      <c r="B60" s="379" t="s">
        <v>301</v>
      </c>
      <c r="C60" s="176">
        <v>2048</v>
      </c>
      <c r="D60" s="196"/>
      <c r="E60" s="242" t="s">
        <v>303</v>
      </c>
      <c r="F60" s="329">
        <v>2048</v>
      </c>
    </row>
    <row r="61" spans="1:7" ht="15" customHeight="1">
      <c r="A61" s="391"/>
      <c r="B61" s="383" t="s">
        <v>200</v>
      </c>
      <c r="C61" s="94" t="s">
        <v>12</v>
      </c>
      <c r="D61" s="196"/>
      <c r="E61" s="238" t="s">
        <v>200</v>
      </c>
      <c r="F61" s="328" t="s">
        <v>12</v>
      </c>
    </row>
    <row r="62" spans="1:7" ht="15.75" customHeight="1">
      <c r="A62" s="391"/>
      <c r="B62" s="317" t="s">
        <v>650</v>
      </c>
      <c r="C62" s="444">
        <v>0</v>
      </c>
      <c r="D62" s="196"/>
      <c r="E62" s="317" t="s">
        <v>304</v>
      </c>
      <c r="F62" s="443">
        <v>0</v>
      </c>
    </row>
    <row r="63" spans="1:7" ht="15.75" customHeight="1" thickBot="1">
      <c r="A63" s="391"/>
      <c r="B63" s="379" t="s">
        <v>651</v>
      </c>
      <c r="C63" s="545">
        <v>0</v>
      </c>
      <c r="D63" s="196"/>
      <c r="E63" s="327" t="s">
        <v>388</v>
      </c>
      <c r="F63" s="545">
        <v>0</v>
      </c>
    </row>
    <row r="64" spans="1:7" ht="15.75" customHeight="1" thickBot="1">
      <c r="A64" s="391"/>
      <c r="B64" s="386" t="s">
        <v>192</v>
      </c>
      <c r="C64" s="236" t="s">
        <v>191</v>
      </c>
      <c r="D64" s="196"/>
      <c r="E64" s="243" t="s">
        <v>192</v>
      </c>
      <c r="F64" s="236" t="s">
        <v>191</v>
      </c>
    </row>
    <row r="65" spans="1:6" ht="15.75" customHeight="1" thickBot="1">
      <c r="A65" s="391"/>
      <c r="B65" s="179"/>
      <c r="C65" s="199"/>
      <c r="D65" s="108"/>
      <c r="E65" s="213"/>
      <c r="F65" s="214"/>
    </row>
    <row r="66" spans="1:6" ht="16.5" thickBot="1">
      <c r="A66" s="391"/>
      <c r="B66" s="872" t="s">
        <v>277</v>
      </c>
      <c r="C66" s="881"/>
      <c r="D66" s="881"/>
      <c r="E66" s="881"/>
      <c r="F66" s="882"/>
    </row>
    <row r="67" spans="1:6" ht="14.25" customHeight="1">
      <c r="A67" s="391"/>
      <c r="B67" s="889" t="s">
        <v>547</v>
      </c>
      <c r="C67" s="889"/>
      <c r="D67" s="889"/>
      <c r="E67" s="889"/>
      <c r="F67" s="890"/>
    </row>
    <row r="68" spans="1:6" ht="15" customHeight="1" thickBot="1">
      <c r="A68" s="391"/>
      <c r="B68" s="299"/>
      <c r="C68" s="299"/>
      <c r="D68" s="299"/>
      <c r="E68" s="299"/>
      <c r="F68" s="298"/>
    </row>
    <row r="69" spans="1:6" ht="16.5" thickBot="1">
      <c r="A69" s="391"/>
      <c r="B69" s="903" t="s">
        <v>32</v>
      </c>
      <c r="C69" s="878"/>
      <c r="D69" s="130"/>
      <c r="E69" s="108"/>
      <c r="F69" s="90"/>
    </row>
    <row r="70" spans="1:6" ht="15" customHeight="1">
      <c r="A70" s="391"/>
      <c r="B70" s="385" t="s">
        <v>60</v>
      </c>
      <c r="C70" s="325" t="s">
        <v>199</v>
      </c>
      <c r="D70" s="82"/>
      <c r="E70" s="82"/>
      <c r="F70" s="90"/>
    </row>
    <row r="71" spans="1:6" ht="15" customHeight="1">
      <c r="A71" s="391"/>
      <c r="B71" s="244" t="s">
        <v>68</v>
      </c>
      <c r="C71" s="855" t="s">
        <v>66</v>
      </c>
      <c r="D71" s="82"/>
      <c r="E71" s="82"/>
      <c r="F71" s="90"/>
    </row>
    <row r="72" spans="1:6" ht="15" customHeight="1">
      <c r="A72" s="391"/>
      <c r="B72" s="317" t="s">
        <v>685</v>
      </c>
      <c r="C72" s="854">
        <v>120</v>
      </c>
      <c r="D72" s="82"/>
      <c r="E72" s="82"/>
      <c r="F72" s="90"/>
    </row>
    <row r="73" spans="1:6" ht="15" customHeight="1">
      <c r="A73" s="391"/>
      <c r="B73" s="387" t="s">
        <v>686</v>
      </c>
      <c r="C73" s="324">
        <v>120</v>
      </c>
      <c r="D73" s="82"/>
      <c r="E73" s="82"/>
      <c r="F73" s="90"/>
    </row>
    <row r="74" spans="1:6" ht="15.75" customHeight="1" thickBot="1">
      <c r="A74" s="391"/>
      <c r="B74" s="312" t="s">
        <v>378</v>
      </c>
      <c r="C74" s="326">
        <v>2</v>
      </c>
      <c r="D74" s="82"/>
      <c r="E74" s="82"/>
      <c r="F74" s="90"/>
    </row>
    <row r="75" spans="1:6" ht="13.5" customHeight="1" thickBot="1">
      <c r="A75" s="391"/>
      <c r="B75" s="82"/>
      <c r="C75" s="82"/>
      <c r="D75" s="82"/>
      <c r="E75" s="82"/>
      <c r="F75" s="90"/>
    </row>
    <row r="76" spans="1:6" ht="16.5" thickBot="1">
      <c r="A76" s="391"/>
      <c r="B76" s="872" t="s">
        <v>278</v>
      </c>
      <c r="C76" s="881"/>
      <c r="D76" s="881"/>
      <c r="E76" s="881"/>
      <c r="F76" s="882"/>
    </row>
    <row r="77" spans="1:6" ht="12.75" customHeight="1">
      <c r="A77" s="391"/>
      <c r="B77" s="888" t="s">
        <v>641</v>
      </c>
      <c r="C77" s="889"/>
      <c r="D77" s="889"/>
      <c r="E77" s="889"/>
      <c r="F77" s="890"/>
    </row>
    <row r="78" spans="1:6" ht="12.75" customHeight="1">
      <c r="A78" s="391"/>
      <c r="B78" s="891"/>
      <c r="C78" s="892"/>
      <c r="D78" s="892"/>
      <c r="E78" s="892"/>
      <c r="F78" s="893"/>
    </row>
    <row r="79" spans="1:6" ht="15.75">
      <c r="A79" s="391"/>
      <c r="B79" s="891"/>
      <c r="C79" s="892"/>
      <c r="D79" s="892"/>
      <c r="E79" s="892"/>
      <c r="F79" s="893"/>
    </row>
    <row r="80" spans="1:6" ht="16.5" customHeight="1">
      <c r="A80" s="391"/>
      <c r="B80" s="891"/>
      <c r="C80" s="892"/>
      <c r="D80" s="892"/>
      <c r="E80" s="892"/>
      <c r="F80" s="893"/>
    </row>
    <row r="81" spans="1:8" ht="13.5" customHeight="1" thickBot="1">
      <c r="A81" s="391"/>
      <c r="B81" s="82"/>
      <c r="C81" s="82"/>
      <c r="D81" s="82"/>
      <c r="E81" s="82"/>
      <c r="F81" s="90"/>
    </row>
    <row r="82" spans="1:8" ht="16.5" thickBot="1">
      <c r="A82" s="391"/>
      <c r="B82" s="906" t="s">
        <v>279</v>
      </c>
      <c r="C82" s="907"/>
      <c r="D82" s="82"/>
      <c r="E82" s="877" t="s">
        <v>432</v>
      </c>
      <c r="F82" s="878"/>
    </row>
    <row r="83" spans="1:8" ht="15.75" customHeight="1">
      <c r="A83" s="391"/>
      <c r="B83" s="901" t="s">
        <v>290</v>
      </c>
      <c r="C83" s="899" t="s">
        <v>291</v>
      </c>
      <c r="D83" s="502"/>
      <c r="E83" s="385" t="s">
        <v>433</v>
      </c>
      <c r="F83" s="325" t="s">
        <v>429</v>
      </c>
      <c r="G83" s="501"/>
      <c r="H83" s="110"/>
    </row>
    <row r="84" spans="1:8" ht="16.5" customHeight="1" thickBot="1">
      <c r="A84" s="391"/>
      <c r="B84" s="902"/>
      <c r="C84" s="900"/>
      <c r="D84" s="502"/>
      <c r="E84" s="385" t="s">
        <v>434</v>
      </c>
      <c r="F84" s="444">
        <v>50</v>
      </c>
      <c r="G84" s="293"/>
      <c r="H84" s="151"/>
    </row>
    <row r="85" spans="1:8" ht="15" customHeight="1" thickBot="1">
      <c r="A85" s="391"/>
      <c r="B85" s="388">
        <v>1</v>
      </c>
      <c r="C85" s="330">
        <v>4383.6044840471395</v>
      </c>
      <c r="D85" s="82"/>
      <c r="E85" s="327" t="s">
        <v>531</v>
      </c>
      <c r="F85" s="581">
        <v>0</v>
      </c>
      <c r="G85" s="110"/>
      <c r="H85" s="110"/>
    </row>
    <row r="86" spans="1:8" ht="15" customHeight="1" thickBot="1">
      <c r="A86" s="391"/>
      <c r="B86" s="389">
        <v>2</v>
      </c>
      <c r="C86" s="332">
        <v>2798.0454153492383</v>
      </c>
      <c r="D86" s="82"/>
      <c r="E86" s="331"/>
      <c r="F86" s="90"/>
      <c r="G86" s="110"/>
      <c r="H86" s="110"/>
    </row>
    <row r="87" spans="1:8" ht="15" customHeight="1" thickBot="1">
      <c r="A87" s="391"/>
      <c r="B87" s="389">
        <v>3</v>
      </c>
      <c r="C87" s="332">
        <v>6155.6999137683242</v>
      </c>
      <c r="D87" s="82"/>
      <c r="E87" s="877" t="s">
        <v>294</v>
      </c>
      <c r="F87" s="878"/>
    </row>
    <row r="88" spans="1:8" ht="15" customHeight="1" thickBot="1">
      <c r="A88" s="391"/>
      <c r="B88" s="389">
        <v>4</v>
      </c>
      <c r="C88" s="332">
        <v>5129.7499281402688</v>
      </c>
      <c r="D88" s="82"/>
      <c r="E88" s="240" t="s">
        <v>259</v>
      </c>
      <c r="F88" s="166">
        <v>24</v>
      </c>
    </row>
    <row r="89" spans="1:8" ht="15" customHeight="1">
      <c r="A89" s="391"/>
      <c r="B89" s="389">
        <v>5</v>
      </c>
      <c r="C89" s="332">
        <v>7647.9908019545837</v>
      </c>
      <c r="D89" s="82"/>
      <c r="E89" s="331"/>
      <c r="F89" s="90"/>
    </row>
    <row r="90" spans="1:8" ht="15" customHeight="1">
      <c r="A90" s="391"/>
      <c r="B90" s="389">
        <v>6</v>
      </c>
      <c r="C90" s="332">
        <v>10912.377119862029</v>
      </c>
      <c r="D90" s="82"/>
      <c r="E90" s="331"/>
      <c r="F90" s="90"/>
    </row>
    <row r="91" spans="1:8" ht="15" customHeight="1">
      <c r="A91" s="391"/>
      <c r="B91" s="389">
        <v>7</v>
      </c>
      <c r="C91" s="332">
        <v>8860.4771486059199</v>
      </c>
      <c r="D91" s="82"/>
      <c r="E91" s="331"/>
      <c r="F91" s="90"/>
    </row>
    <row r="92" spans="1:8" ht="15" customHeight="1">
      <c r="A92" s="391"/>
      <c r="B92" s="389">
        <v>8</v>
      </c>
      <c r="C92" s="332">
        <v>8021.0635240011488</v>
      </c>
      <c r="D92" s="82"/>
      <c r="E92" s="331"/>
      <c r="F92" s="90"/>
      <c r="H92" s="216"/>
    </row>
    <row r="93" spans="1:8" ht="15" customHeight="1">
      <c r="A93" s="391"/>
      <c r="B93" s="389">
        <v>9</v>
      </c>
      <c r="C93" s="332">
        <v>11378.718022420233</v>
      </c>
      <c r="D93" s="82"/>
      <c r="E93" s="331"/>
      <c r="F93" s="90"/>
    </row>
    <row r="94" spans="1:8" ht="15" customHeight="1">
      <c r="A94" s="391"/>
      <c r="B94" s="389">
        <v>10</v>
      </c>
      <c r="C94" s="332">
        <v>18187.295199770051</v>
      </c>
      <c r="D94" s="82"/>
      <c r="E94" s="331"/>
      <c r="F94" s="90"/>
    </row>
    <row r="95" spans="1:8" ht="15" customHeight="1">
      <c r="A95" s="391"/>
      <c r="B95" s="389">
        <v>11</v>
      </c>
      <c r="C95" s="332">
        <v>13803.690715722909</v>
      </c>
      <c r="D95" s="82"/>
      <c r="E95" s="331"/>
      <c r="F95" s="90"/>
    </row>
    <row r="96" spans="1:8" ht="15" customHeight="1">
      <c r="A96" s="391"/>
      <c r="B96" s="389">
        <v>12</v>
      </c>
      <c r="C96" s="332">
        <v>12497.93618855993</v>
      </c>
      <c r="D96" s="82"/>
      <c r="E96" s="331"/>
      <c r="F96" s="90"/>
    </row>
    <row r="97" spans="1:6" ht="15" customHeight="1">
      <c r="A97" s="391"/>
      <c r="B97" s="389">
        <v>13</v>
      </c>
      <c r="C97" s="332">
        <v>13150.813452141419</v>
      </c>
      <c r="D97" s="82"/>
      <c r="E97" s="331"/>
      <c r="F97" s="90"/>
    </row>
    <row r="98" spans="1:6" ht="15" customHeight="1">
      <c r="A98" s="391"/>
      <c r="B98" s="389">
        <v>14</v>
      </c>
      <c r="C98" s="332">
        <v>10072.963495257258</v>
      </c>
      <c r="D98" s="82"/>
      <c r="E98" s="331"/>
      <c r="F98" s="90"/>
    </row>
    <row r="99" spans="1:6" ht="15" customHeight="1">
      <c r="A99" s="391"/>
      <c r="B99" s="389">
        <v>15</v>
      </c>
      <c r="C99" s="332">
        <v>11658.522563955157</v>
      </c>
      <c r="D99" s="82"/>
      <c r="E99" s="331"/>
      <c r="F99" s="90"/>
    </row>
    <row r="100" spans="1:6" ht="15" customHeight="1">
      <c r="A100" s="391"/>
      <c r="B100" s="389">
        <v>16</v>
      </c>
      <c r="C100" s="332">
        <v>7647.9908019545837</v>
      </c>
      <c r="D100" s="82"/>
      <c r="E100" s="331"/>
      <c r="F100" s="90"/>
    </row>
    <row r="101" spans="1:6" ht="15" customHeight="1">
      <c r="A101" s="391"/>
      <c r="B101" s="389">
        <v>17</v>
      </c>
      <c r="C101" s="332">
        <v>4290.3363035354978</v>
      </c>
      <c r="D101" s="82"/>
      <c r="E101" s="331"/>
      <c r="F101" s="90"/>
    </row>
    <row r="102" spans="1:6" ht="15" customHeight="1">
      <c r="A102" s="391"/>
      <c r="B102" s="389">
        <v>18</v>
      </c>
      <c r="C102" s="332">
        <v>4103.7999425122152</v>
      </c>
      <c r="D102" s="82"/>
      <c r="E102" s="331"/>
      <c r="F102" s="90"/>
    </row>
    <row r="103" spans="1:6" ht="15" customHeight="1">
      <c r="A103" s="391"/>
      <c r="B103" s="389">
        <v>19</v>
      </c>
      <c r="C103" s="332">
        <v>3450.9226789307272</v>
      </c>
      <c r="D103" s="82"/>
      <c r="E103" s="331"/>
      <c r="F103" s="90"/>
    </row>
    <row r="104" spans="1:6" ht="15" customHeight="1">
      <c r="A104" s="391"/>
      <c r="B104" s="389">
        <v>20</v>
      </c>
      <c r="C104" s="332">
        <v>2984.5817763725208</v>
      </c>
      <c r="D104" s="82"/>
      <c r="E104" s="331"/>
      <c r="F104" s="90"/>
    </row>
    <row r="105" spans="1:6" ht="15" customHeight="1">
      <c r="A105" s="391"/>
      <c r="B105" s="389">
        <v>21</v>
      </c>
      <c r="C105" s="332">
        <v>9047.0135096292015</v>
      </c>
      <c r="D105" s="82"/>
      <c r="E105" s="331"/>
      <c r="F105" s="90"/>
    </row>
    <row r="106" spans="1:6" ht="15" customHeight="1">
      <c r="A106" s="391"/>
      <c r="B106" s="389">
        <v>22</v>
      </c>
      <c r="C106" s="332">
        <v>4383.6044840471395</v>
      </c>
      <c r="D106" s="82"/>
      <c r="E106" s="331"/>
      <c r="F106" s="90"/>
    </row>
    <row r="107" spans="1:6" ht="15" customHeight="1">
      <c r="A107" s="391"/>
      <c r="B107" s="389">
        <v>23</v>
      </c>
      <c r="C107" s="332">
        <v>2798.0454153492383</v>
      </c>
      <c r="D107" s="82"/>
      <c r="E107" s="331"/>
      <c r="F107" s="90"/>
    </row>
    <row r="108" spans="1:6" ht="15.75" customHeight="1" thickBot="1">
      <c r="A108" s="391"/>
      <c r="B108" s="390">
        <v>24</v>
      </c>
      <c r="C108" s="333">
        <v>2051.8999712561076</v>
      </c>
      <c r="D108" s="82"/>
      <c r="E108" s="331"/>
      <c r="F108" s="90"/>
    </row>
    <row r="109" spans="1:6" ht="13.5" customHeight="1" thickBot="1">
      <c r="A109" s="391"/>
      <c r="B109" s="98"/>
      <c r="C109" s="98"/>
      <c r="D109" s="283"/>
      <c r="E109" s="98"/>
      <c r="F109" s="290"/>
    </row>
    <row r="110" spans="1:6">
      <c r="A110" s="91"/>
    </row>
    <row r="111" spans="1:6">
      <c r="C111" s="281"/>
    </row>
    <row r="113" spans="2:5" ht="15">
      <c r="B113" s="151"/>
      <c r="C113" s="550"/>
      <c r="D113" s="151"/>
      <c r="E113" s="151"/>
    </row>
    <row r="114" spans="2:5" ht="15">
      <c r="B114" s="151"/>
      <c r="C114" s="550"/>
      <c r="D114" s="151"/>
      <c r="E114" s="151"/>
    </row>
    <row r="115" spans="2:5">
      <c r="B115" s="151"/>
      <c r="E115" s="151"/>
    </row>
    <row r="116" spans="2:5">
      <c r="B116" s="151"/>
      <c r="E116" s="151"/>
    </row>
    <row r="117" spans="2:5">
      <c r="B117" s="151"/>
      <c r="E117" s="151"/>
    </row>
    <row r="118" spans="2:5">
      <c r="B118" s="151"/>
      <c r="E118" s="151"/>
    </row>
    <row r="119" spans="2:5">
      <c r="B119" s="151"/>
      <c r="E119" s="151"/>
    </row>
    <row r="120" spans="2:5" ht="15">
      <c r="B120" s="151"/>
      <c r="C120" s="550"/>
      <c r="D120" s="151"/>
      <c r="E120" s="151"/>
    </row>
    <row r="121" spans="2:5" ht="15">
      <c r="B121" s="151"/>
      <c r="C121" s="550"/>
      <c r="D121" s="151"/>
      <c r="E121" s="151"/>
    </row>
    <row r="122" spans="2:5" ht="15">
      <c r="B122" s="151"/>
      <c r="C122" s="550"/>
      <c r="D122" s="151"/>
      <c r="E122" s="151"/>
    </row>
    <row r="123" spans="2:5" ht="15">
      <c r="B123" s="151"/>
      <c r="C123" s="550"/>
      <c r="D123" s="151"/>
      <c r="E123" s="151"/>
    </row>
    <row r="124" spans="2:5" ht="15">
      <c r="B124" s="151"/>
      <c r="C124" s="550"/>
      <c r="D124" s="151"/>
      <c r="E124" s="151"/>
    </row>
    <row r="125" spans="2:5" ht="15">
      <c r="B125" s="151"/>
      <c r="C125" s="550"/>
      <c r="D125" s="151"/>
      <c r="E125" s="151"/>
    </row>
    <row r="126" spans="2:5" ht="15">
      <c r="B126" s="151"/>
      <c r="C126" s="550"/>
      <c r="D126" s="151"/>
      <c r="E126" s="151"/>
    </row>
    <row r="127" spans="2:5" ht="15">
      <c r="B127" s="151"/>
      <c r="C127" s="550"/>
      <c r="D127" s="151"/>
      <c r="E127" s="151"/>
    </row>
    <row r="128" spans="2:5" ht="15">
      <c r="B128" s="151"/>
      <c r="C128" s="550"/>
      <c r="D128" s="151"/>
      <c r="E128" s="151"/>
    </row>
    <row r="129" spans="2:5" ht="15">
      <c r="B129" s="151"/>
      <c r="C129" s="550"/>
      <c r="D129" s="151"/>
      <c r="E129" s="151"/>
    </row>
    <row r="130" spans="2:5" ht="15">
      <c r="B130" s="151"/>
      <c r="C130" s="550"/>
      <c r="D130" s="151"/>
      <c r="E130" s="151"/>
    </row>
    <row r="131" spans="2:5" ht="15">
      <c r="B131" s="151"/>
      <c r="C131" s="550"/>
      <c r="D131" s="151"/>
      <c r="E131" s="151"/>
    </row>
    <row r="132" spans="2:5" ht="15">
      <c r="B132" s="151"/>
      <c r="C132" s="550"/>
      <c r="D132" s="151"/>
      <c r="E132" s="151"/>
    </row>
    <row r="133" spans="2:5" ht="15">
      <c r="B133" s="151"/>
      <c r="C133" s="550"/>
      <c r="D133" s="151"/>
      <c r="E133" s="151"/>
    </row>
    <row r="134" spans="2:5" ht="15">
      <c r="B134" s="151"/>
      <c r="C134" s="550"/>
      <c r="D134" s="151"/>
      <c r="E134" s="151"/>
    </row>
    <row r="135" spans="2:5" ht="15">
      <c r="B135" s="151"/>
      <c r="C135" s="550"/>
      <c r="D135" s="151"/>
      <c r="E135" s="151"/>
    </row>
    <row r="136" spans="2:5">
      <c r="B136" s="91"/>
      <c r="C136" s="91"/>
      <c r="D136" s="151"/>
      <c r="E136" s="91"/>
    </row>
    <row r="137" spans="2:5">
      <c r="D137" s="151"/>
    </row>
    <row r="138" spans="2:5">
      <c r="D138" s="151"/>
    </row>
    <row r="139" spans="2:5">
      <c r="D139" s="151"/>
    </row>
    <row r="140" spans="2:5">
      <c r="D140" s="151"/>
    </row>
    <row r="141" spans="2:5">
      <c r="D141" s="110"/>
    </row>
    <row r="142" spans="2:5">
      <c r="B142" s="110"/>
      <c r="C142" s="110"/>
      <c r="D142" s="110"/>
    </row>
    <row r="143" spans="2:5">
      <c r="B143" s="110"/>
      <c r="C143" s="110"/>
      <c r="D143" s="110"/>
    </row>
  </sheetData>
  <dataConsolidate/>
  <mergeCells count="37">
    <mergeCell ref="B5:C5"/>
    <mergeCell ref="B3:F3"/>
    <mergeCell ref="B2:C2"/>
    <mergeCell ref="C83:C84"/>
    <mergeCell ref="B83:B84"/>
    <mergeCell ref="B67:F67"/>
    <mergeCell ref="B69:C69"/>
    <mergeCell ref="B16:F16"/>
    <mergeCell ref="B19:F19"/>
    <mergeCell ref="B23:C23"/>
    <mergeCell ref="B36:C36"/>
    <mergeCell ref="B82:C82"/>
    <mergeCell ref="E55:F55"/>
    <mergeCell ref="E31:F31"/>
    <mergeCell ref="B31:C31"/>
    <mergeCell ref="B76:F76"/>
    <mergeCell ref="B20:F20"/>
    <mergeCell ref="B18:F18"/>
    <mergeCell ref="B17:F17"/>
    <mergeCell ref="E23:F23"/>
    <mergeCell ref="E87:F87"/>
    <mergeCell ref="E82:F82"/>
    <mergeCell ref="B21:F21"/>
    <mergeCell ref="B40:F40"/>
    <mergeCell ref="B41:F42"/>
    <mergeCell ref="B66:F66"/>
    <mergeCell ref="B44:C44"/>
    <mergeCell ref="B55:C55"/>
    <mergeCell ref="E44:F44"/>
    <mergeCell ref="B77:F80"/>
    <mergeCell ref="B8:F8"/>
    <mergeCell ref="B13:F13"/>
    <mergeCell ref="B15:F15"/>
    <mergeCell ref="B7:F7"/>
    <mergeCell ref="B9:E9"/>
    <mergeCell ref="B14:E14"/>
    <mergeCell ref="B10:F12"/>
  </mergeCells>
  <phoneticPr fontId="6" type="noConversion"/>
  <conditionalFormatting sqref="F62">
    <cfRule type="expression" dxfId="124" priority="15">
      <formula>IF(AND($F$61="No",$F$62=0),TRUE,FALSE)</formula>
    </cfRule>
  </conditionalFormatting>
  <conditionalFormatting sqref="F63">
    <cfRule type="expression" dxfId="123" priority="14">
      <formula>IF(AND($F$61="No",$F$63=0),TRUE,FALSE)</formula>
    </cfRule>
  </conditionalFormatting>
  <conditionalFormatting sqref="C62">
    <cfRule type="expression" dxfId="122" priority="13">
      <formula>IF(AND($C$61="No",$C$62=0),TRUE,FALSE)</formula>
    </cfRule>
  </conditionalFormatting>
  <conditionalFormatting sqref="C63">
    <cfRule type="expression" dxfId="121" priority="12">
      <formula>IF(AND($C$61="No",$C$63=0),TRUE,FALSE)</formula>
    </cfRule>
  </conditionalFormatting>
  <conditionalFormatting sqref="C51">
    <cfRule type="expression" dxfId="120" priority="11">
      <formula>IF(AND($C$50="No",$C$51=0),TRUE,FALSE)</formula>
    </cfRule>
  </conditionalFormatting>
  <conditionalFormatting sqref="C52">
    <cfRule type="expression" dxfId="119" priority="10">
      <formula>IF(AND($C$50="No",$C$52=0),TRUE,FALSE)</formula>
    </cfRule>
  </conditionalFormatting>
  <conditionalFormatting sqref="E25:F27">
    <cfRule type="expression" dxfId="118" priority="8">
      <formula>IF(numSCRTarget=0,TRUE,FALSE)</formula>
    </cfRule>
  </conditionalFormatting>
  <conditionalFormatting sqref="E33:F33">
    <cfRule type="expression" dxfId="117" priority="7">
      <formula>IF(DBSizeOverride="Yes",TRUE,FALSE)</formula>
    </cfRule>
  </conditionalFormatting>
  <conditionalFormatting sqref="E62:F63">
    <cfRule type="expression" dxfId="116" priority="6">
      <formula>IF(Tier3PredictIOPS="Yes",TRUE,FALSE)</formula>
    </cfRule>
  </conditionalFormatting>
  <conditionalFormatting sqref="B62:C63">
    <cfRule type="expression" dxfId="115" priority="5">
      <formula>IF(Tier2PredictIOPS="Yes",TRUE,FALSE)</formula>
    </cfRule>
  </conditionalFormatting>
  <conditionalFormatting sqref="B51:C52">
    <cfRule type="expression" dxfId="114" priority="4">
      <formula>IF(Tier1PredictIOPS="Yes",TRUE,FALSE)</formula>
    </cfRule>
  </conditionalFormatting>
  <conditionalFormatting sqref="F33">
    <cfRule type="expression" dxfId="113" priority="2">
      <formula>IF(AND(DBSizeOverride="No",CustomMaxDBSize=0),TRUE,FALSE)</formula>
    </cfRule>
  </conditionalFormatting>
  <conditionalFormatting sqref="B72:C73">
    <cfRule type="expression" dxfId="112" priority="1">
      <formula>IF(BackupMethod&lt;&gt;"Streaming",TRUE,FALSE)</formula>
    </cfRule>
  </conditionalFormatting>
  <dataValidations count="14">
    <dataValidation type="list" allowBlank="1" showInputMessage="1" showErrorMessage="1" sqref="C70">
      <formula1>varBackupMethod</formula1>
    </dataValidation>
    <dataValidation type="list" allowBlank="1" showInputMessage="1" showErrorMessage="1" sqref="C71">
      <formula1>varBackupFreq</formula1>
    </dataValidation>
    <dataValidation type="list" allowBlank="1" showInputMessage="1" showErrorMessage="1" sqref="F25">
      <formula1>varSCRHAOption</formula1>
    </dataValidation>
    <dataValidation type="list" allowBlank="1" showInputMessage="1" showErrorMessage="1" sqref="F24">
      <formula1>varSCRTarget</formula1>
    </dataValidation>
    <dataValidation type="list" allowBlank="1" showInputMessage="1" showErrorMessage="1" sqref="F88 F65">
      <formula1>varHours</formula1>
    </dataValidation>
    <dataValidation type="list" allowBlank="1" showInputMessage="1" showErrorMessage="1" sqref="F32 C28 C61 C50 F61">
      <formula1>varYNQuestion</formula1>
    </dataValidation>
    <dataValidation type="list" allowBlank="1" showInputMessage="1" showErrorMessage="1" sqref="C27">
      <formula1>varEnabledQuestion</formula1>
    </dataValidation>
    <dataValidation type="list" allowBlank="1" showInputMessage="1" showErrorMessage="1" sqref="C53 F64 C64">
      <formula1>varOutlookMode</formula1>
    </dataValidation>
    <dataValidation type="list" allowBlank="1" showInputMessage="1" showErrorMessage="1" sqref="C58 C47 F58">
      <formula1>varUserProfile</formula1>
    </dataValidation>
    <dataValidation type="list" allowBlank="1" showInputMessage="1" showErrorMessage="1" sqref="F83">
      <formula1>varNetLinkType</formula1>
    </dataValidation>
    <dataValidation operator="greaterThan" allowBlank="1" showInputMessage="1" showErrorMessage="1" sqref="C63 F63"/>
    <dataValidation type="list" allowBlank="1" showInputMessage="1" showErrorMessage="1" sqref="C26">
      <formula1>varHAOption</formula1>
    </dataValidation>
    <dataValidation type="list" allowBlank="1" showInputMessage="1" showErrorMessage="1" sqref="C24">
      <formula1>varExVersion</formula1>
    </dataValidation>
    <dataValidation type="whole" operator="greaterThanOrEqual" allowBlank="1" showInputMessage="1" showErrorMessage="1" sqref="C25">
      <formula1>1</formula1>
    </dataValidation>
  </dataValidations>
  <pageMargins left="0.75" right="0.75" top="1" bottom="1" header="0.5" footer="0.5"/>
  <pageSetup scale="38" orientation="portrait" horizont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dimension ref="A1:N104"/>
  <sheetViews>
    <sheetView showGridLines="0" showRowColHeaders="0" zoomScale="85" zoomScaleNormal="85" workbookViewId="0">
      <selection sqref="A1:F1"/>
    </sheetView>
  </sheetViews>
  <sheetFormatPr defaultRowHeight="12.75" outlineLevelRow="1"/>
  <cols>
    <col min="1" max="1" width="64.85546875" customWidth="1"/>
    <col min="2" max="2" width="15" bestFit="1" customWidth="1"/>
    <col min="3" max="3" width="14.42578125" bestFit="1" customWidth="1"/>
    <col min="4" max="4" width="13.7109375" style="629" customWidth="1"/>
    <col min="5" max="5" width="55" bestFit="1" customWidth="1"/>
    <col min="6" max="6" width="19.42578125" bestFit="1" customWidth="1"/>
    <col min="8" max="8" width="17.85546875" customWidth="1"/>
    <col min="9" max="11" width="17" bestFit="1" customWidth="1"/>
  </cols>
  <sheetData>
    <row r="1" spans="1:14" s="74" customFormat="1">
      <c r="A1" s="920" t="s">
        <v>2</v>
      </c>
      <c r="B1" s="921"/>
      <c r="C1" s="921"/>
      <c r="D1" s="921"/>
      <c r="E1" s="921"/>
      <c r="F1" s="867"/>
    </row>
    <row r="2" spans="1:14" s="74" customFormat="1">
      <c r="A2" s="870" t="s">
        <v>285</v>
      </c>
      <c r="B2" s="870"/>
      <c r="C2" s="870"/>
      <c r="D2" s="870"/>
      <c r="E2" s="870"/>
      <c r="F2" s="871"/>
    </row>
    <row r="3" spans="1:14" s="74" customFormat="1" ht="12.75" customHeight="1">
      <c r="A3" s="870" t="s">
        <v>350</v>
      </c>
      <c r="B3" s="870"/>
      <c r="C3" s="870"/>
      <c r="D3" s="870"/>
      <c r="E3" s="870"/>
      <c r="F3" s="871"/>
    </row>
    <row r="4" spans="1:14" s="74" customFormat="1">
      <c r="A4" s="870"/>
      <c r="B4" s="870"/>
      <c r="C4" s="870"/>
      <c r="D4" s="870"/>
      <c r="E4" s="870"/>
      <c r="F4" s="871"/>
    </row>
    <row r="5" spans="1:14" s="74" customFormat="1" ht="27" customHeight="1">
      <c r="A5" s="926" t="s">
        <v>420</v>
      </c>
      <c r="B5" s="926"/>
      <c r="C5" s="926"/>
      <c r="D5" s="926"/>
      <c r="E5" s="926"/>
      <c r="F5" s="871"/>
    </row>
    <row r="6" spans="1:14" s="74" customFormat="1" ht="13.5" thickBot="1">
      <c r="A6" s="91"/>
      <c r="G6" s="88"/>
    </row>
    <row r="7" spans="1:14" s="74" customFormat="1" ht="16.5" thickBot="1">
      <c r="A7" s="922" t="s">
        <v>114</v>
      </c>
      <c r="B7" s="923"/>
      <c r="C7" s="923"/>
      <c r="D7" s="923"/>
      <c r="E7" s="923"/>
      <c r="F7" s="924"/>
    </row>
    <row r="8" spans="1:14" s="74" customFormat="1" ht="13.5" hidden="1" customHeight="1" outlineLevel="1" thickBot="1">
      <c r="A8" s="196"/>
      <c r="B8" s="81"/>
      <c r="C8" s="81"/>
      <c r="D8" s="628"/>
      <c r="E8" s="81"/>
      <c r="F8" s="168"/>
    </row>
    <row r="9" spans="1:14" s="74" customFormat="1" ht="16.5" hidden="1" customHeight="1" outlineLevel="1" thickBot="1">
      <c r="A9" s="908" t="s">
        <v>306</v>
      </c>
      <c r="B9" s="909"/>
      <c r="C9" s="81"/>
      <c r="D9" s="628"/>
      <c r="E9" s="910" t="s">
        <v>307</v>
      </c>
      <c r="F9" s="909"/>
    </row>
    <row r="10" spans="1:14" s="74" customFormat="1" ht="15" hidden="1" customHeight="1" outlineLevel="1">
      <c r="A10" s="792" t="s">
        <v>525</v>
      </c>
      <c r="B10" s="598">
        <f>NumTier1MBX+(NumTier1MBX*Tier1NumGrowth)</f>
        <v>4000</v>
      </c>
      <c r="C10" s="587"/>
      <c r="D10" s="628"/>
      <c r="E10" s="345" t="s">
        <v>527</v>
      </c>
      <c r="F10" s="598">
        <f>NumTier2MBX+(NumTier2MBX*Tier2NumGrowth)</f>
        <v>0</v>
      </c>
    </row>
    <row r="11" spans="1:14" s="74" customFormat="1" ht="15" hidden="1" customHeight="1" outlineLevel="1">
      <c r="A11" s="336" t="s">
        <v>47</v>
      </c>
      <c r="B11" s="342" t="str">
        <f>IF(calcTier1MBX&lt;&gt;0,VLOOKUP(Tier1SendReceive,TblSendReceive,2,FALSE),"--")</f>
        <v>Heavy</v>
      </c>
      <c r="C11" s="81"/>
      <c r="D11" s="628"/>
      <c r="E11" s="335" t="s">
        <v>47</v>
      </c>
      <c r="F11" s="342" t="str">
        <f>IF(calcTier2MBX&lt;&gt;0,VLOOKUP(Tier2SendReceive,TblSendReceive,2,FALSE),"--")</f>
        <v>--</v>
      </c>
    </row>
    <row r="12" spans="1:14" s="74" customFormat="1" ht="15" hidden="1" customHeight="1" outlineLevel="1">
      <c r="A12" s="336" t="s">
        <v>45</v>
      </c>
      <c r="B12" s="343" t="str">
        <f>IF(calcTier1MBX&lt;&gt;0,IF(Tier1MessageProfile="Light","Light (2MB)",IF(Tier1MessageProfile="Average","Average (3.5MB)",IF(Tier1MessageProfile="Heavy","Heavy (5MB)",IF(Tier1MessageProfile="Very Heavy","Heavy (5MB)")))),"--")</f>
        <v>Heavy (5MB)</v>
      </c>
      <c r="C12" s="81"/>
      <c r="D12" s="628"/>
      <c r="E12" s="102" t="s">
        <v>45</v>
      </c>
      <c r="F12" s="343" t="str">
        <f>IF(calcTier2MBX&lt;&gt;0,IF(Tier2MessageProfile="Light","Light (2MB)",IF(Tier2MessageProfile="Average","Average (3.5MB)",IF(Tier2MessageProfile="Heavy","Heavy (5MB)",IF(Tier2MessageProfile="Very Heavy","Heavy (5MB)")))),"--")</f>
        <v>--</v>
      </c>
    </row>
    <row r="13" spans="1:14" s="74" customFormat="1" ht="15" hidden="1" customHeight="1" outlineLevel="1">
      <c r="A13" s="103" t="s">
        <v>209</v>
      </c>
      <c r="B13" s="234">
        <f>IF(calcTier1MBX&lt;&gt;0,VLOOKUP(Tier1SendReceive,TblSendReceive,4,FALSE)*MROUND(Tier1AvgMessageSize/52.6315789473684,0.1),0)</f>
        <v>24</v>
      </c>
      <c r="C13" s="89"/>
      <c r="D13" s="632"/>
      <c r="E13" s="349" t="s">
        <v>209</v>
      </c>
      <c r="F13" s="234">
        <f>IF(calcTier2MBX&lt;&gt;0,VLOOKUP(Tier2SendReceive,TblSendReceive,4,FALSE)*MROUND(Tier2AvgMessageSize/52.6315789473684,0.1),0)</f>
        <v>0</v>
      </c>
      <c r="I13" s="281"/>
      <c r="K13" s="269"/>
    </row>
    <row r="14" spans="1:14" s="74" customFormat="1" ht="15" hidden="1" customHeight="1" outlineLevel="1">
      <c r="A14" s="336" t="s">
        <v>34</v>
      </c>
      <c r="B14" s="342">
        <f>ROUNDUP(IF(calcTier1MBX&lt;&gt;0,Tier1MBXLimit+(VLOOKUP(Tier1SendReceive,TblSendReceive,3,FALSE)*(Tier1AvgMessageSize/1024))+((VLOOKUP(Tier1SendReceive,TblSendReceive,3,FALSE)*(Tier1AvgMessageSize/1024))*DeletedItemWindow),0),0)</f>
        <v>2122</v>
      </c>
      <c r="C14" s="89"/>
      <c r="D14" s="632"/>
      <c r="E14" s="334" t="s">
        <v>34</v>
      </c>
      <c r="F14" s="342">
        <f>ROUNDUP(IF(calcTier2MBX&lt;&gt;0,Tier2MBXLimit+(VLOOKUP(Tier2SendReceive,TblSendReceive,3,FALSE)*(Tier2AvgMessageSize/1024))+((VLOOKUP(Tier2SendReceive,TblSendReceive,3,FALSE)*(Tier2AvgMessageSize/1024))*DeletedItemWindow),0),0)</f>
        <v>0</v>
      </c>
      <c r="I14" s="436"/>
      <c r="K14" s="436"/>
      <c r="M14" s="437"/>
      <c r="N14" s="438"/>
    </row>
    <row r="15" spans="1:14" s="74" customFormat="1" ht="15" hidden="1" customHeight="1" outlineLevel="1">
      <c r="A15" s="337" t="s">
        <v>185</v>
      </c>
      <c r="B15" s="341">
        <f>IF(calcTier1MBX&lt;&gt;0,IF((StoreRAM/SG*1/MBXPerDB*1024)&gt;=5,5,(StoreRAM/SG*1/MBXPerDB*1024)),0)</f>
        <v>5</v>
      </c>
      <c r="C15" s="89"/>
      <c r="D15" s="632"/>
      <c r="E15" s="346" t="s">
        <v>185</v>
      </c>
      <c r="F15" s="340">
        <f>IF(calcTier2MBX&lt;&gt;0,IF((StoreRAM/SG*1/MBXPerDB*1024)&gt;=5,5,(StoreRAM/SG*1/MBXPerDB*1024)),0)</f>
        <v>0</v>
      </c>
      <c r="H15" s="269"/>
      <c r="I15" s="436"/>
      <c r="K15" s="436"/>
      <c r="M15" s="437"/>
      <c r="N15" s="439"/>
    </row>
    <row r="16" spans="1:14" s="74" customFormat="1" ht="15" hidden="1" customHeight="1" outlineLevel="1">
      <c r="A16" s="104" t="s">
        <v>184</v>
      </c>
      <c r="B16" s="105">
        <f>IF(calcTier1MBX&lt;&gt;0,IF(Tier1PredictIOPS="Yes",(0.0048*VLOOKUP(Tier1SendReceive,TblSendReceive,3,FALSE))*(calcTier1DBCache^-0.65)*IF(AND(Tier1OLClientMode="Online Mode",Tier1MBXSize&gt;=128),MROUND(Tier1MBXSize/170.666666,0.5),1),"--"),0)</f>
        <v>0.16862064047481864</v>
      </c>
      <c r="C16" s="89"/>
      <c r="D16" s="196"/>
      <c r="E16" s="346" t="s">
        <v>184</v>
      </c>
      <c r="F16" s="340">
        <f>IF(calcTier2MBX&lt;&gt;0,IF(Tier2PredictIOPS="Yes",(0.0048*VLOOKUP(Tier2SendReceive,TblSendReceive,3,FALSE))*(calcTier2DBCache^-0.65)*IF(AND(Tier2OLClientMode="Online Mode",Tier2MBXSize&gt;=128),MROUND(Tier2MBXSize/170.666666,0.5),1),"--"),0)</f>
        <v>0</v>
      </c>
      <c r="I16" s="436"/>
      <c r="K16" s="436"/>
      <c r="M16" s="437"/>
      <c r="N16" s="438"/>
    </row>
    <row r="17" spans="1:14" s="74" customFormat="1" ht="15" hidden="1" customHeight="1" outlineLevel="1">
      <c r="A17" s="338" t="s">
        <v>186</v>
      </c>
      <c r="B17" s="340">
        <f>IF(calcTier1MBX&lt;&gt;0,IF(Tier1PredictIOPS="Yes",(0.00152*VLOOKUP(Tier1SendReceive,TblSendReceive,3,FALSE)),"--"),0)</f>
        <v>0.152</v>
      </c>
      <c r="C17" s="89"/>
      <c r="D17" s="632"/>
      <c r="E17" s="338" t="s">
        <v>186</v>
      </c>
      <c r="F17" s="340">
        <f>IF(calcTier2MBX&lt;&gt;0,IF(Tier2PredictIOPS="Yes",(0.00152*VLOOKUP(Tier2SendReceive,TblSendReceive,3,FALSE)),"--"),0)</f>
        <v>0</v>
      </c>
      <c r="I17" s="436"/>
      <c r="K17" s="436"/>
      <c r="M17" s="437"/>
      <c r="N17" s="439"/>
    </row>
    <row r="18" spans="1:14" s="74" customFormat="1" ht="15" hidden="1" customHeight="1" outlineLevel="1">
      <c r="A18" s="338" t="s">
        <v>412</v>
      </c>
      <c r="B18" s="440">
        <f>IF(calcTier1MBX&lt;&gt;0,IF(Tier1PredictIOPS="Yes",calcTier1DBReads/TotTier1IOPS,Tier1RWRatio),0)</f>
        <v>0.52591947987223242</v>
      </c>
      <c r="C18" s="89"/>
      <c r="D18" s="632"/>
      <c r="E18" s="338" t="s">
        <v>412</v>
      </c>
      <c r="F18" s="440">
        <f>IF(calcTier2MBX&lt;&gt;0,IF(Tier2PredictIOPS="Yes",calcTier2DBReads/TotTier2IOPS,Tier2RWRatio),0)</f>
        <v>0</v>
      </c>
      <c r="I18" s="436"/>
      <c r="K18" s="436"/>
      <c r="M18" s="437"/>
      <c r="N18" s="439"/>
    </row>
    <row r="19" spans="1:14" s="74" customFormat="1" ht="15.75" hidden="1" customHeight="1" outlineLevel="1" thickBot="1">
      <c r="A19" s="491" t="s">
        <v>46</v>
      </c>
      <c r="B19" s="339">
        <f>IF(calcTier1MBX&lt;&gt;0,IF(Tier1PredictIOPS="Yes",(calcTier1DBReads+calcTier1DBWrites),Tier1IOPS),0)</f>
        <v>0.32062064047481864</v>
      </c>
      <c r="C19" s="89"/>
      <c r="D19" s="632"/>
      <c r="E19" s="491" t="s">
        <v>46</v>
      </c>
      <c r="F19" s="339">
        <f>IF(calcTier2MBX&lt;&gt;0,IF(Tier2PredictIOPS="Yes",(calcTier2DBReads+calcTier2DBWrites),Tier2IOPS),0)</f>
        <v>0</v>
      </c>
      <c r="I19" s="151"/>
      <c r="J19" s="151"/>
      <c r="K19" s="151"/>
    </row>
    <row r="20" spans="1:14" s="74" customFormat="1" ht="15.75" hidden="1" customHeight="1" outlineLevel="1">
      <c r="A20" s="119" t="s">
        <v>414</v>
      </c>
      <c r="B20" s="495">
        <f>calcTier1MBX/NumMBXServers*TotTier1IOPS*UserConcurrency</f>
        <v>1282.4825618992745</v>
      </c>
      <c r="C20" s="196"/>
      <c r="D20" s="669"/>
      <c r="E20" s="119" t="s">
        <v>414</v>
      </c>
      <c r="F20" s="495">
        <f>calcTier2MBX/NumMBXServers*TotTier2IOPS*UserConcurrency</f>
        <v>0</v>
      </c>
      <c r="I20" s="151"/>
      <c r="J20" s="151"/>
      <c r="K20" s="151"/>
    </row>
    <row r="21" spans="1:14" s="74" customFormat="1" ht="15.75" hidden="1" customHeight="1" outlineLevel="1">
      <c r="A21" s="493" t="s">
        <v>0</v>
      </c>
      <c r="B21" s="496">
        <f>Tier1DBTransfers*calcTier1RWRatio</f>
        <v>674.48256189927463</v>
      </c>
      <c r="C21" s="196"/>
      <c r="D21" s="669"/>
      <c r="E21" s="493" t="s">
        <v>0</v>
      </c>
      <c r="F21" s="496">
        <f>Tier2DBTransfers*calcTier2RWRatio</f>
        <v>0</v>
      </c>
      <c r="I21" s="151"/>
      <c r="J21" s="151"/>
      <c r="K21" s="151"/>
    </row>
    <row r="22" spans="1:14" s="74" customFormat="1" ht="15.75" hidden="1" customHeight="1" outlineLevel="1" thickBot="1">
      <c r="A22" s="491" t="s">
        <v>1</v>
      </c>
      <c r="B22" s="497">
        <f>Tier1DBTransfers*(1-calcTier1RWRatio)</f>
        <v>607.99999999999989</v>
      </c>
      <c r="C22" s="196"/>
      <c r="D22" s="632"/>
      <c r="E22" s="491" t="s">
        <v>1</v>
      </c>
      <c r="F22" s="497">
        <f>Tier2DBTransfers*(1-calcTier2RWRatio)</f>
        <v>0</v>
      </c>
      <c r="I22" s="151"/>
      <c r="J22" s="151"/>
      <c r="K22" s="151"/>
    </row>
    <row r="23" spans="1:14" s="74" customFormat="1" ht="15.75" hidden="1" customHeight="1" outlineLevel="1" thickBot="1">
      <c r="A23" s="121"/>
      <c r="B23" s="122"/>
      <c r="C23" s="108"/>
      <c r="D23" s="108"/>
      <c r="E23" s="494"/>
      <c r="F23" s="201"/>
      <c r="I23" s="151"/>
      <c r="J23" s="151"/>
      <c r="K23" s="268"/>
    </row>
    <row r="24" spans="1:14" s="74" customFormat="1" ht="16.5" hidden="1" customHeight="1" outlineLevel="1" thickBot="1">
      <c r="A24" s="910" t="s">
        <v>305</v>
      </c>
      <c r="B24" s="909"/>
      <c r="C24" s="196"/>
      <c r="D24" s="196"/>
      <c r="E24" s="910" t="s">
        <v>7</v>
      </c>
      <c r="F24" s="909"/>
      <c r="K24" s="151"/>
    </row>
    <row r="25" spans="1:14" s="74" customFormat="1" ht="15" hidden="1" customHeight="1" outlineLevel="1">
      <c r="A25" s="345" t="s">
        <v>526</v>
      </c>
      <c r="B25" s="598">
        <f>NumTier3MBX+(NumTier3MBX*Tier3NumGrowth)</f>
        <v>0</v>
      </c>
      <c r="C25" s="196"/>
      <c r="D25" s="196"/>
      <c r="E25" s="350" t="s">
        <v>413</v>
      </c>
      <c r="F25" s="492">
        <f>(Tier1ReadTransfers+Tier2ReadTransfers+Tier3ReadTransfers)/(Tier1DBTransfers+Tier2DBTransfers+Tier3DBTransfers)</f>
        <v>0.52591947987223242</v>
      </c>
      <c r="G25" s="108"/>
      <c r="K25" s="151"/>
    </row>
    <row r="26" spans="1:14" s="74" customFormat="1" ht="15" hidden="1" customHeight="1" outlineLevel="1">
      <c r="A26" s="335" t="s">
        <v>47</v>
      </c>
      <c r="B26" s="342" t="str">
        <f>IF(calcTier3MBX&lt;&gt;0,VLOOKUP(Tier3SendReceive,TblSendReceive,2,FALSE),"--")</f>
        <v>--</v>
      </c>
      <c r="C26" s="196"/>
      <c r="D26" s="196"/>
      <c r="E26" s="349" t="s">
        <v>6</v>
      </c>
      <c r="F26" s="347">
        <f>(Tier1DBTransfers+Tier3DBTransfers+Tier2DBTransfers+AdditionalIO)*(1+IOGrowth)</f>
        <v>1538.9790742791295</v>
      </c>
      <c r="G26" s="108"/>
      <c r="K26" s="151"/>
    </row>
    <row r="27" spans="1:14" s="74" customFormat="1" ht="15" hidden="1" customHeight="1" outlineLevel="1">
      <c r="A27" s="335" t="s">
        <v>45</v>
      </c>
      <c r="B27" s="343" t="str">
        <f>IF(calcTier3MBX&lt;&gt;0,IF(Tier3MessageProfile="Light","Light (2MB)",IF(Tier3MessageProfile="Average","Average (3.5MB)",IF(Tier3MessageProfile="Heavy","Heavy (5MB)",IF(Tier3MessageProfile="Very Heavy","Heavy (5MB)")))),"--")</f>
        <v>--</v>
      </c>
      <c r="C27" s="196"/>
      <c r="D27" s="196"/>
      <c r="E27" s="100" t="s">
        <v>0</v>
      </c>
      <c r="F27" s="347">
        <f>PeakIOPS*aggRWRatio</f>
        <v>809.37907427912955</v>
      </c>
      <c r="G27" s="130"/>
      <c r="K27" s="151"/>
    </row>
    <row r="28" spans="1:14" s="74" customFormat="1" ht="15" hidden="1" customHeight="1" outlineLevel="1">
      <c r="A28" s="349" t="s">
        <v>209</v>
      </c>
      <c r="B28" s="234">
        <f>IF(calcTier3MBX&lt;&gt;0,VLOOKUP(Tier3SendReceive,TblSendReceive,4,FALSE)*MROUND(Tier3AvgMessageSize/52.6315789473684,0.1),0)</f>
        <v>0</v>
      </c>
      <c r="C28" s="196"/>
      <c r="D28" s="196"/>
      <c r="E28" s="349" t="s">
        <v>1</v>
      </c>
      <c r="F28" s="347">
        <f>PeakIOPS*(1-aggRWRatio)</f>
        <v>729.59999999999991</v>
      </c>
      <c r="G28" s="445"/>
      <c r="K28" s="151"/>
    </row>
    <row r="29" spans="1:14" s="74" customFormat="1" ht="15" hidden="1" customHeight="1" outlineLevel="1">
      <c r="A29" s="789" t="s">
        <v>34</v>
      </c>
      <c r="B29" s="342">
        <f>ROUNDUP(IF(calcTier3MBX&lt;&gt;0,Tier3MBXLimit+(VLOOKUP(Tier3SendReceive,TblSendReceive,3,FALSE)*(Tier3AvgMessageSize/1024))+((VLOOKUP(Tier3SendReceive,TblSendReceive,3,FALSE)*(Tier3AvgMessageSize/1024))*DeletedItemWindow),0),0)</f>
        <v>0</v>
      </c>
      <c r="C29" s="196"/>
      <c r="D29" s="196"/>
      <c r="E29" s="349" t="s">
        <v>116</v>
      </c>
      <c r="F29" s="101">
        <f>WriteTransfers *0.75</f>
        <v>547.19999999999993</v>
      </c>
      <c r="G29" s="445"/>
      <c r="K29" s="151"/>
    </row>
    <row r="30" spans="1:14" s="74" customFormat="1" ht="15" hidden="1" customHeight="1" outlineLevel="1" thickBot="1">
      <c r="A30" s="788" t="s">
        <v>185</v>
      </c>
      <c r="B30" s="105">
        <f>IF(calcTier3MBX&lt;&gt;0,IF((StoreRAM/SG*1/MBXPerDB*1024)&gt;=5,5,(StoreRAM/SG*1/MBXPerDB*1024)),0)</f>
        <v>0</v>
      </c>
      <c r="C30" s="196"/>
      <c r="D30" s="196"/>
      <c r="E30" s="106" t="s">
        <v>40</v>
      </c>
      <c r="F30" s="348">
        <f>IF(OR(HAOption="CCR",HAOption="LCR"),LogWriteTransfers*0.1,0)</f>
        <v>54.72</v>
      </c>
      <c r="G30" s="130"/>
      <c r="K30" s="151"/>
    </row>
    <row r="31" spans="1:14" s="74" customFormat="1" ht="15.75" hidden="1" customHeight="1" outlineLevel="1">
      <c r="A31" s="500" t="s">
        <v>184</v>
      </c>
      <c r="B31" s="340">
        <f>IF(calcTier3MBX&lt;&gt;0,IF(Tier3PredictIOPS="Yes",(0.0048*VLOOKUP(Tier3SendReceive,TblSendReceive,3,FALSE))*(calcTier3DBCache^-0.65)*IF(AND(Tier3OLClientMode="Online Mode",Tier3MBXSize&gt;=128),MROUND(Tier3MBXSize/170.666666,0.5),1),"--"),0)</f>
        <v>0</v>
      </c>
      <c r="C31" s="196"/>
      <c r="D31" s="196"/>
      <c r="F31" s="202"/>
      <c r="G31" s="82"/>
      <c r="K31" s="151"/>
    </row>
    <row r="32" spans="1:14" s="74" customFormat="1" ht="15" hidden="1" customHeight="1" outlineLevel="1" thickBot="1">
      <c r="A32" s="790" t="s">
        <v>186</v>
      </c>
      <c r="B32" s="441">
        <f>IF(calcTier3MBX&lt;&gt;0,IF(Tier3PredictIOPS="Yes",(0.00152*VLOOKUP(Tier3SendReceive,TblSendReceive,3,FALSE)),"--"),0)</f>
        <v>0</v>
      </c>
      <c r="C32" s="196"/>
      <c r="D32" s="196"/>
      <c r="E32" s="121"/>
      <c r="F32" s="202"/>
      <c r="K32" s="151"/>
      <c r="L32" s="151"/>
    </row>
    <row r="33" spans="1:12" s="74" customFormat="1" ht="15" hidden="1" customHeight="1" outlineLevel="1" thickBot="1">
      <c r="A33" s="790" t="s">
        <v>412</v>
      </c>
      <c r="B33" s="340">
        <f>IF(calcTier3MBX&lt;&gt;0,IF(Tier3PredictIOPS="Yes",calcExecDBReads/TotTier3IOPS,Tier3RWRatio),0)</f>
        <v>0</v>
      </c>
      <c r="C33" s="196"/>
      <c r="D33" s="196"/>
      <c r="E33" s="910" t="s">
        <v>39</v>
      </c>
      <c r="F33" s="925"/>
      <c r="K33" s="151"/>
      <c r="L33" s="151"/>
    </row>
    <row r="34" spans="1:12" s="74" customFormat="1" ht="15" hidden="1" customHeight="1" outlineLevel="1" thickBot="1">
      <c r="A34" s="357" t="s">
        <v>46</v>
      </c>
      <c r="B34" s="107">
        <f>IF(calcTier3MBX&lt;&gt;0,IF(Tier3PredictIOPS="Yes",(calcTier3DBWrites+calcExecDBReads),Tier3IOPS),0)</f>
        <v>0</v>
      </c>
      <c r="C34" s="196"/>
      <c r="D34" s="196"/>
      <c r="E34" s="360" t="s">
        <v>386</v>
      </c>
      <c r="F34" s="182">
        <f>(calcTier1MBX/NumMBXServers)/TotalMBXPerSvr</f>
        <v>1</v>
      </c>
      <c r="K34" s="151"/>
      <c r="L34" s="151"/>
    </row>
    <row r="35" spans="1:12" s="74" customFormat="1" ht="15.75" hidden="1" customHeight="1" outlineLevel="1">
      <c r="A35" s="591" t="s">
        <v>414</v>
      </c>
      <c r="B35" s="495">
        <f>calcTier3MBX/NumMBXServers*TotTier3IOPS*UserConcurrency</f>
        <v>0</v>
      </c>
      <c r="C35" s="196"/>
      <c r="D35" s="196"/>
      <c r="E35" s="346" t="s">
        <v>385</v>
      </c>
      <c r="F35" s="359">
        <f>(calcTier2MBX/NumMBXServers)/TotalMBXPerSvr</f>
        <v>0</v>
      </c>
      <c r="K35" s="151"/>
      <c r="L35" s="151"/>
    </row>
    <row r="36" spans="1:12" s="74" customFormat="1" ht="15.75" hidden="1" customHeight="1" outlineLevel="1" thickBot="1">
      <c r="A36" s="791" t="s">
        <v>0</v>
      </c>
      <c r="B36" s="496">
        <f>Tier3DBTransfers*calcTier3RWRatio</f>
        <v>0</v>
      </c>
      <c r="C36" s="196"/>
      <c r="D36" s="196"/>
      <c r="E36" s="148" t="s">
        <v>384</v>
      </c>
      <c r="F36" s="358">
        <f>(calcTier3MBX/NumMBXServers)/TotalMBXPerSvr</f>
        <v>0</v>
      </c>
      <c r="K36" s="151"/>
      <c r="L36" s="151"/>
    </row>
    <row r="37" spans="1:12" s="74" customFormat="1" ht="15.75" hidden="1" customHeight="1" outlineLevel="1" thickBot="1">
      <c r="A37" s="491" t="s">
        <v>1</v>
      </c>
      <c r="B37" s="497">
        <f>Tier3DBTransfers*(1-calcTier3RWRatio)</f>
        <v>0</v>
      </c>
      <c r="C37" s="196"/>
      <c r="D37" s="196"/>
      <c r="E37" s="350" t="s">
        <v>267</v>
      </c>
      <c r="F37" s="267">
        <f>((IF(DBSizeOverride="Yes",VLOOKUP(HAOption,TblDBSize,2,FALSE),CustomMaxDBSize)*1024)/((Tier1MBXRatio*Tier1MBXSize)+(Tier3MBXRatio*Tier3MBXSize)+(Tier2MBXRatio*Tier2MBXSize)))</f>
        <v>96.512723845428837</v>
      </c>
      <c r="K37" s="151"/>
      <c r="L37" s="151"/>
    </row>
    <row r="38" spans="1:12" s="74" customFormat="1" ht="15.75" hidden="1" customHeight="1" outlineLevel="1" thickBot="1">
      <c r="A38" s="811"/>
      <c r="B38" s="810"/>
      <c r="C38" s="196"/>
      <c r="D38" s="196"/>
      <c r="E38" s="349" t="s">
        <v>266</v>
      </c>
      <c r="F38" s="195">
        <f>IF(LUNDesign="1/7",IF(SG=49,TotalMBXPerSvr/49,IF(TotalMBXPerSvr/SG&gt;calcMBXPerDB,calcMBXPerDB,TotalMBXPerSvr/SG)),IF(SG=50,TotalMBXPerSvr/50,IF(TotalMBXPerSvr/SG&gt;calcMBXPerDB,calcMBXPerDB,TotalMBXPerSvr/SG)))</f>
        <v>95.238095238095241</v>
      </c>
      <c r="K38" s="151"/>
      <c r="L38" s="151"/>
    </row>
    <row r="39" spans="1:12" s="74" customFormat="1" ht="15.75" hidden="1" customHeight="1" outlineLevel="1" thickBot="1">
      <c r="A39" s="908" t="s">
        <v>81</v>
      </c>
      <c r="B39" s="909"/>
      <c r="C39" s="75"/>
      <c r="D39" s="196"/>
      <c r="E39" s="100" t="s">
        <v>317</v>
      </c>
      <c r="F39" s="356">
        <f>MBXPerDB*Tier1MBXRatio</f>
        <v>95.238095238095241</v>
      </c>
      <c r="K39" s="151"/>
      <c r="L39" s="151"/>
    </row>
    <row r="40" spans="1:12" s="74" customFormat="1" ht="16.5" hidden="1" customHeight="1" outlineLevel="1">
      <c r="A40" s="752" t="s">
        <v>261</v>
      </c>
      <c r="B40" s="585">
        <f>calcTier1MBX+calcTier3MBX+calcTier2MBX</f>
        <v>4000</v>
      </c>
      <c r="C40" s="196"/>
      <c r="D40" s="196"/>
      <c r="E40" s="345" t="s">
        <v>318</v>
      </c>
      <c r="F40" s="356">
        <f>MBXPerDB*Tier2MBXRatio</f>
        <v>0</v>
      </c>
      <c r="K40" s="151"/>
      <c r="L40" s="151"/>
    </row>
    <row r="41" spans="1:12" s="74" customFormat="1" ht="16.5" hidden="1" customHeight="1" outlineLevel="1" thickBot="1">
      <c r="A41" s="366" t="s">
        <v>501</v>
      </c>
      <c r="B41" s="586">
        <f>TotalMBX/NumMBXServers</f>
        <v>4000</v>
      </c>
      <c r="C41" s="89"/>
      <c r="D41" s="196"/>
      <c r="E41" s="357" t="s">
        <v>319</v>
      </c>
      <c r="F41" s="355">
        <f>MBXPerDB*Tier3MBXRatio</f>
        <v>0</v>
      </c>
      <c r="K41" s="151"/>
      <c r="L41" s="151"/>
    </row>
    <row r="42" spans="1:12" s="74" customFormat="1" ht="15.75" hidden="1" customHeight="1" outlineLevel="1" thickBot="1">
      <c r="A42" s="371" t="s">
        <v>187</v>
      </c>
      <c r="B42" s="184">
        <f>recRAMConfig-IF(recRAMConfig&gt;=4,2,0)-(IF(HAOption="LCR",1,0))</f>
        <v>20</v>
      </c>
      <c r="C42" s="89"/>
      <c r="D42" s="632"/>
      <c r="E42" s="245" t="s">
        <v>495</v>
      </c>
      <c r="F42" s="115">
        <f>IF(LUNDesign="1/7",IF((ROUNDUP(TotalMBXPerSvr/calcMBXPerDB,0))&gt;=49,49,(ROUNDUP(TotalMBXPerSvr/calcMBXPerDB,0))),IF((ROUNDUP(TotalMBXPerSvr/calcMBXPerDB,0))&gt;=50,50,(ROUNDUP(TotalMBXPerSvr/calcMBXPerDB,0))))</f>
        <v>42</v>
      </c>
      <c r="K42" s="151"/>
      <c r="L42" s="151"/>
    </row>
    <row r="43" spans="1:12" s="74" customFormat="1" ht="15" hidden="1" customHeight="1" outlineLevel="1" thickBot="1">
      <c r="A43" s="352" t="s">
        <v>308</v>
      </c>
      <c r="B43" s="354">
        <f>IF(ExVersion="SP1+",VLOOKUP(SG,TblRAMGuidance,4,TRUE),VLOOKUP(SG,TblRAMGuidance,3,TRUE))+(IF(HAOption="LCR",1,0))</f>
        <v>13</v>
      </c>
      <c r="C43" s="89"/>
      <c r="D43" s="196"/>
      <c r="E43" s="266" t="s">
        <v>331</v>
      </c>
      <c r="F43" s="125">
        <f>MBXPerDB*SG</f>
        <v>4000</v>
      </c>
      <c r="G43" s="269"/>
      <c r="K43" s="151"/>
      <c r="L43" s="151"/>
    </row>
    <row r="44" spans="1:12" s="74" customFormat="1" ht="15" hidden="1" customHeight="1" outlineLevel="1" thickBot="1">
      <c r="A44" s="793" t="s">
        <v>262</v>
      </c>
      <c r="B44" s="353">
        <f>IF(ROUNDUP((calcTier1MBX/NumMBXServers*(VLOOKUP(Tier1MemoryProfile,TblUserMemoryProfile,2,FALSE))/1024),0)+ROUNDUP((calcTier3MBX/NumMBXServers*(VLOOKUP(Tier3MemoryProfile,TblUserMemoryProfile,2,FALSE))/1024),0)+ROUNDUP((calcTier2MBX/NumMBXServers*(VLOOKUP(Tier2MemoryProfile,TblUserMemoryProfile,2,FALSE))/1024),0)+2+(IF(HAOption="LCR",1,0))&gt;=varMaxMemory,varMaxMemory,ROUNDUP((calcTier1MBX/NumMBXServers*(VLOOKUP(Tier1MemoryProfile,TblUserMemoryProfile,2,FALSE))/1024),0)+ROUNDUP((calcTier3MBX/NumMBXServers*(VLOOKUP(Tier3MemoryProfile,TblUserMemoryProfile,2,FALSE))/1024),0)+ROUNDUP((calcTier2MBX/NumMBXServers*(VLOOKUP(Tier2MemoryProfile,TblUserMemoryProfile,2,FALSE))/1024),0)+2+(IF(HAOption="LCR",1,0)))</f>
        <v>22</v>
      </c>
      <c r="C44" s="196"/>
      <c r="D44" s="196"/>
      <c r="F44" s="455"/>
      <c r="G44" s="269"/>
      <c r="J44" s="151"/>
      <c r="K44" s="151"/>
    </row>
    <row r="45" spans="1:12" s="74" customFormat="1" ht="15.75" hidden="1" customHeight="1" outlineLevel="1" thickBot="1">
      <c r="A45" s="91"/>
      <c r="C45" s="196"/>
      <c r="D45" s="196"/>
      <c r="F45" s="455"/>
      <c r="J45" s="151"/>
      <c r="K45" s="151"/>
    </row>
    <row r="46" spans="1:12" s="74" customFormat="1" ht="16.5" hidden="1" customHeight="1" outlineLevel="1" thickBot="1">
      <c r="A46" s="908" t="s">
        <v>111</v>
      </c>
      <c r="B46" s="909"/>
      <c r="C46" s="196"/>
      <c r="D46" s="196"/>
      <c r="E46" s="910" t="s">
        <v>74</v>
      </c>
      <c r="F46" s="909"/>
      <c r="J46" s="151"/>
    </row>
    <row r="47" spans="1:12" s="74" customFormat="1" ht="15" hidden="1" customHeight="1" outlineLevel="1">
      <c r="A47" s="794" t="s">
        <v>339</v>
      </c>
      <c r="B47" s="362">
        <f>((Tier1LogGen*calcTier1MBX/NumMBXServers)+(Tier3LogGen*calcTier3MBX/NumMBXServers)+(Tier2LogGen*calcTier2MBX/NumMBXServers))*(1+DataGrowth)</f>
        <v>115200</v>
      </c>
      <c r="C47" s="196"/>
      <c r="D47" s="196"/>
      <c r="E47" s="112" t="s">
        <v>75</v>
      </c>
      <c r="F47" s="363">
        <f>TotDBDiskSpace</f>
        <v>9946.8749999999964</v>
      </c>
      <c r="G47" s="269"/>
    </row>
    <row r="48" spans="1:12" s="74" customFormat="1" ht="15.75" hidden="1" customHeight="1" outlineLevel="1" thickBot="1">
      <c r="A48" s="337" t="s">
        <v>340</v>
      </c>
      <c r="B48" s="347">
        <f>CalcNumUserTLogs/SG</f>
        <v>2742.8571428571427</v>
      </c>
      <c r="C48" s="196"/>
      <c r="D48" s="196"/>
      <c r="E48" s="361" t="s">
        <v>57</v>
      </c>
      <c r="F48" s="364">
        <f>(LogDiskSpaceReqBackup+LogDiskSpaceReqMove)</f>
        <v>705</v>
      </c>
      <c r="G48" s="269"/>
    </row>
    <row r="49" spans="1:10" s="74" customFormat="1" ht="15.75" hidden="1" customHeight="1" outlineLevel="1" thickBot="1">
      <c r="A49" s="491" t="s">
        <v>257</v>
      </c>
      <c r="B49" s="165">
        <f>((IF(AND(numSCRTarget&lt;&gt;0,SCRReplayLagTime=0),50,0)+CalcNumUserTLogs)*(IF(BackupFreq="Weekly Full / Daily Differential",MAX(MAX(7,MAX(BackupFailureTol,NetFailureTol),SCRReplayLagTime+SCRTruncationLagTime),7*MAX(BackupFailureTol,NetFailureTol)),IF(RestoreLUN="Yes",MAX(MAX(BackupFailureTol,NetFailureTol),SCRReplayLagTime+SCRTruncationLagTime),IF(BackupFreq="Weekly Full / Daily Incremental",MAX(MAX(BackupFailureTol,NetFailureTol),SCRReplayLagTime+SCRTruncationLagTime,7),MAX(MAX(BackupFailureTol,NetFailureTol),SCRReplayLagTime+SCRTruncationLagTime)))))*1/1024)</f>
        <v>225</v>
      </c>
      <c r="C49" s="196"/>
      <c r="D49" s="196"/>
      <c r="F49" s="455"/>
      <c r="G49" s="269"/>
    </row>
    <row r="50" spans="1:10" s="74" customFormat="1" ht="15.75" hidden="1" customHeight="1" outlineLevel="1" thickBot="1">
      <c r="A50" s="756" t="s">
        <v>256</v>
      </c>
      <c r="B50" s="365">
        <f>(((calcTier1MBX/NumMBXServers*MBXMoveRate)*(Tier1MBXLimit/1024))+((calcTier3MBX/NumMBXServers*MBXMoveRate)*(Tier3MBXLimit/1024))+((calcTier2MBX/NumMBXServers*MBXMoveRate)*(Tier2MBXLimit/1024)))*(1+DataGrowth)</f>
        <v>480</v>
      </c>
      <c r="C50" s="196"/>
      <c r="D50" s="196"/>
      <c r="E50" s="910" t="s">
        <v>407</v>
      </c>
      <c r="F50" s="909"/>
      <c r="G50" s="269"/>
    </row>
    <row r="51" spans="1:10" s="74" customFormat="1" ht="15.75" hidden="1" customHeight="1" outlineLevel="1">
      <c r="A51" s="351" t="s">
        <v>344</v>
      </c>
      <c r="B51" s="113">
        <f>LogDiskSpaceReqMove*1024</f>
        <v>491520</v>
      </c>
      <c r="C51" s="196"/>
      <c r="D51" s="196"/>
      <c r="E51" s="112" t="s">
        <v>405</v>
      </c>
      <c r="F51" s="479">
        <f>IF(numSCRTarget&lt;&gt;0,MIN(SCRReplayLagSec/(60*60*24),7),0)</f>
        <v>1</v>
      </c>
      <c r="G51" s="582"/>
    </row>
    <row r="52" spans="1:10" s="74" customFormat="1" ht="15.75" hidden="1" customHeight="1" outlineLevel="1" thickBot="1">
      <c r="A52" s="351" t="s">
        <v>343</v>
      </c>
      <c r="B52" s="347">
        <f>NumMoveMBXTLogPerWkPerSvr/SG</f>
        <v>11702.857142857143</v>
      </c>
      <c r="C52" s="89"/>
      <c r="D52" s="196"/>
      <c r="E52" s="361" t="s">
        <v>406</v>
      </c>
      <c r="F52" s="480">
        <f>IF(numSCRTarget&lt;&gt;0,MIN(SCRTruncationLagSec/(60*60*24),7),0)</f>
        <v>0</v>
      </c>
    </row>
    <row r="53" spans="1:10" s="74" customFormat="1" ht="15.75" hidden="1" customHeight="1" outlineLevel="1">
      <c r="A53" s="289" t="s">
        <v>341</v>
      </c>
      <c r="B53" s="347">
        <f>NumMoveMBXTLogPerWkPerSvr/7</f>
        <v>70217.142857142855</v>
      </c>
      <c r="C53" s="196"/>
      <c r="D53" s="196"/>
      <c r="F53" s="455"/>
      <c r="G53" s="91"/>
    </row>
    <row r="54" spans="1:10" s="74" customFormat="1" ht="15.75" hidden="1" customHeight="1" outlineLevel="1" thickBot="1">
      <c r="A54" s="366" t="s">
        <v>342</v>
      </c>
      <c r="B54" s="114">
        <f>NumMoveMBXTLogPerWkPerSG/7</f>
        <v>1671.8367346938776</v>
      </c>
      <c r="C54" s="196"/>
      <c r="D54" s="196"/>
      <c r="F54" s="455"/>
    </row>
    <row r="55" spans="1:10" s="74" customFormat="1" ht="15.75" hidden="1" customHeight="1" outlineLevel="1">
      <c r="A55" s="103" t="s">
        <v>346</v>
      </c>
      <c r="B55" s="454">
        <f>NumSGMoveMbxTLogs+CalcNumSGUserTLogs</f>
        <v>4414.6938775510207</v>
      </c>
      <c r="C55" s="196"/>
      <c r="D55" s="196"/>
      <c r="E55" s="121"/>
      <c r="F55" s="291"/>
    </row>
    <row r="56" spans="1:10" s="74" customFormat="1" ht="15.75" hidden="1" customHeight="1" outlineLevel="1" thickBot="1">
      <c r="A56" s="491" t="s">
        <v>391</v>
      </c>
      <c r="B56" s="453">
        <f>NumMoveMBXTLogs+CalcNumUserTLogs</f>
        <v>185417.14285714284</v>
      </c>
      <c r="C56" s="196"/>
      <c r="D56" s="196"/>
      <c r="E56" s="121"/>
      <c r="F56" s="291"/>
    </row>
    <row r="57" spans="1:10" s="74" customFormat="1" ht="13.5" collapsed="1" thickBot="1">
      <c r="A57" s="108"/>
      <c r="B57" s="82"/>
      <c r="C57" s="169"/>
      <c r="D57" s="196"/>
      <c r="E57" s="98"/>
      <c r="F57" s="83"/>
      <c r="J57" s="172"/>
    </row>
    <row r="58" spans="1:10" s="74" customFormat="1" ht="16.5" thickBot="1">
      <c r="A58" s="917" t="s">
        <v>78</v>
      </c>
      <c r="B58" s="918"/>
      <c r="C58" s="918"/>
      <c r="D58" s="918"/>
      <c r="E58" s="918"/>
      <c r="F58" s="919"/>
    </row>
    <row r="59" spans="1:10" ht="13.5" thickBot="1">
      <c r="D59"/>
      <c r="F59" s="815"/>
    </row>
    <row r="60" spans="1:10" s="813" customFormat="1" ht="16.5" thickBot="1">
      <c r="A60" s="129" t="s">
        <v>635</v>
      </c>
      <c r="B60" s="638" t="s">
        <v>626</v>
      </c>
      <c r="E60" s="294"/>
      <c r="F60" s="814"/>
    </row>
    <row r="61" spans="1:10" s="813" customFormat="1" ht="15">
      <c r="A61" s="149" t="s">
        <v>624</v>
      </c>
      <c r="B61" s="585">
        <f>NumMBXServers</f>
        <v>1</v>
      </c>
      <c r="F61" s="814"/>
    </row>
    <row r="62" spans="1:10" s="813" customFormat="1" ht="15">
      <c r="A62" s="346" t="s">
        <v>646</v>
      </c>
      <c r="B62" s="742">
        <f>NumMBXServers*(IF(AND(HAOption="CCR",SCRHAOption="Match Source Configuration"),numSCRTarget*2,numSCRTarget))</f>
        <v>1</v>
      </c>
      <c r="F62" s="814"/>
    </row>
    <row r="63" spans="1:10" s="813" customFormat="1" ht="15.75" thickBot="1">
      <c r="A63" s="758" t="s">
        <v>638</v>
      </c>
      <c r="B63" s="828">
        <f>IF(HAOption="CCR",2,IF(HAOption="LCR",2,1))+(IF(AND(HAOption="CCR",SCRHAOption="Match Source Configuration"),numSCRTarget*2,numSCRTarget))</f>
        <v>3</v>
      </c>
      <c r="F63" s="814"/>
    </row>
    <row r="64" spans="1:10" s="813" customFormat="1" ht="13.5" thickBot="1">
      <c r="F64" s="814"/>
    </row>
    <row r="65" spans="1:10" s="74" customFormat="1" ht="16.5" thickBot="1">
      <c r="A65" s="751" t="s">
        <v>514</v>
      </c>
      <c r="B65" s="580" t="s">
        <v>511</v>
      </c>
      <c r="C65" s="580" t="s">
        <v>512</v>
      </c>
      <c r="D65" s="580" t="s">
        <v>513</v>
      </c>
      <c r="F65" s="455"/>
      <c r="G65" s="110"/>
    </row>
    <row r="66" spans="1:10" s="74" customFormat="1" ht="15">
      <c r="A66" s="111" t="s">
        <v>524</v>
      </c>
      <c r="B66" s="376">
        <f>IF(calcTier1MBX=0,"--",calcTier1MBX)</f>
        <v>4000</v>
      </c>
      <c r="C66" s="117" t="str">
        <f>IF(calcTier2MBX=0,"--",calcTier2MBX)</f>
        <v>--</v>
      </c>
      <c r="D66" s="117" t="str">
        <f>IF(calcTier3MBX=0,"--",calcTier3MBX)</f>
        <v>--</v>
      </c>
      <c r="F66" s="455"/>
      <c r="G66" s="110"/>
      <c r="J66" s="172"/>
    </row>
    <row r="67" spans="1:10" s="74" customFormat="1" ht="15">
      <c r="A67" s="349" t="s">
        <v>515</v>
      </c>
      <c r="B67" s="375">
        <f>IF(Tier1MBXSize=0,"--",Tier1MBXSize)</f>
        <v>2122</v>
      </c>
      <c r="C67" s="367" t="str">
        <f>IF(Tier2MBXSize=0,"--",Tier2MBXSize)</f>
        <v>--</v>
      </c>
      <c r="D67" s="367" t="str">
        <f>IF(Tier3MBXSize=0,"--",Tier3MBXSize)</f>
        <v>--</v>
      </c>
      <c r="F67" s="455"/>
      <c r="G67" s="110"/>
    </row>
    <row r="68" spans="1:10" s="74" customFormat="1" ht="15">
      <c r="A68" s="500" t="s">
        <v>440</v>
      </c>
      <c r="B68" s="118" t="str">
        <f>IF(calcTier1MBX=0,"--",VLOOKUP(calcTier1DBCache,tblMemoryProfile,3,TRUE))</f>
        <v>5 MB</v>
      </c>
      <c r="C68" s="118" t="str">
        <f>IF(calcTier2MBX=0,"--",VLOOKUP(calcTier2DBCache,tblMemoryProfile,3,TRUE))</f>
        <v>--</v>
      </c>
      <c r="D68" s="118" t="str">
        <f>IF(calcTier3MBX=0,"--",VLOOKUP(calcTier3DBCache,tblMemoryProfile,3,TRUE))</f>
        <v>--</v>
      </c>
      <c r="F68" s="455"/>
      <c r="G68" s="110"/>
      <c r="H68" s="110"/>
      <c r="I68" s="172"/>
    </row>
    <row r="69" spans="1:10" s="74" customFormat="1" ht="15">
      <c r="A69" s="349" t="s">
        <v>209</v>
      </c>
      <c r="B69" s="369">
        <f>IF(Tier1LogGen=0,"--",Tier1LogGen)</f>
        <v>24</v>
      </c>
      <c r="C69" s="369" t="str">
        <f>IF(Tier2LogGen=0,"--",Tier2LogGen)</f>
        <v>--</v>
      </c>
      <c r="D69" s="369" t="str">
        <f>IF(Tier3LogGen=0,"--",Tier3LogGen)</f>
        <v>--</v>
      </c>
      <c r="F69" s="455"/>
      <c r="G69" s="110"/>
      <c r="H69" s="110"/>
    </row>
    <row r="70" spans="1:10" s="74" customFormat="1" ht="15.75" thickBot="1">
      <c r="A70" s="786" t="s">
        <v>46</v>
      </c>
      <c r="B70" s="374">
        <f>IF(TotTier1IOPS=0,"--",TotTier1IOPS)</f>
        <v>0.32062064047481864</v>
      </c>
      <c r="C70" s="292" t="str">
        <f>IF(TotTier2IOPS=0,"--",TotTier2IOPS)</f>
        <v>--</v>
      </c>
      <c r="D70" s="292" t="str">
        <f>IF(TotTier3IOPS=0,"--",TotTier3IOPS)</f>
        <v>--</v>
      </c>
      <c r="F70" s="455"/>
      <c r="G70" s="110"/>
      <c r="H70" s="110"/>
      <c r="I70" s="235"/>
    </row>
    <row r="71" spans="1:10" s="74" customFormat="1" ht="15.75" thickBot="1">
      <c r="A71" s="787"/>
      <c r="B71" s="452"/>
      <c r="C71" s="196"/>
      <c r="D71" s="196"/>
      <c r="F71" s="455"/>
      <c r="G71" s="110"/>
    </row>
    <row r="72" spans="1:10" s="74" customFormat="1" ht="48" thickBot="1">
      <c r="A72" s="129" t="s">
        <v>509</v>
      </c>
      <c r="B72" s="638" t="s">
        <v>532</v>
      </c>
      <c r="C72" s="638" t="s">
        <v>643</v>
      </c>
      <c r="D72" s="646"/>
      <c r="F72" s="455"/>
      <c r="G72" s="110"/>
    </row>
    <row r="73" spans="1:10" s="74" customFormat="1" ht="15">
      <c r="A73" s="344" t="s">
        <v>43</v>
      </c>
      <c r="B73" s="162">
        <f>IF(calcRAMConfig&gt;=MinRAMConfig,calcRAMConfig,MinRAMConfig)</f>
        <v>22</v>
      </c>
      <c r="C73" s="588" t="s">
        <v>69</v>
      </c>
      <c r="D73" s="644"/>
      <c r="F73" s="455"/>
      <c r="G73" s="110"/>
    </row>
    <row r="74" spans="1:10" s="74" customFormat="1" ht="15">
      <c r="A74" s="345" t="s">
        <v>495</v>
      </c>
      <c r="B74" s="593">
        <f>SG</f>
        <v>42</v>
      </c>
      <c r="C74" s="593">
        <f>SG*NumMBXServers</f>
        <v>42</v>
      </c>
      <c r="D74" s="647"/>
      <c r="F74" s="455"/>
      <c r="G74" s="110"/>
      <c r="H74" s="110"/>
    </row>
    <row r="75" spans="1:10" s="74" customFormat="1" ht="15.75" thickBot="1">
      <c r="A75" s="357" t="s">
        <v>323</v>
      </c>
      <c r="B75" s="364">
        <f>MBXPerDB</f>
        <v>95.238095238095241</v>
      </c>
      <c r="C75" s="594" t="s">
        <v>69</v>
      </c>
      <c r="D75" s="645"/>
      <c r="F75" s="455"/>
      <c r="G75" s="110"/>
      <c r="H75" s="110"/>
    </row>
    <row r="76" spans="1:10" s="74" customFormat="1" ht="15">
      <c r="A76" s="360" t="s">
        <v>320</v>
      </c>
      <c r="B76" s="155">
        <f>IF(NumTier1MBXDB=0,"--",NumTier1MBXDB)</f>
        <v>95.238095238095241</v>
      </c>
      <c r="C76" s="597" t="s">
        <v>69</v>
      </c>
      <c r="D76" s="645"/>
      <c r="F76" s="455"/>
      <c r="G76" s="110"/>
      <c r="H76" s="110"/>
    </row>
    <row r="77" spans="1:10" s="74" customFormat="1" ht="15">
      <c r="A77" s="100" t="s">
        <v>321</v>
      </c>
      <c r="B77" s="369" t="str">
        <f>IF(NumTier2MBXDB=0,"--",NumTier2MBXDB)</f>
        <v>--</v>
      </c>
      <c r="C77" s="595" t="s">
        <v>69</v>
      </c>
      <c r="D77" s="645"/>
      <c r="F77" s="455"/>
      <c r="G77" s="110"/>
      <c r="H77" s="110"/>
    </row>
    <row r="78" spans="1:10" s="74" customFormat="1" ht="15.75" thickBot="1">
      <c r="A78" s="357" t="s">
        <v>322</v>
      </c>
      <c r="B78" s="370" t="str">
        <f>IF(NumTier3MBXDB=0,"--",NumTier3MBXDB)</f>
        <v>--</v>
      </c>
      <c r="C78" s="596" t="s">
        <v>69</v>
      </c>
      <c r="D78" s="645"/>
      <c r="F78" s="455"/>
      <c r="G78" s="110"/>
      <c r="H78" s="110"/>
    </row>
    <row r="79" spans="1:10" s="74" customFormat="1" ht="15.75" thickBot="1">
      <c r="A79" s="633" t="s">
        <v>530</v>
      </c>
      <c r="B79" s="636">
        <f>MBXPerDB*SG</f>
        <v>4000</v>
      </c>
      <c r="C79" s="634">
        <f>MBXPerDB*SG*NumMBXServers</f>
        <v>4000</v>
      </c>
      <c r="D79" s="645"/>
      <c r="F79" s="455"/>
      <c r="G79" s="110"/>
      <c r="H79" s="110"/>
    </row>
    <row r="80" spans="1:10" s="74" customFormat="1" ht="15.75" thickBot="1">
      <c r="A80" s="591"/>
      <c r="B80" s="592"/>
      <c r="C80" s="635"/>
      <c r="D80" s="647"/>
      <c r="F80" s="455"/>
      <c r="G80" s="110"/>
      <c r="H80" s="110"/>
    </row>
    <row r="81" spans="1:8" s="74" customFormat="1" ht="48" thickBot="1">
      <c r="A81" s="129" t="s">
        <v>510</v>
      </c>
      <c r="B81" s="638" t="s">
        <v>532</v>
      </c>
      <c r="C81" s="638" t="s">
        <v>643</v>
      </c>
      <c r="D81" s="646"/>
      <c r="F81" s="455"/>
      <c r="G81" s="110"/>
      <c r="H81" s="110"/>
    </row>
    <row r="82" spans="1:8" s="74" customFormat="1" ht="15">
      <c r="A82" s="433" t="s">
        <v>508</v>
      </c>
      <c r="B82" s="113">
        <f>CalcNumUserTLogs</f>
        <v>115200</v>
      </c>
      <c r="C82" s="113">
        <f>CalcNumUserTLogs*NumMBXServers</f>
        <v>115200</v>
      </c>
      <c r="D82" s="589"/>
      <c r="E82" s="269"/>
      <c r="F82" s="455"/>
      <c r="G82" s="110"/>
    </row>
    <row r="83" spans="1:8" s="74" customFormat="1" ht="15">
      <c r="A83" s="349" t="s">
        <v>507</v>
      </c>
      <c r="B83" s="451">
        <f>NumMoveMBXTLogs</f>
        <v>70217.142857142855</v>
      </c>
      <c r="C83" s="451">
        <f>NumMoveMBXTLogs*NumMBXServers</f>
        <v>70217.142857142855</v>
      </c>
      <c r="D83" s="589"/>
      <c r="F83" s="455"/>
      <c r="G83" s="110"/>
    </row>
    <row r="84" spans="1:8" s="74" customFormat="1" ht="15.75" thickBot="1">
      <c r="A84" s="106" t="s">
        <v>391</v>
      </c>
      <c r="B84" s="364">
        <f>TotSvrTLogsGenerated</f>
        <v>185417.14285714284</v>
      </c>
      <c r="C84" s="364">
        <f>TotSvrTLogsGenerated*NumMBXServers</f>
        <v>185417.14285714284</v>
      </c>
      <c r="D84" s="589"/>
      <c r="F84" s="455"/>
      <c r="G84" s="110"/>
    </row>
    <row r="85" spans="1:8" s="74" customFormat="1" ht="15">
      <c r="A85" s="433" t="s">
        <v>345</v>
      </c>
      <c r="B85" s="434">
        <f>CalcNumSGUserTLogs</f>
        <v>2742.8571428571427</v>
      </c>
      <c r="C85" s="618" t="s">
        <v>69</v>
      </c>
      <c r="D85" s="645"/>
      <c r="F85" s="455"/>
      <c r="G85" s="110"/>
    </row>
    <row r="86" spans="1:8" s="74" customFormat="1" ht="15">
      <c r="A86" s="349" t="s">
        <v>347</v>
      </c>
      <c r="B86" s="195">
        <f>NumSGMoveMbxTLogs</f>
        <v>1671.8367346938776</v>
      </c>
      <c r="C86" s="619" t="s">
        <v>69</v>
      </c>
      <c r="D86" s="645"/>
      <c r="F86" s="455"/>
      <c r="G86" s="110"/>
      <c r="H86" s="110"/>
    </row>
    <row r="87" spans="1:8" s="74" customFormat="1" ht="15.75" thickBot="1">
      <c r="A87" s="106" t="s">
        <v>346</v>
      </c>
      <c r="B87" s="355">
        <f>TotSGTLogsGenerated</f>
        <v>4414.6938775510207</v>
      </c>
      <c r="C87" s="596" t="s">
        <v>69</v>
      </c>
      <c r="D87" s="645"/>
      <c r="F87" s="455"/>
      <c r="G87" s="110"/>
    </row>
    <row r="88" spans="1:8" s="74" customFormat="1" ht="15.75" thickBot="1">
      <c r="A88" s="633"/>
      <c r="B88" s="589"/>
      <c r="C88" s="590"/>
      <c r="D88" s="589"/>
      <c r="F88" s="455"/>
      <c r="G88" s="110"/>
    </row>
    <row r="89" spans="1:8" s="74" customFormat="1" ht="48" thickBot="1">
      <c r="A89" s="129" t="s">
        <v>292</v>
      </c>
      <c r="B89" s="638" t="s">
        <v>532</v>
      </c>
      <c r="C89" s="638" t="s">
        <v>643</v>
      </c>
      <c r="D89" s="638" t="s">
        <v>634</v>
      </c>
      <c r="F89" s="455"/>
      <c r="G89" s="110"/>
    </row>
    <row r="90" spans="1:8" s="74" customFormat="1" ht="15">
      <c r="A90" s="500" t="s">
        <v>503</v>
      </c>
      <c r="B90" s="164">
        <f>TotDBDiskSpaceReq</f>
        <v>9946.8749999999964</v>
      </c>
      <c r="C90" s="164">
        <f>TotDBDiskSpaceReq*(IF(OR(HAOption="LCR",HAOption="CCR"),2,1)*NumMBXServers)</f>
        <v>19893.749999999993</v>
      </c>
      <c r="D90" s="399">
        <f>IF(numSCRTarget=0,"--",TotDBDiskSpaceReq*IF(AND(HAOption="CCR",SCRHAOption="Match Source Configuration"),numSCRServers*2,numSCRServers))</f>
        <v>9946.8749999999964</v>
      </c>
      <c r="F90" s="455"/>
      <c r="G90" s="110"/>
    </row>
    <row r="91" spans="1:8" s="74" customFormat="1" ht="15.75" thickBot="1">
      <c r="A91" s="758" t="s">
        <v>504</v>
      </c>
      <c r="B91" s="373">
        <f>TotLogDiskSpace</f>
        <v>705</v>
      </c>
      <c r="C91" s="373">
        <f>TotLogDiskSpace*(IF(OR(HAOption="LCR",HAOption="CCR"),2,1)*NumMBXServers)</f>
        <v>1410</v>
      </c>
      <c r="D91" s="824">
        <f>IF(numSCRTarget=0,"--",TotLogDiskSpace*IF(AND(HAOption="CCR",SCRHAOption="Match Source Configuration"),numSCRServers*2,numSCRServers))</f>
        <v>705</v>
      </c>
      <c r="F91" s="455"/>
      <c r="G91" s="110"/>
    </row>
    <row r="92" spans="1:8" s="74" customFormat="1" ht="15">
      <c r="A92" s="350" t="s">
        <v>505</v>
      </c>
      <c r="B92" s="163">
        <f>TotSGLUNSpace</f>
        <v>13055.2734375</v>
      </c>
      <c r="C92" s="163">
        <f>TotSGLUNSpace*(IF(OR(HAOption="LCR",HAOption="CCR"),2,1)*NumMBXServers)</f>
        <v>26110.546875</v>
      </c>
      <c r="D92" s="825">
        <f>IF(numSCRTarget=0,"--",TotSGLUNSpace*IF(AND(HAOption="CCR",SCRHAOption="Match Source Configuration"),numSCRServers*2,numSCRServers))</f>
        <v>13055.2734375</v>
      </c>
      <c r="F92" s="455"/>
      <c r="G92" s="110"/>
    </row>
    <row r="93" spans="1:8" s="74" customFormat="1" ht="15">
      <c r="A93" s="100" t="s">
        <v>506</v>
      </c>
      <c r="B93" s="372">
        <f>TotLOGLUNSpace</f>
        <v>881.24999999999977</v>
      </c>
      <c r="C93" s="372">
        <f>TotLOGLUNSpace*(IF(OR(HAOption="LCR",HAOption="CCR"),2,1)*NumMBXServers)</f>
        <v>1762.4999999999995</v>
      </c>
      <c r="D93" s="826">
        <f>IF(numSCRTarget=0,"--",TotLOGLUNSpace*IF(AND(HAOption="CCR",SCRHAOption="Match Source Configuration"),numSCRServers*2,numSCRServers))</f>
        <v>881.24999999999977</v>
      </c>
      <c r="F93" s="455"/>
      <c r="G93" s="110"/>
      <c r="H93" s="110"/>
    </row>
    <row r="94" spans="1:8" s="74" customFormat="1" ht="15.75" thickBot="1">
      <c r="A94" s="357" t="s">
        <v>287</v>
      </c>
      <c r="B94" s="432">
        <f>IF(RestoreLUNSize="0","--",RestoreLUNSize)</f>
        <v>2219.140625</v>
      </c>
      <c r="C94" s="432">
        <f>IF(RestoreLUNSize="0","--",RestoreLUNSize)*(IF(OR(HAOption="LCR",HAOption="CCR"),2,1)*NumMBXServers)</f>
        <v>4438.28125</v>
      </c>
      <c r="D94" s="432">
        <f>IF(numSCRTarget=0,"--",IF(RestoreLUNSize="0","--",RestoreLUNSize)*IF(AND(HAOption="CCR",SCRHAOption="Match Source Configuration"),numSCRServers*2,numSCRServers))</f>
        <v>2219.140625</v>
      </c>
      <c r="F94" s="455"/>
      <c r="G94" s="110"/>
    </row>
    <row r="95" spans="1:8" s="74" customFormat="1" ht="15">
      <c r="A95" s="350" t="s">
        <v>618</v>
      </c>
      <c r="B95" s="120">
        <f>PeakIOPS</f>
        <v>1538.9790742791295</v>
      </c>
      <c r="C95" s="120">
        <f>PeakIOPS*(IF(OR(HAOption="LCR",HAOption="CCR"),2,1)*NumMBXServers)</f>
        <v>3077.9581485582589</v>
      </c>
      <c r="D95" s="827">
        <f>IF(numSCRTarget=0,"--",PeakIOPS*IF(AND(HAOption="CCR",SCRHAOption="Match Source Configuration"),numSCRServers*2,numSCRServers))</f>
        <v>1538.9790742791295</v>
      </c>
      <c r="F95" s="455"/>
      <c r="G95" s="110"/>
    </row>
    <row r="96" spans="1:8" s="74" customFormat="1" ht="15.75" thickBot="1">
      <c r="A96" s="106" t="s">
        <v>619</v>
      </c>
      <c r="B96" s="355">
        <f>LogWriteTransfers+LogReadTransfers</f>
        <v>601.91999999999996</v>
      </c>
      <c r="C96" s="355">
        <f>(LogWriteTransfers+LogReadTransfers)*(IF(OR(HAOption="LCR",HAOption="CCR"),2,1)*NumMBXServers)</f>
        <v>1203.8399999999999</v>
      </c>
      <c r="D96" s="370">
        <f>IF(numSCRTarget=0,"--",(LogWriteTransfers+LogReadTransfers)*IF(AND(HAOption="CCR",SCRHAOption="Match Source Configuration"),numSCRServers*2,numSCRServers))</f>
        <v>601.91999999999996</v>
      </c>
      <c r="F96" s="455"/>
      <c r="G96" s="110"/>
    </row>
    <row r="97" spans="1:8" s="74" customFormat="1" ht="13.5" thickBot="1">
      <c r="A97" s="88"/>
      <c r="B97" s="141"/>
      <c r="C97" s="196"/>
      <c r="D97" s="196"/>
      <c r="E97" s="91"/>
      <c r="F97" s="455"/>
      <c r="G97" s="110"/>
    </row>
    <row r="98" spans="1:8" s="74" customFormat="1" ht="16.5" thickBot="1">
      <c r="A98" s="914" t="s">
        <v>338</v>
      </c>
      <c r="B98" s="915"/>
      <c r="C98" s="915"/>
      <c r="D98" s="915"/>
      <c r="E98" s="915"/>
      <c r="F98" s="916"/>
      <c r="G98" s="151"/>
      <c r="H98" s="110"/>
    </row>
    <row r="99" spans="1:8" s="74" customFormat="1" ht="15" customHeight="1">
      <c r="A99" s="888" t="str">
        <f>IF(OR(DBLUNSize&gt;2048,LogLUNSize&gt;2048,RestoreLUNSize&gt;2048),varLUNSizeResponse,"N/A")</f>
        <v>Important: The calculator recommends a LUN size greater than 2TB.  In order to implement this size you have two options.  The preferred method is to reduce the number of mailboxes, reduce the size of the database, or decrease the mailbox size to ensure that you are below the 2TB MBR partition limit.  The second option is to utilize GPT partitions which do not have a 2TB limit; however if you are clustering, Windows Server 2003 Failover Clustering does not support GPT disks unless you install http://support.microsoft.com/kb/919117.  For more information on partition best practices with Exchange 2007, please see http://technet.microsoft.com/en-us/library/bb124518.aspx.</v>
      </c>
      <c r="B99" s="889"/>
      <c r="C99" s="889"/>
      <c r="D99" s="889"/>
      <c r="E99" s="889"/>
      <c r="F99" s="890"/>
      <c r="G99" s="151"/>
    </row>
    <row r="100" spans="1:8" s="74" customFormat="1" ht="12.75" customHeight="1">
      <c r="A100" s="891"/>
      <c r="B100" s="892"/>
      <c r="C100" s="892"/>
      <c r="D100" s="892"/>
      <c r="E100" s="892"/>
      <c r="F100" s="893"/>
    </row>
    <row r="101" spans="1:8" s="74" customFormat="1" ht="12.75" customHeight="1">
      <c r="A101" s="891"/>
      <c r="B101" s="892"/>
      <c r="C101" s="892"/>
      <c r="D101" s="892"/>
      <c r="E101" s="892"/>
      <c r="F101" s="893"/>
    </row>
    <row r="102" spans="1:8" s="74" customFormat="1" ht="21.75" customHeight="1" thickBot="1">
      <c r="A102" s="911"/>
      <c r="B102" s="912"/>
      <c r="C102" s="912"/>
      <c r="D102" s="912"/>
      <c r="E102" s="912"/>
      <c r="F102" s="913"/>
    </row>
    <row r="103" spans="1:8" s="74" customFormat="1" ht="15" thickBot="1">
      <c r="A103" s="748"/>
      <c r="B103" s="285"/>
      <c r="C103" s="285"/>
      <c r="D103" s="630"/>
      <c r="E103" s="285"/>
      <c r="F103" s="286"/>
    </row>
    <row r="104" spans="1:8">
      <c r="A104" s="280"/>
    </row>
  </sheetData>
  <mergeCells count="17">
    <mergeCell ref="A1:F1"/>
    <mergeCell ref="A7:F7"/>
    <mergeCell ref="A9:B9"/>
    <mergeCell ref="E33:F33"/>
    <mergeCell ref="E24:F24"/>
    <mergeCell ref="A24:B24"/>
    <mergeCell ref="A5:F5"/>
    <mergeCell ref="A2:F2"/>
    <mergeCell ref="A46:B46"/>
    <mergeCell ref="A3:F4"/>
    <mergeCell ref="E9:F9"/>
    <mergeCell ref="A99:F102"/>
    <mergeCell ref="A98:F98"/>
    <mergeCell ref="A39:B39"/>
    <mergeCell ref="A58:F58"/>
    <mergeCell ref="E46:F46"/>
    <mergeCell ref="E50:F50"/>
  </mergeCells>
  <conditionalFormatting sqref="B43">
    <cfRule type="cellIs" dxfId="111" priority="20" stopIfTrue="1" operator="greaterThan">
      <formula>$B$44</formula>
    </cfRule>
  </conditionalFormatting>
  <conditionalFormatting sqref="B44">
    <cfRule type="cellIs" dxfId="110" priority="21" stopIfTrue="1" operator="greaterThanOrEqual">
      <formula>$B$43</formula>
    </cfRule>
  </conditionalFormatting>
  <conditionalFormatting sqref="A99">
    <cfRule type="expression" dxfId="109" priority="1" stopIfTrue="1">
      <formula>IF($A$99&lt;&gt;"N/A",TRUE)</formula>
    </cfRule>
  </conditionalFormatting>
  <pageMargins left="0.7" right="0.7" top="0.75" bottom="0.75" header="0.3" footer="0.3"/>
  <pageSetup scale="55" orientation="portrait" r:id="rId1"/>
  <colBreaks count="1" manualBreakCount="1">
    <brk id="6" max="1048575" man="1"/>
  </colBreaks>
  <legacyDrawing r:id="rId2"/>
</worksheet>
</file>

<file path=xl/worksheets/sheet3.xml><?xml version="1.0" encoding="utf-8"?>
<worksheet xmlns="http://schemas.openxmlformats.org/spreadsheetml/2006/main" xmlns:r="http://schemas.openxmlformats.org/officeDocument/2006/relationships">
  <dimension ref="A1:L125"/>
  <sheetViews>
    <sheetView showGridLines="0" showRowColHeaders="0" zoomScale="85" zoomScaleNormal="85" workbookViewId="0">
      <selection sqref="A1:I1"/>
    </sheetView>
  </sheetViews>
  <sheetFormatPr defaultRowHeight="12.75" outlineLevelRow="1"/>
  <cols>
    <col min="1" max="1" width="16.7109375" style="74" customWidth="1"/>
    <col min="2" max="2" width="19" style="74" bestFit="1" customWidth="1"/>
    <col min="3" max="3" width="16.140625" style="74" bestFit="1" customWidth="1"/>
    <col min="4" max="4" width="18.28515625" style="74" bestFit="1" customWidth="1"/>
    <col min="5" max="5" width="12.85546875" style="74" customWidth="1"/>
    <col min="6" max="6" width="19.5703125" style="74" customWidth="1"/>
    <col min="7" max="7" width="14.28515625" style="74" bestFit="1" customWidth="1"/>
    <col min="8" max="8" width="22.85546875" style="74" customWidth="1"/>
    <col min="9" max="9" width="18.28515625" style="74" bestFit="1" customWidth="1"/>
    <col min="10" max="16384" width="9.140625" style="74"/>
  </cols>
  <sheetData>
    <row r="1" spans="1:10">
      <c r="A1" s="920" t="s">
        <v>2</v>
      </c>
      <c r="B1" s="921"/>
      <c r="C1" s="921"/>
      <c r="D1" s="921"/>
      <c r="E1" s="921"/>
      <c r="F1" s="921"/>
      <c r="G1" s="921"/>
      <c r="H1" s="921"/>
      <c r="I1" s="867"/>
    </row>
    <row r="2" spans="1:10" ht="13.5" thickBot="1">
      <c r="A2" s="154"/>
      <c r="B2" s="123"/>
      <c r="C2" s="123"/>
      <c r="D2" s="123"/>
      <c r="E2" s="75"/>
      <c r="F2" s="81"/>
      <c r="G2" s="81"/>
      <c r="H2" s="81"/>
      <c r="I2" s="77"/>
    </row>
    <row r="3" spans="1:10" ht="16.5" thickBot="1">
      <c r="A3" s="958" t="s">
        <v>239</v>
      </c>
      <c r="B3" s="959"/>
      <c r="C3" s="959"/>
      <c r="D3" s="959"/>
      <c r="E3" s="959"/>
      <c r="F3" s="959"/>
      <c r="G3" s="959"/>
      <c r="H3" s="959"/>
      <c r="I3" s="960"/>
    </row>
    <row r="4" spans="1:10" ht="15.75" hidden="1" customHeight="1" outlineLevel="1" thickBot="1">
      <c r="A4" s="784"/>
      <c r="B4" s="257"/>
      <c r="C4" s="257"/>
      <c r="D4" s="150"/>
      <c r="E4" s="150"/>
      <c r="F4" s="82"/>
      <c r="G4" s="82"/>
      <c r="H4" s="121"/>
      <c r="I4" s="263"/>
      <c r="J4" s="88"/>
    </row>
    <row r="5" spans="1:10" ht="16.5" hidden="1" customHeight="1" outlineLevel="1" thickBot="1">
      <c r="A5" s="258" t="s">
        <v>327</v>
      </c>
      <c r="B5" s="258" t="s">
        <v>328</v>
      </c>
      <c r="C5" s="257"/>
      <c r="D5" s="82"/>
      <c r="E5" s="82"/>
      <c r="F5" s="82"/>
      <c r="G5" s="910" t="s">
        <v>72</v>
      </c>
      <c r="H5" s="908"/>
      <c r="I5" s="925"/>
      <c r="J5" s="88"/>
    </row>
    <row r="6" spans="1:10" ht="15" hidden="1" customHeight="1" outlineLevel="1">
      <c r="A6" s="408">
        <f t="shared" ref="A6:A37" si="0">IF(A71="--","",ROUNDUP(A71/NumSGPerLUN,0))</f>
        <v>1</v>
      </c>
      <c r="B6" s="254">
        <f t="shared" ref="B6:B37" si="1">IF(G71="--","",ROUNDUP(VALUE(IF(LEFT(RIGHT(G71,2),1)="G",RIGHT(G71,1),RIGHT(G71,2)))/NumSGPerLUN,0))</f>
        <v>1</v>
      </c>
      <c r="C6" s="257"/>
      <c r="D6" s="82"/>
      <c r="E6" s="82"/>
      <c r="F6" s="82"/>
      <c r="G6" s="961" t="s">
        <v>325</v>
      </c>
      <c r="H6" s="962"/>
      <c r="I6" s="251" t="str">
        <f>IF(BackupMethod="Hardware VSS Backup/Restore",1,VLOOKUP(BackupFreq,TblBackupFreq,2,FALSE))</f>
        <v>1/7</v>
      </c>
      <c r="J6" s="88"/>
    </row>
    <row r="7" spans="1:10" ht="15" hidden="1" customHeight="1" outlineLevel="1">
      <c r="A7" s="410">
        <f t="shared" si="0"/>
        <v>1</v>
      </c>
      <c r="B7" s="409">
        <f t="shared" si="1"/>
        <v>2</v>
      </c>
      <c r="C7" s="257"/>
      <c r="D7" s="82"/>
      <c r="E7" s="82"/>
      <c r="F7" s="82"/>
      <c r="G7" s="963" t="s">
        <v>349</v>
      </c>
      <c r="H7" s="964"/>
      <c r="I7" s="411">
        <f>VALUE(IF(LEFT(RIGHT(G71,2),1)="G",RIGHT(G71,1),RIGHT(G71,2)))</f>
        <v>7</v>
      </c>
      <c r="J7" s="88"/>
    </row>
    <row r="8" spans="1:10" ht="15" hidden="1" customHeight="1" outlineLevel="1">
      <c r="A8" s="410">
        <f t="shared" si="0"/>
        <v>1</v>
      </c>
      <c r="B8" s="410">
        <f t="shared" si="1"/>
        <v>3</v>
      </c>
      <c r="C8" s="257"/>
      <c r="D8" s="82"/>
      <c r="E8" s="82"/>
      <c r="F8" s="82"/>
      <c r="G8" s="965" t="s">
        <v>326</v>
      </c>
      <c r="H8" s="966"/>
      <c r="I8" s="252">
        <f>IF(LUNDesign="1/7",VLOOKUP(SG,tblLUNBackupSet,2,TRUE),1)</f>
        <v>6</v>
      </c>
      <c r="J8" s="88"/>
    </row>
    <row r="9" spans="1:10" ht="15.75" hidden="1" customHeight="1" outlineLevel="1" thickBot="1">
      <c r="A9" s="410">
        <f t="shared" si="0"/>
        <v>1</v>
      </c>
      <c r="B9" s="410">
        <f t="shared" si="1"/>
        <v>4</v>
      </c>
      <c r="C9" s="257"/>
      <c r="D9" s="82"/>
      <c r="E9" s="82"/>
      <c r="F9" s="82"/>
      <c r="G9" s="967" t="s">
        <v>76</v>
      </c>
      <c r="H9" s="968"/>
      <c r="I9" s="370">
        <f>IF(RestoreLUN="Yes",((SUMIF(A$6:A$55,B6,D$71:D$120)+SUMIF(A$6:A$55,B6,E$71:E$120))*IF(LUNDesign=1,VLOOKUP(SG,TblNumRestoreLun,2,TRUE),1))/(1-LUNGrowth),0)</f>
        <v>2219.140625</v>
      </c>
      <c r="J9" s="88"/>
    </row>
    <row r="10" spans="1:10" ht="15" hidden="1" customHeight="1" outlineLevel="1">
      <c r="A10" s="410">
        <f t="shared" si="0"/>
        <v>1</v>
      </c>
      <c r="B10" s="410">
        <f t="shared" si="1"/>
        <v>5</v>
      </c>
      <c r="C10" s="257"/>
      <c r="D10" s="150"/>
      <c r="E10" s="150"/>
      <c r="F10" s="82"/>
      <c r="G10" s="82"/>
      <c r="H10" s="82"/>
      <c r="I10" s="263"/>
      <c r="J10" s="88"/>
    </row>
    <row r="11" spans="1:10" ht="15" hidden="1" customHeight="1" outlineLevel="1">
      <c r="A11" s="410">
        <f t="shared" si="0"/>
        <v>1</v>
      </c>
      <c r="B11" s="410">
        <f t="shared" si="1"/>
        <v>6</v>
      </c>
      <c r="C11" s="257"/>
      <c r="D11" s="150"/>
      <c r="E11" s="150"/>
      <c r="F11" s="82"/>
      <c r="G11" s="82"/>
      <c r="H11" s="82"/>
      <c r="I11" s="263"/>
      <c r="J11" s="88"/>
    </row>
    <row r="12" spans="1:10" ht="15" hidden="1" customHeight="1" outlineLevel="1">
      <c r="A12" s="410">
        <f t="shared" si="0"/>
        <v>1</v>
      </c>
      <c r="B12" s="410" t="str">
        <f t="shared" si="1"/>
        <v/>
      </c>
      <c r="C12" s="257"/>
      <c r="D12" s="150"/>
      <c r="E12" s="150"/>
      <c r="F12" s="82"/>
      <c r="G12" s="82"/>
      <c r="H12" s="82"/>
      <c r="I12" s="263"/>
      <c r="J12" s="88"/>
    </row>
    <row r="13" spans="1:10" ht="15" hidden="1" customHeight="1" outlineLevel="1">
      <c r="A13" s="410">
        <f t="shared" si="0"/>
        <v>2</v>
      </c>
      <c r="B13" s="410" t="str">
        <f t="shared" si="1"/>
        <v/>
      </c>
      <c r="C13" s="257"/>
      <c r="D13" s="150"/>
      <c r="E13" s="150"/>
      <c r="F13" s="82"/>
      <c r="G13" s="82"/>
      <c r="H13" s="121"/>
      <c r="I13" s="263"/>
      <c r="J13" s="88"/>
    </row>
    <row r="14" spans="1:10" ht="15" hidden="1" customHeight="1" outlineLevel="1">
      <c r="A14" s="410">
        <f t="shared" si="0"/>
        <v>2</v>
      </c>
      <c r="B14" s="410" t="str">
        <f t="shared" si="1"/>
        <v/>
      </c>
      <c r="C14" s="257"/>
      <c r="D14" s="150"/>
      <c r="E14" s="150"/>
      <c r="F14" s="82"/>
      <c r="G14" s="82"/>
      <c r="H14" s="121"/>
      <c r="I14" s="263"/>
      <c r="J14" s="88"/>
    </row>
    <row r="15" spans="1:10" ht="15" hidden="1" customHeight="1" outlineLevel="1">
      <c r="A15" s="410">
        <f t="shared" si="0"/>
        <v>2</v>
      </c>
      <c r="B15" s="410" t="str">
        <f t="shared" si="1"/>
        <v/>
      </c>
      <c r="C15" s="257"/>
      <c r="D15" s="150"/>
      <c r="E15" s="150"/>
      <c r="F15" s="82"/>
      <c r="G15" s="82"/>
      <c r="H15" s="121"/>
      <c r="I15" s="263"/>
      <c r="J15" s="88"/>
    </row>
    <row r="16" spans="1:10" ht="15" hidden="1" customHeight="1" outlineLevel="1">
      <c r="A16" s="410">
        <f t="shared" si="0"/>
        <v>2</v>
      </c>
      <c r="B16" s="410" t="str">
        <f t="shared" si="1"/>
        <v/>
      </c>
      <c r="C16" s="257"/>
      <c r="D16" s="150"/>
      <c r="E16" s="150"/>
      <c r="F16" s="82"/>
      <c r="G16" s="82"/>
      <c r="H16" s="121"/>
      <c r="I16" s="263"/>
      <c r="J16" s="88"/>
    </row>
    <row r="17" spans="1:10" ht="15" hidden="1" customHeight="1" outlineLevel="1">
      <c r="A17" s="410">
        <f t="shared" si="0"/>
        <v>2</v>
      </c>
      <c r="B17" s="410" t="str">
        <f t="shared" si="1"/>
        <v/>
      </c>
      <c r="C17" s="257"/>
      <c r="D17" s="150"/>
      <c r="E17" s="150"/>
      <c r="F17" s="82"/>
      <c r="G17" s="82"/>
      <c r="H17" s="121"/>
      <c r="I17" s="263"/>
      <c r="J17" s="88"/>
    </row>
    <row r="18" spans="1:10" ht="15" hidden="1" customHeight="1" outlineLevel="1">
      <c r="A18" s="410">
        <f t="shared" si="0"/>
        <v>2</v>
      </c>
      <c r="B18" s="410" t="str">
        <f t="shared" si="1"/>
        <v/>
      </c>
      <c r="C18" s="257"/>
      <c r="D18" s="150"/>
      <c r="E18" s="150"/>
      <c r="F18" s="82"/>
      <c r="G18" s="250"/>
      <c r="H18" s="109"/>
      <c r="I18" s="180"/>
      <c r="J18" s="88"/>
    </row>
    <row r="19" spans="1:10" ht="15" hidden="1" customHeight="1" outlineLevel="1">
      <c r="A19" s="410">
        <f t="shared" si="0"/>
        <v>2</v>
      </c>
      <c r="B19" s="410" t="str">
        <f t="shared" si="1"/>
        <v/>
      </c>
      <c r="C19" s="257"/>
      <c r="D19" s="150"/>
      <c r="E19" s="150"/>
      <c r="F19" s="82"/>
      <c r="G19" s="250"/>
      <c r="H19" s="109"/>
      <c r="I19" s="180"/>
      <c r="J19" s="88"/>
    </row>
    <row r="20" spans="1:10" ht="15" hidden="1" customHeight="1" outlineLevel="1">
      <c r="A20" s="410">
        <f t="shared" si="0"/>
        <v>3</v>
      </c>
      <c r="B20" s="410" t="str">
        <f t="shared" si="1"/>
        <v/>
      </c>
      <c r="C20" s="257"/>
      <c r="D20" s="150"/>
      <c r="E20" s="150"/>
      <c r="F20" s="82"/>
      <c r="G20" s="250"/>
      <c r="H20" s="109"/>
      <c r="I20" s="180"/>
      <c r="J20" s="88"/>
    </row>
    <row r="21" spans="1:10" ht="15" hidden="1" customHeight="1" outlineLevel="1">
      <c r="A21" s="410">
        <f t="shared" si="0"/>
        <v>3</v>
      </c>
      <c r="B21" s="410" t="str">
        <f t="shared" si="1"/>
        <v/>
      </c>
      <c r="C21" s="257"/>
      <c r="D21" s="150"/>
      <c r="E21" s="150"/>
      <c r="F21" s="82"/>
      <c r="G21" s="250"/>
      <c r="H21" s="109"/>
      <c r="I21" s="180"/>
      <c r="J21" s="88"/>
    </row>
    <row r="22" spans="1:10" ht="15" hidden="1" customHeight="1" outlineLevel="1">
      <c r="A22" s="410">
        <f t="shared" si="0"/>
        <v>3</v>
      </c>
      <c r="B22" s="410" t="str">
        <f t="shared" si="1"/>
        <v/>
      </c>
      <c r="C22" s="257"/>
      <c r="D22" s="150"/>
      <c r="E22" s="150"/>
      <c r="F22" s="82"/>
      <c r="G22" s="250"/>
      <c r="H22" s="109"/>
      <c r="I22" s="180"/>
      <c r="J22" s="88"/>
    </row>
    <row r="23" spans="1:10" ht="15" hidden="1" customHeight="1" outlineLevel="1">
      <c r="A23" s="410">
        <f t="shared" si="0"/>
        <v>3</v>
      </c>
      <c r="B23" s="410" t="str">
        <f t="shared" si="1"/>
        <v/>
      </c>
      <c r="C23" s="257"/>
      <c r="D23" s="150"/>
      <c r="E23" s="150"/>
      <c r="F23" s="82"/>
      <c r="G23" s="250"/>
      <c r="H23" s="109"/>
      <c r="I23" s="180"/>
      <c r="J23" s="88"/>
    </row>
    <row r="24" spans="1:10" ht="15" hidden="1" customHeight="1" outlineLevel="1">
      <c r="A24" s="410">
        <f t="shared" si="0"/>
        <v>3</v>
      </c>
      <c r="B24" s="410" t="str">
        <f t="shared" si="1"/>
        <v/>
      </c>
      <c r="C24" s="257"/>
      <c r="D24" s="150"/>
      <c r="E24" s="150"/>
      <c r="F24" s="82"/>
      <c r="G24" s="250"/>
      <c r="H24" s="109"/>
      <c r="I24" s="180"/>
      <c r="J24" s="88"/>
    </row>
    <row r="25" spans="1:10" ht="15" hidden="1" customHeight="1" outlineLevel="1">
      <c r="A25" s="410">
        <f t="shared" si="0"/>
        <v>3</v>
      </c>
      <c r="B25" s="410" t="str">
        <f t="shared" si="1"/>
        <v/>
      </c>
      <c r="C25" s="257"/>
      <c r="D25" s="150"/>
      <c r="E25" s="150"/>
      <c r="F25" s="82"/>
      <c r="G25" s="250"/>
      <c r="H25" s="109"/>
      <c r="I25" s="180"/>
      <c r="J25" s="88"/>
    </row>
    <row r="26" spans="1:10" ht="15" hidden="1" customHeight="1" outlineLevel="1">
      <c r="A26" s="410">
        <f t="shared" si="0"/>
        <v>3</v>
      </c>
      <c r="B26" s="410" t="str">
        <f t="shared" si="1"/>
        <v/>
      </c>
      <c r="C26" s="257"/>
      <c r="D26" s="150"/>
      <c r="E26" s="150"/>
      <c r="F26" s="82"/>
      <c r="G26" s="250"/>
      <c r="H26" s="109"/>
      <c r="I26" s="180"/>
      <c r="J26" s="88"/>
    </row>
    <row r="27" spans="1:10" ht="15" hidden="1" customHeight="1" outlineLevel="1">
      <c r="A27" s="410">
        <f t="shared" si="0"/>
        <v>4</v>
      </c>
      <c r="B27" s="410" t="str">
        <f t="shared" si="1"/>
        <v/>
      </c>
      <c r="C27" s="257"/>
      <c r="D27" s="150"/>
      <c r="E27" s="150"/>
      <c r="F27" s="82"/>
      <c r="G27" s="250"/>
      <c r="H27" s="109"/>
      <c r="I27" s="180"/>
      <c r="J27" s="88"/>
    </row>
    <row r="28" spans="1:10" ht="15" hidden="1" customHeight="1" outlineLevel="1">
      <c r="A28" s="410">
        <f t="shared" si="0"/>
        <v>4</v>
      </c>
      <c r="B28" s="410" t="str">
        <f t="shared" si="1"/>
        <v/>
      </c>
      <c r="C28" s="257"/>
      <c r="D28" s="150"/>
      <c r="E28" s="150"/>
      <c r="F28" s="82"/>
      <c r="G28" s="250"/>
      <c r="H28" s="109"/>
      <c r="I28" s="180"/>
      <c r="J28" s="88"/>
    </row>
    <row r="29" spans="1:10" ht="15" hidden="1" customHeight="1" outlineLevel="1">
      <c r="A29" s="410">
        <f t="shared" si="0"/>
        <v>4</v>
      </c>
      <c r="B29" s="410" t="str">
        <f t="shared" si="1"/>
        <v/>
      </c>
      <c r="C29" s="257"/>
      <c r="D29" s="150"/>
      <c r="E29" s="150"/>
      <c r="F29" s="82"/>
      <c r="G29" s="250"/>
      <c r="H29" s="109"/>
      <c r="I29" s="180"/>
      <c r="J29" s="88"/>
    </row>
    <row r="30" spans="1:10" ht="15" hidden="1" customHeight="1" outlineLevel="1">
      <c r="A30" s="410">
        <f t="shared" si="0"/>
        <v>4</v>
      </c>
      <c r="B30" s="410" t="str">
        <f t="shared" si="1"/>
        <v/>
      </c>
      <c r="C30" s="257"/>
      <c r="D30" s="150"/>
      <c r="E30" s="150"/>
      <c r="F30" s="82"/>
      <c r="G30" s="250"/>
      <c r="H30" s="109"/>
      <c r="I30" s="180"/>
      <c r="J30" s="88"/>
    </row>
    <row r="31" spans="1:10" ht="15" hidden="1" customHeight="1" outlineLevel="1">
      <c r="A31" s="410">
        <f t="shared" si="0"/>
        <v>4</v>
      </c>
      <c r="B31" s="410" t="str">
        <f t="shared" si="1"/>
        <v/>
      </c>
      <c r="C31" s="257"/>
      <c r="D31" s="150"/>
      <c r="E31" s="150"/>
      <c r="F31" s="82"/>
      <c r="G31" s="250"/>
      <c r="H31" s="109"/>
      <c r="I31" s="180"/>
      <c r="J31" s="88"/>
    </row>
    <row r="32" spans="1:10" ht="15" hidden="1" customHeight="1" outlineLevel="1">
      <c r="A32" s="410">
        <f t="shared" si="0"/>
        <v>4</v>
      </c>
      <c r="B32" s="410" t="str">
        <f t="shared" si="1"/>
        <v/>
      </c>
      <c r="C32" s="257"/>
      <c r="D32" s="150"/>
      <c r="E32" s="150"/>
      <c r="F32" s="82"/>
      <c r="G32" s="250"/>
      <c r="H32" s="109"/>
      <c r="I32" s="180"/>
      <c r="J32" s="88"/>
    </row>
    <row r="33" spans="1:10" ht="15" hidden="1" customHeight="1" outlineLevel="1">
      <c r="A33" s="410">
        <f t="shared" si="0"/>
        <v>4</v>
      </c>
      <c r="B33" s="410" t="str">
        <f t="shared" si="1"/>
        <v/>
      </c>
      <c r="C33" s="257"/>
      <c r="D33" s="150"/>
      <c r="E33" s="150"/>
      <c r="F33" s="82"/>
      <c r="G33" s="250"/>
      <c r="H33" s="109"/>
      <c r="I33" s="180"/>
      <c r="J33" s="88"/>
    </row>
    <row r="34" spans="1:10" ht="15" hidden="1" customHeight="1" outlineLevel="1">
      <c r="A34" s="410">
        <f t="shared" si="0"/>
        <v>5</v>
      </c>
      <c r="B34" s="410" t="str">
        <f t="shared" si="1"/>
        <v/>
      </c>
      <c r="C34" s="257"/>
      <c r="D34" s="150"/>
      <c r="E34" s="150"/>
      <c r="F34" s="82"/>
      <c r="G34" s="250"/>
      <c r="H34" s="109"/>
      <c r="I34" s="180"/>
      <c r="J34" s="88"/>
    </row>
    <row r="35" spans="1:10" ht="15" hidden="1" customHeight="1" outlineLevel="1">
      <c r="A35" s="410">
        <f t="shared" si="0"/>
        <v>5</v>
      </c>
      <c r="B35" s="410" t="str">
        <f t="shared" si="1"/>
        <v/>
      </c>
      <c r="C35" s="257"/>
      <c r="D35" s="150"/>
      <c r="E35" s="150"/>
      <c r="F35" s="82"/>
      <c r="G35" s="250"/>
      <c r="H35" s="109"/>
      <c r="I35" s="180"/>
      <c r="J35" s="88"/>
    </row>
    <row r="36" spans="1:10" ht="15" hidden="1" customHeight="1" outlineLevel="1">
      <c r="A36" s="410">
        <f t="shared" si="0"/>
        <v>5</v>
      </c>
      <c r="B36" s="410" t="str">
        <f t="shared" si="1"/>
        <v/>
      </c>
      <c r="C36" s="257"/>
      <c r="D36" s="150"/>
      <c r="E36" s="150"/>
      <c r="F36" s="82"/>
      <c r="G36" s="250"/>
      <c r="H36" s="109"/>
      <c r="I36" s="180"/>
      <c r="J36" s="88"/>
    </row>
    <row r="37" spans="1:10" ht="15" hidden="1" customHeight="1" outlineLevel="1">
      <c r="A37" s="410">
        <f t="shared" si="0"/>
        <v>5</v>
      </c>
      <c r="B37" s="410" t="str">
        <f t="shared" si="1"/>
        <v/>
      </c>
      <c r="C37" s="257"/>
      <c r="D37" s="150"/>
      <c r="E37" s="150"/>
      <c r="F37" s="82"/>
      <c r="G37" s="250"/>
      <c r="H37" s="109"/>
      <c r="I37" s="180"/>
      <c r="J37" s="88"/>
    </row>
    <row r="38" spans="1:10" ht="15" hidden="1" customHeight="1" outlineLevel="1">
      <c r="A38" s="410">
        <f t="shared" ref="A38:A55" si="2">IF(A103="--","",ROUNDUP(A103/NumSGPerLUN,0))</f>
        <v>5</v>
      </c>
      <c r="B38" s="410" t="str">
        <f t="shared" ref="B38:B55" si="3">IF(G103="--","",ROUNDUP(VALUE(IF(LEFT(RIGHT(G103,2),1)="G",RIGHT(G103,1),RIGHT(G103,2)))/NumSGPerLUN,0))</f>
        <v/>
      </c>
      <c r="C38" s="257"/>
      <c r="D38" s="150"/>
      <c r="E38" s="150"/>
      <c r="F38" s="82"/>
      <c r="G38" s="250"/>
      <c r="H38" s="109"/>
      <c r="I38" s="180"/>
      <c r="J38" s="88"/>
    </row>
    <row r="39" spans="1:10" ht="15" hidden="1" customHeight="1" outlineLevel="1">
      <c r="A39" s="410">
        <f t="shared" si="2"/>
        <v>5</v>
      </c>
      <c r="B39" s="410" t="str">
        <f t="shared" si="3"/>
        <v/>
      </c>
      <c r="C39" s="257"/>
      <c r="D39" s="150"/>
      <c r="E39" s="150"/>
      <c r="F39" s="82"/>
      <c r="G39" s="250"/>
      <c r="H39" s="109"/>
      <c r="I39" s="180"/>
      <c r="J39" s="88"/>
    </row>
    <row r="40" spans="1:10" ht="15" hidden="1" customHeight="1" outlineLevel="1">
      <c r="A40" s="410">
        <f t="shared" si="2"/>
        <v>5</v>
      </c>
      <c r="B40" s="410" t="str">
        <f t="shared" si="3"/>
        <v/>
      </c>
      <c r="C40" s="257"/>
      <c r="D40" s="150"/>
      <c r="E40" s="150"/>
      <c r="F40" s="82"/>
      <c r="G40" s="250"/>
      <c r="H40" s="109"/>
      <c r="I40" s="180"/>
      <c r="J40" s="88"/>
    </row>
    <row r="41" spans="1:10" ht="15" hidden="1" customHeight="1" outlineLevel="1">
      <c r="A41" s="410">
        <f t="shared" si="2"/>
        <v>6</v>
      </c>
      <c r="B41" s="410" t="str">
        <f t="shared" si="3"/>
        <v/>
      </c>
      <c r="C41" s="257"/>
      <c r="D41" s="150"/>
      <c r="E41" s="150"/>
      <c r="F41" s="82"/>
      <c r="G41" s="250"/>
      <c r="H41" s="109"/>
      <c r="I41" s="180"/>
      <c r="J41" s="88"/>
    </row>
    <row r="42" spans="1:10" ht="15" hidden="1" customHeight="1" outlineLevel="1">
      <c r="A42" s="410">
        <f t="shared" si="2"/>
        <v>6</v>
      </c>
      <c r="B42" s="410" t="str">
        <f t="shared" si="3"/>
        <v/>
      </c>
      <c r="C42" s="257"/>
      <c r="D42" s="150"/>
      <c r="E42" s="150"/>
      <c r="F42" s="82"/>
      <c r="G42" s="250"/>
      <c r="H42" s="109"/>
      <c r="I42" s="180"/>
      <c r="J42" s="88"/>
    </row>
    <row r="43" spans="1:10" ht="15" hidden="1" customHeight="1" outlineLevel="1">
      <c r="A43" s="410">
        <f t="shared" si="2"/>
        <v>6</v>
      </c>
      <c r="B43" s="410" t="str">
        <f t="shared" si="3"/>
        <v/>
      </c>
      <c r="C43" s="257"/>
      <c r="D43" s="150"/>
      <c r="E43" s="150"/>
      <c r="F43" s="82"/>
      <c r="G43" s="250"/>
      <c r="H43" s="109"/>
      <c r="I43" s="180"/>
      <c r="J43" s="88"/>
    </row>
    <row r="44" spans="1:10" ht="15" hidden="1" customHeight="1" outlineLevel="1">
      <c r="A44" s="410">
        <f t="shared" si="2"/>
        <v>6</v>
      </c>
      <c r="B44" s="410" t="str">
        <f t="shared" si="3"/>
        <v/>
      </c>
      <c r="C44" s="257"/>
      <c r="D44" s="150"/>
      <c r="E44" s="150"/>
      <c r="F44" s="82"/>
      <c r="G44" s="250"/>
      <c r="H44" s="109"/>
      <c r="I44" s="180"/>
      <c r="J44" s="88"/>
    </row>
    <row r="45" spans="1:10" ht="15" hidden="1" customHeight="1" outlineLevel="1">
      <c r="A45" s="410">
        <f t="shared" si="2"/>
        <v>6</v>
      </c>
      <c r="B45" s="410" t="str">
        <f t="shared" si="3"/>
        <v/>
      </c>
      <c r="C45" s="257"/>
      <c r="D45" s="150"/>
      <c r="E45" s="150"/>
      <c r="F45" s="82"/>
      <c r="G45" s="250"/>
      <c r="H45" s="109"/>
      <c r="I45" s="180"/>
      <c r="J45" s="88"/>
    </row>
    <row r="46" spans="1:10" ht="15" hidden="1" customHeight="1" outlineLevel="1">
      <c r="A46" s="410">
        <f t="shared" si="2"/>
        <v>6</v>
      </c>
      <c r="B46" s="410" t="str">
        <f t="shared" si="3"/>
        <v/>
      </c>
      <c r="C46" s="257"/>
      <c r="D46" s="150"/>
      <c r="E46" s="150"/>
      <c r="F46" s="82"/>
      <c r="G46" s="250"/>
      <c r="H46" s="109"/>
      <c r="I46" s="180"/>
      <c r="J46" s="88"/>
    </row>
    <row r="47" spans="1:10" ht="15" hidden="1" customHeight="1" outlineLevel="1">
      <c r="A47" s="410">
        <f t="shared" si="2"/>
        <v>6</v>
      </c>
      <c r="B47" s="410" t="str">
        <f t="shared" si="3"/>
        <v/>
      </c>
      <c r="C47" s="257"/>
      <c r="D47" s="150"/>
      <c r="E47" s="150"/>
      <c r="F47" s="82"/>
      <c r="G47" s="250"/>
      <c r="H47" s="109"/>
      <c r="I47" s="180"/>
      <c r="J47" s="88"/>
    </row>
    <row r="48" spans="1:10" ht="15" hidden="1" customHeight="1" outlineLevel="1">
      <c r="A48" s="410" t="str">
        <f t="shared" si="2"/>
        <v/>
      </c>
      <c r="B48" s="410" t="str">
        <f t="shared" si="3"/>
        <v/>
      </c>
      <c r="C48" s="257"/>
      <c r="D48" s="150"/>
      <c r="E48" s="150"/>
      <c r="F48" s="82"/>
      <c r="G48" s="250"/>
      <c r="H48" s="109"/>
      <c r="I48" s="180"/>
      <c r="J48" s="88"/>
    </row>
    <row r="49" spans="1:10" ht="15" hidden="1" customHeight="1" outlineLevel="1">
      <c r="A49" s="410" t="str">
        <f t="shared" si="2"/>
        <v/>
      </c>
      <c r="B49" s="410" t="str">
        <f t="shared" si="3"/>
        <v/>
      </c>
      <c r="C49" s="257"/>
      <c r="D49" s="150"/>
      <c r="E49" s="150"/>
      <c r="F49" s="82"/>
      <c r="G49" s="250"/>
      <c r="H49" s="109"/>
      <c r="I49" s="180"/>
      <c r="J49" s="88"/>
    </row>
    <row r="50" spans="1:10" ht="15" hidden="1" customHeight="1" outlineLevel="1">
      <c r="A50" s="410" t="str">
        <f t="shared" si="2"/>
        <v/>
      </c>
      <c r="B50" s="410" t="str">
        <f t="shared" si="3"/>
        <v/>
      </c>
      <c r="C50" s="257"/>
      <c r="D50" s="150"/>
      <c r="E50" s="150"/>
      <c r="F50" s="82"/>
      <c r="G50" s="250"/>
      <c r="H50" s="109"/>
      <c r="I50" s="180"/>
      <c r="J50" s="88"/>
    </row>
    <row r="51" spans="1:10" ht="15" hidden="1" customHeight="1" outlineLevel="1">
      <c r="A51" s="410" t="str">
        <f t="shared" si="2"/>
        <v/>
      </c>
      <c r="B51" s="410" t="str">
        <f t="shared" si="3"/>
        <v/>
      </c>
      <c r="C51" s="257"/>
      <c r="D51" s="150"/>
      <c r="E51" s="150"/>
      <c r="F51" s="82"/>
      <c r="G51" s="250"/>
      <c r="H51" s="109"/>
      <c r="I51" s="180"/>
      <c r="J51" s="88"/>
    </row>
    <row r="52" spans="1:10" ht="15" hidden="1" customHeight="1" outlineLevel="1">
      <c r="A52" s="410" t="str">
        <f t="shared" si="2"/>
        <v/>
      </c>
      <c r="B52" s="410" t="str">
        <f t="shared" si="3"/>
        <v/>
      </c>
      <c r="C52" s="257"/>
      <c r="D52" s="150"/>
      <c r="E52" s="150"/>
      <c r="F52" s="82"/>
      <c r="G52" s="250"/>
      <c r="H52" s="109"/>
      <c r="I52" s="180"/>
      <c r="J52" s="88"/>
    </row>
    <row r="53" spans="1:10" ht="15" hidden="1" customHeight="1" outlineLevel="1">
      <c r="A53" s="410" t="str">
        <f t="shared" si="2"/>
        <v/>
      </c>
      <c r="B53" s="410" t="str">
        <f t="shared" si="3"/>
        <v/>
      </c>
      <c r="C53" s="257"/>
      <c r="D53" s="150"/>
      <c r="E53" s="150"/>
      <c r="F53" s="82"/>
      <c r="G53" s="250"/>
      <c r="H53" s="109"/>
      <c r="I53" s="180"/>
      <c r="J53" s="88"/>
    </row>
    <row r="54" spans="1:10" ht="15" hidden="1" customHeight="1" outlineLevel="1">
      <c r="A54" s="410" t="str">
        <f t="shared" si="2"/>
        <v/>
      </c>
      <c r="B54" s="410" t="str">
        <f t="shared" si="3"/>
        <v/>
      </c>
      <c r="C54" s="257"/>
      <c r="D54" s="150"/>
      <c r="E54" s="150"/>
      <c r="F54" s="82"/>
      <c r="G54" s="250"/>
      <c r="H54" s="109"/>
      <c r="I54" s="180"/>
      <c r="J54" s="88"/>
    </row>
    <row r="55" spans="1:10" ht="15.75" hidden="1" customHeight="1" outlineLevel="1" thickBot="1">
      <c r="A55" s="253" t="str">
        <f t="shared" si="2"/>
        <v/>
      </c>
      <c r="B55" s="147" t="str">
        <f t="shared" si="3"/>
        <v/>
      </c>
      <c r="C55" s="257"/>
      <c r="D55" s="150"/>
      <c r="E55" s="150"/>
      <c r="F55" s="82"/>
      <c r="G55" s="250"/>
      <c r="H55" s="109"/>
      <c r="I55" s="180"/>
      <c r="J55" s="88"/>
    </row>
    <row r="56" spans="1:10" ht="15.75" collapsed="1" thickBot="1">
      <c r="A56" s="785"/>
      <c r="B56" s="126"/>
      <c r="C56" s="126"/>
      <c r="D56" s="126"/>
      <c r="E56" s="126"/>
      <c r="F56" s="81"/>
      <c r="G56" s="81"/>
      <c r="H56" s="81"/>
      <c r="I56" s="124"/>
      <c r="J56" s="88"/>
    </row>
    <row r="57" spans="1:10" ht="16.5" thickBot="1">
      <c r="A57" s="914" t="s">
        <v>654</v>
      </c>
      <c r="B57" s="915"/>
      <c r="C57" s="915"/>
      <c r="D57" s="915"/>
      <c r="E57" s="915"/>
      <c r="F57" s="915"/>
      <c r="G57" s="915"/>
      <c r="H57" s="915"/>
      <c r="I57" s="916"/>
      <c r="J57" s="110"/>
    </row>
    <row r="58" spans="1:10" ht="15.75" thickBot="1">
      <c r="A58" s="783"/>
      <c r="B58" s="127"/>
      <c r="C58" s="127"/>
      <c r="D58" s="127"/>
      <c r="E58" s="127"/>
      <c r="F58" s="127"/>
      <c r="G58" s="127"/>
      <c r="H58" s="127"/>
      <c r="I58" s="128"/>
      <c r="J58" s="110"/>
    </row>
    <row r="59" spans="1:10" ht="16.5" thickBot="1">
      <c r="A59" s="943" t="s">
        <v>70</v>
      </c>
      <c r="B59" s="944"/>
      <c r="C59" s="944"/>
      <c r="D59" s="945"/>
      <c r="E59" s="127"/>
      <c r="F59" s="127"/>
      <c r="G59" s="127"/>
      <c r="H59" s="127"/>
      <c r="I59" s="131"/>
      <c r="J59" s="110"/>
    </row>
    <row r="60" spans="1:10" ht="15.75" thickBot="1">
      <c r="A60" s="939" t="s">
        <v>330</v>
      </c>
      <c r="B60" s="940"/>
      <c r="C60" s="941" t="str">
        <f>IF(LUNDesign="1/7","2 LUNs / Backup Set", "2 LUNs / SG")</f>
        <v>2 LUNs / Backup Set</v>
      </c>
      <c r="D60" s="942"/>
      <c r="E60" s="127"/>
      <c r="F60" s="127"/>
      <c r="G60" s="127"/>
      <c r="H60" s="127"/>
      <c r="I60" s="131"/>
      <c r="J60" s="110"/>
    </row>
    <row r="61" spans="1:10" ht="15.75" thickBot="1">
      <c r="A61" s="783"/>
      <c r="B61" s="127"/>
      <c r="C61" s="127"/>
      <c r="D61" s="127"/>
      <c r="E61" s="127"/>
      <c r="F61" s="127"/>
      <c r="G61" s="127"/>
      <c r="H61" s="127"/>
      <c r="I61" s="131"/>
      <c r="J61" s="110"/>
    </row>
    <row r="62" spans="1:10" ht="16.5" thickBot="1">
      <c r="A62" s="943" t="s">
        <v>660</v>
      </c>
      <c r="B62" s="944"/>
      <c r="C62" s="945"/>
      <c r="D62" s="129" t="s">
        <v>212</v>
      </c>
      <c r="E62" s="129" t="s">
        <v>211</v>
      </c>
      <c r="F62" s="129" t="str">
        <f>"SCR Targets (" &amp;numSCRTarget &amp;")"</f>
        <v>SCR Targets (1)</v>
      </c>
      <c r="G62" s="82"/>
      <c r="H62" s="943" t="s">
        <v>661</v>
      </c>
      <c r="I62" s="945"/>
      <c r="J62" s="110"/>
    </row>
    <row r="63" spans="1:10" ht="15.75" thickBot="1">
      <c r="A63" s="952" t="s">
        <v>105</v>
      </c>
      <c r="B63" s="953"/>
      <c r="C63" s="954"/>
      <c r="D63" s="264">
        <f>NumSGPerLUN</f>
        <v>7</v>
      </c>
      <c r="E63" s="132">
        <f>IF(OR(HAOption="CCR",HAOption="LCR"),D63,"--")</f>
        <v>7</v>
      </c>
      <c r="F63" s="132">
        <f>IF(numSCRTarget&lt;&gt;0,D63,"--")</f>
        <v>7</v>
      </c>
      <c r="G63" s="82"/>
      <c r="H63" s="247" t="s">
        <v>309</v>
      </c>
      <c r="I63" s="246">
        <f>IF(RestoreLUNSize=0,"--",RestoreLUNSize)</f>
        <v>2219.140625</v>
      </c>
      <c r="J63" s="110"/>
    </row>
    <row r="64" spans="1:10" ht="15">
      <c r="A64" s="946" t="s">
        <v>106</v>
      </c>
      <c r="B64" s="947"/>
      <c r="C64" s="948"/>
      <c r="D64" s="133">
        <f>ABS(COUNTIF(G71:G120,"--")-COUNTA(G71:G120))</f>
        <v>6</v>
      </c>
      <c r="E64" s="376">
        <f>IF(OR(HAOption="CCR",HAOption="LCR"),D64,"--")</f>
        <v>6</v>
      </c>
      <c r="F64" s="459">
        <f>IF(numSCRTarget&lt;&gt;0,D64,"--")</f>
        <v>6</v>
      </c>
      <c r="G64" s="82"/>
      <c r="H64" s="82"/>
      <c r="I64" s="90"/>
      <c r="J64" s="110"/>
    </row>
    <row r="65" spans="1:12" ht="15">
      <c r="A65" s="955" t="s">
        <v>107</v>
      </c>
      <c r="B65" s="956"/>
      <c r="C65" s="957"/>
      <c r="D65" s="406">
        <f>D64</f>
        <v>6</v>
      </c>
      <c r="E65" s="460">
        <f>IF(OR(HAOption="CCR",HAOption="LCR"),D64,"--")</f>
        <v>6</v>
      </c>
      <c r="F65" s="407">
        <f>IF(numSCRTarget&lt;&gt;0,D65,"--")</f>
        <v>6</v>
      </c>
      <c r="G65" s="82"/>
      <c r="H65" s="82"/>
      <c r="I65" s="183"/>
      <c r="J65" s="110"/>
    </row>
    <row r="66" spans="1:12" ht="15.75" thickBot="1">
      <c r="A66" s="949" t="s">
        <v>128</v>
      </c>
      <c r="B66" s="950"/>
      <c r="C66" s="951"/>
      <c r="D66" s="405">
        <f>IF(RestoreLUN="Yes",1,0)</f>
        <v>1</v>
      </c>
      <c r="E66" s="134">
        <f>IF(HAOption="CCR",D66,IF(HAOption="LCR",0,"--"))</f>
        <v>1</v>
      </c>
      <c r="F66" s="134">
        <f>IF(numSCRTarget&lt;&gt;0,D66,"--")</f>
        <v>1</v>
      </c>
      <c r="G66" s="82"/>
      <c r="H66" s="82"/>
      <c r="I66" s="183"/>
      <c r="J66" s="110"/>
    </row>
    <row r="67" spans="1:12" ht="15.75" thickBot="1">
      <c r="A67" s="952" t="s">
        <v>108</v>
      </c>
      <c r="B67" s="953"/>
      <c r="C67" s="954"/>
      <c r="D67" s="135">
        <f>SUM(D64:D66)</f>
        <v>13</v>
      </c>
      <c r="E67" s="135">
        <f>SUM(E64:E66)</f>
        <v>13</v>
      </c>
      <c r="F67" s="135">
        <f>SUM(F64:F66)*numSCRTarget</f>
        <v>13</v>
      </c>
      <c r="G67" s="136">
        <f>SUM(D67:F67)</f>
        <v>39</v>
      </c>
      <c r="H67" s="82"/>
      <c r="I67" s="131"/>
      <c r="J67" s="110"/>
    </row>
    <row r="68" spans="1:12" ht="15.75" thickBot="1">
      <c r="A68" s="783"/>
      <c r="B68" s="127"/>
      <c r="C68" s="127"/>
      <c r="D68" s="127"/>
      <c r="E68" s="127"/>
      <c r="F68" s="127"/>
      <c r="G68" s="170"/>
      <c r="H68" s="170"/>
      <c r="I68" s="137"/>
      <c r="J68" s="110"/>
    </row>
    <row r="69" spans="1:12" ht="16.5" thickBot="1">
      <c r="A69" s="943" t="s">
        <v>653</v>
      </c>
      <c r="B69" s="944"/>
      <c r="C69" s="944"/>
      <c r="D69" s="944"/>
      <c r="E69" s="945"/>
      <c r="F69" s="93"/>
      <c r="G69" s="943" t="s">
        <v>652</v>
      </c>
      <c r="H69" s="944"/>
      <c r="I69" s="945"/>
      <c r="L69" s="269"/>
    </row>
    <row r="70" spans="1:12" ht="32.25" thickBot="1">
      <c r="A70" s="194" t="s">
        <v>73</v>
      </c>
      <c r="B70" s="193" t="s">
        <v>28</v>
      </c>
      <c r="C70" s="193" t="s">
        <v>368</v>
      </c>
      <c r="D70" s="193" t="s">
        <v>369</v>
      </c>
      <c r="E70" s="193" t="s">
        <v>370</v>
      </c>
      <c r="F70" s="81"/>
      <c r="G70" s="194" t="s">
        <v>71</v>
      </c>
      <c r="H70" s="193" t="s">
        <v>55</v>
      </c>
      <c r="I70" s="193" t="s">
        <v>56</v>
      </c>
      <c r="L70" s="281"/>
    </row>
    <row r="71" spans="1:12" ht="15">
      <c r="A71" s="782">
        <v>1</v>
      </c>
      <c r="B71" s="142">
        <f>MBXPerDB</f>
        <v>95.238095238095241</v>
      </c>
      <c r="C71" s="394">
        <f>(MBXPerDB*((Tier1MBXRatio*Tier1MBXSize)+(Tier3MBXRatio*Tier3MBXSize)+(Tier2MBXRatio*Tier2MBXSize))/1024)</f>
        <v>197.35863095238096</v>
      </c>
      <c r="D71" s="394">
        <f>DBSize*(1+DataGrowth)</f>
        <v>236.83035714285714</v>
      </c>
      <c r="E71" s="395">
        <f>TotLogDiskSpace/SG</f>
        <v>16.785714285714285</v>
      </c>
      <c r="F71" s="75"/>
      <c r="G71" s="402" t="str">
        <f>IF(OR(LUNDesign=1,NumSGLUN=1),"SG1","SG1" &amp; "-SG" &amp; ROUNDUP(SG/NumSGLUN,0))</f>
        <v>SG1-SG7</v>
      </c>
      <c r="H71" s="164">
        <f t="shared" ref="H71:H102" si="4">IF(G71="--","0",(SUMIF(A$6:A$55,B6,D$71:D$120)+IF(RestoreLUN="Yes",0,(SUMIF(A$6:A$55,B6,D$71:D$120)*1.1))+IF(ContentIndexing="Enabled",SUMIF(A$6:A$55,B6,D$71:D$120)*0.05))/(1-LUNGrowth))</f>
        <v>2175.87890625</v>
      </c>
      <c r="I71" s="164">
        <f t="shared" ref="I71:I102" si="5">IF(G71="--","0",SUMIF(A$6:A$55,B6,E$71:E$120)/(1-LUNGrowth))</f>
        <v>146.87499999999994</v>
      </c>
      <c r="L71" s="281"/>
    </row>
    <row r="72" spans="1:12" ht="15">
      <c r="A72" s="779">
        <f>IF(SG&gt;=2,2,"--")</f>
        <v>2</v>
      </c>
      <c r="B72" s="368">
        <f t="shared" ref="B72:B103" si="6">IF(A72&lt;&gt;"--",IF(SG&gt;=A72,IF(SG&lt;=A72,IF(calcTotNumMBX&gt;TotalMBXPerSvr,MBXPerDB-(calcTotNumMBX-TotalMBXPerSvr),MBXPerDB),MBXPerDB)),0)</f>
        <v>95.238095238095241</v>
      </c>
      <c r="C72" s="396">
        <f t="shared" ref="C72:C103" si="7">IF(B72=0,"0",(B72*((Tier1MBXRatio*Tier1MBXSize)+(Tier3MBXRatio*Tier3MBXSize)+(Tier2MBXRatio*Tier2MBXSize)))/1024)</f>
        <v>197.35863095238096</v>
      </c>
      <c r="D72" s="397">
        <f t="shared" ref="D72:D103" si="8">IF(A72&lt;&gt;"--",C72*(1+DataGrowth),"0")</f>
        <v>236.83035714285714</v>
      </c>
      <c r="E72" s="397">
        <f t="shared" ref="E72:E103" si="9">IF(A72="--","0",TotLogDiskSpace/SG)</f>
        <v>16.785714285714285</v>
      </c>
      <c r="F72" s="81"/>
      <c r="G72" s="138" t="str">
        <f>IFERROR(IF(SG&gt;=2,IF(OR(LUNDesign=1,NumSGLUN=1),"SG2",IF((MID(G71,IF(LEN(G71)=7,LEN(G71),LEN(G71)-1),2)+1)&gt;SG,"--","SG" &amp; (MID(G71,IF(LEN(G71)=7,LEN(G71),LEN(G71)-1),2)+1) &amp; "-SG" &amp; IF((VALUE((MID(G71,IF(LEN(G71)=7,LEN(G71),LEN(G71)-1),2)+1))+ROUNDUP(SG/NumSGLUN,0))&gt;SG,SG,(VALUE((MID(G71,IF(LEN(G71)=7,LEN(G71),LEN(G71)-1),2)))+ROUNDUP(SG/NumSGLUN,0))))),"--"),"--")</f>
        <v>SG8-SG14</v>
      </c>
      <c r="H72" s="396">
        <f t="shared" si="4"/>
        <v>2175.87890625</v>
      </c>
      <c r="I72" s="396">
        <f t="shared" si="5"/>
        <v>146.87499999999994</v>
      </c>
    </row>
    <row r="73" spans="1:12" ht="15">
      <c r="A73" s="779">
        <f>IF(SG&gt;=3,3,"--")</f>
        <v>3</v>
      </c>
      <c r="B73" s="368">
        <f t="shared" si="6"/>
        <v>95.238095238095241</v>
      </c>
      <c r="C73" s="396">
        <f t="shared" si="7"/>
        <v>197.35863095238096</v>
      </c>
      <c r="D73" s="397">
        <f t="shared" si="8"/>
        <v>236.83035714285714</v>
      </c>
      <c r="E73" s="397">
        <f t="shared" si="9"/>
        <v>16.785714285714285</v>
      </c>
      <c r="F73" s="81"/>
      <c r="G73" s="404" t="str">
        <f>IFERROR(IF(SG&gt;=3,IF(OR(LUNDesign=1,NumSGLUN=1),"SG3",IF((MID(G72,IF(LEN(G72)=7,LEN(G72),LEN(G72)-1),2)+1)&gt;SG,"--","SG" &amp; (MID(G72,IF(LEN(G72)=7,LEN(G72),LEN(G72)-1),2)+1) &amp; "-SG" &amp; IF((VALUE((MID(G72,IF(LEN(G72)=7,LEN(G72),LEN(G72)-1),2)+1))+ROUNDUP(SG/NumSGLUN,0))&gt;SG,SG,(VALUE((MID(G72,IF(LEN(G72)=7,LEN(G72),LEN(G72)-1),2)))+ROUNDUP(SG/NumSGLUN,0))))),"--"),"--")</f>
        <v>SG15-SG21</v>
      </c>
      <c r="H73" s="396">
        <f t="shared" si="4"/>
        <v>2175.87890625</v>
      </c>
      <c r="I73" s="396">
        <f t="shared" si="5"/>
        <v>146.87499999999994</v>
      </c>
    </row>
    <row r="74" spans="1:12" ht="15">
      <c r="A74" s="779">
        <f>IF(SG&gt;=4,4,"--")</f>
        <v>4</v>
      </c>
      <c r="B74" s="368">
        <f t="shared" si="6"/>
        <v>95.238095238095241</v>
      </c>
      <c r="C74" s="396">
        <f t="shared" si="7"/>
        <v>197.35863095238096</v>
      </c>
      <c r="D74" s="397">
        <f t="shared" si="8"/>
        <v>236.83035714285714</v>
      </c>
      <c r="E74" s="397">
        <f t="shared" si="9"/>
        <v>16.785714285714285</v>
      </c>
      <c r="F74" s="81"/>
      <c r="G74" s="404" t="str">
        <f>IFERROR(IF(SG&gt;=4,IF(OR(LUNDesign=1,NumSGLUN=1),"SG4",IF((MID(G73,IF(LEN(G73)=7,LEN(G73),LEN(G73)-1),2)+1)&gt;SG,"--","SG" &amp; (MID(G73,IF(LEN(G73)=7,LEN(G73),LEN(G73)-1),2)+1) &amp; "-SG" &amp; IF((VALUE((MID(G73,IF(LEN(G73)=7,LEN(G73),LEN(G73)-1),2)+1))+ROUNDUP(SG/NumSGLUN,0))&gt;SG,SG,(VALUE((MID(G73,IF(LEN(G73)=7,LEN(G73),LEN(G73)-1),2)))+ROUNDUP(SG/NumSGLUN,0))))),"--"),"--")</f>
        <v>SG22-SG28</v>
      </c>
      <c r="H74" s="396">
        <f t="shared" si="4"/>
        <v>2175.87890625</v>
      </c>
      <c r="I74" s="396">
        <f t="shared" si="5"/>
        <v>146.87499999999994</v>
      </c>
    </row>
    <row r="75" spans="1:12" ht="15">
      <c r="A75" s="779">
        <f>IF(SG&gt;=5,5,"--")</f>
        <v>5</v>
      </c>
      <c r="B75" s="368">
        <f t="shared" si="6"/>
        <v>95.238095238095241</v>
      </c>
      <c r="C75" s="396">
        <f t="shared" si="7"/>
        <v>197.35863095238096</v>
      </c>
      <c r="D75" s="397">
        <f t="shared" si="8"/>
        <v>236.83035714285714</v>
      </c>
      <c r="E75" s="397">
        <f t="shared" si="9"/>
        <v>16.785714285714285</v>
      </c>
      <c r="F75" s="81"/>
      <c r="G75" s="138" t="str">
        <f>IFERROR(IF(SG&gt;=5,IF(OR(LUNDesign=1,NumSGLUN=1),"SG5",IF((MID(G74,IF(LEN(G74)=7,LEN(G74),LEN(G74)-1),2)+1)&gt;SG,"--","SG" &amp; (MID(G74,IF(LEN(G74)=7,LEN(G74),LEN(G74)-1),2)+1) &amp; "-SG" &amp; IF((VALUE((MID(G74,IF(LEN(G74)=7,LEN(G74),LEN(G74)-1),2)+1))+ROUNDUP(SG/NumSGLUN,0))&gt;SG,SG,(VALUE((MID(G74,IF(LEN(G74)=7,LEN(G74),LEN(G74)-1),2)))+ROUNDUP(SG/NumSGLUN,0))))),"--"),"--")</f>
        <v>SG29-SG35</v>
      </c>
      <c r="H75" s="396">
        <f t="shared" si="4"/>
        <v>2175.87890625</v>
      </c>
      <c r="I75" s="396">
        <f t="shared" si="5"/>
        <v>146.87499999999994</v>
      </c>
    </row>
    <row r="76" spans="1:12" ht="15">
      <c r="A76" s="779">
        <f>IF(SG&gt;=6,6,"--")</f>
        <v>6</v>
      </c>
      <c r="B76" s="368">
        <f t="shared" si="6"/>
        <v>95.238095238095241</v>
      </c>
      <c r="C76" s="396">
        <f t="shared" si="7"/>
        <v>197.35863095238096</v>
      </c>
      <c r="D76" s="397">
        <f t="shared" si="8"/>
        <v>236.83035714285714</v>
      </c>
      <c r="E76" s="397">
        <f t="shared" si="9"/>
        <v>16.785714285714285</v>
      </c>
      <c r="F76" s="81"/>
      <c r="G76" s="404" t="str">
        <f>IFERROR(IF(SG&gt;=6,IF(OR(LUNDesign=1,NumSGLUN=1),"SG6",IF((MID(G75,IF(LEN(G75)=7,LEN(G75),LEN(G75)-1),2)+1)&gt;SG,"--","SG" &amp; (MID(G75,IF(LEN(G75)=7,LEN(G75),LEN(G75)-1),2)+1) &amp; "-SG" &amp; IF((VALUE((MID(G75,IF(LEN(G75)=7,LEN(G75),LEN(G75)-1),2)+1))+ROUNDUP(SG/NumSGLUN,0))&gt;SG,SG,(VALUE((MID(G75,IF(LEN(G75)=7,LEN(G75),LEN(G75)-1),2)))+ROUNDUP(SG/NumSGLUN,0))))),"--"),"--")</f>
        <v>SG36-SG42</v>
      </c>
      <c r="H76" s="396">
        <f t="shared" si="4"/>
        <v>2175.87890625</v>
      </c>
      <c r="I76" s="396">
        <f t="shared" si="5"/>
        <v>146.87499999999994</v>
      </c>
    </row>
    <row r="77" spans="1:12" ht="15">
      <c r="A77" s="779">
        <f>IF(SG&gt;=7,7,"--")</f>
        <v>7</v>
      </c>
      <c r="B77" s="368">
        <f t="shared" si="6"/>
        <v>95.238095238095241</v>
      </c>
      <c r="C77" s="396">
        <f t="shared" si="7"/>
        <v>197.35863095238096</v>
      </c>
      <c r="D77" s="397">
        <f t="shared" si="8"/>
        <v>236.83035714285714</v>
      </c>
      <c r="E77" s="397">
        <f t="shared" si="9"/>
        <v>16.785714285714285</v>
      </c>
      <c r="F77" s="81"/>
      <c r="G77" s="404" t="str">
        <f>IFERROR(IF(SG&gt;=7,IF(OR(LUNDesign=1,NumSGLUN=1),"SG7",IF((MID(G76,IF(LEN(G76)=7,LEN(G76),LEN(G76)-1),2)+1)&gt;SG,"--","SG" &amp; (MID(G76,IF(LEN(G76)=7,LEN(G76),LEN(G76)-1),2)+1) &amp; "-SG" &amp; IF((VALUE((MID(G76,IF(LEN(G76)=7,LEN(G76),LEN(G76)-1),2)+1))+ROUNDUP(SG/NumSGLUN,0))&gt;SG,SG,(VALUE((MID(G76,IF(LEN(G76)=7,LEN(G76),LEN(G76)-1),2)))+ROUNDUP(SG/NumSGLUN,0))))),"--"),"--")</f>
        <v>--</v>
      </c>
      <c r="H77" s="396" t="str">
        <f t="shared" si="4"/>
        <v>0</v>
      </c>
      <c r="I77" s="396" t="str">
        <f t="shared" si="5"/>
        <v>0</v>
      </c>
    </row>
    <row r="78" spans="1:12" ht="15">
      <c r="A78" s="779">
        <f>IF(SG&gt;=8,8,"--")</f>
        <v>8</v>
      </c>
      <c r="B78" s="368">
        <f t="shared" si="6"/>
        <v>95.238095238095241</v>
      </c>
      <c r="C78" s="396">
        <f t="shared" si="7"/>
        <v>197.35863095238096</v>
      </c>
      <c r="D78" s="397">
        <f t="shared" si="8"/>
        <v>236.83035714285714</v>
      </c>
      <c r="E78" s="397">
        <f t="shared" si="9"/>
        <v>16.785714285714285</v>
      </c>
      <c r="F78" s="81"/>
      <c r="G78" s="138" t="str">
        <f>IF(LUNDesign="1/7","--",IF(SG&gt;=8,"SG8","--"))</f>
        <v>--</v>
      </c>
      <c r="H78" s="396" t="str">
        <f t="shared" si="4"/>
        <v>0</v>
      </c>
      <c r="I78" s="396" t="str">
        <f t="shared" si="5"/>
        <v>0</v>
      </c>
    </row>
    <row r="79" spans="1:12" ht="15">
      <c r="A79" s="779">
        <f>IF(SG&gt;=9,9,"--")</f>
        <v>9</v>
      </c>
      <c r="B79" s="368">
        <f t="shared" si="6"/>
        <v>95.238095238095241</v>
      </c>
      <c r="C79" s="396">
        <f t="shared" si="7"/>
        <v>197.35863095238096</v>
      </c>
      <c r="D79" s="397">
        <f t="shared" si="8"/>
        <v>236.83035714285714</v>
      </c>
      <c r="E79" s="397">
        <f t="shared" si="9"/>
        <v>16.785714285714285</v>
      </c>
      <c r="F79" s="81"/>
      <c r="G79" s="404" t="str">
        <f>IF(LUNDesign="1/7","--",IF(SG&gt;=9,"SG9","--"))</f>
        <v>--</v>
      </c>
      <c r="H79" s="396" t="str">
        <f t="shared" si="4"/>
        <v>0</v>
      </c>
      <c r="I79" s="396" t="str">
        <f t="shared" si="5"/>
        <v>0</v>
      </c>
    </row>
    <row r="80" spans="1:12" ht="15">
      <c r="A80" s="779">
        <f>IF(SG&gt;=10,10,"--")</f>
        <v>10</v>
      </c>
      <c r="B80" s="368">
        <f t="shared" si="6"/>
        <v>95.238095238095241</v>
      </c>
      <c r="C80" s="396">
        <f t="shared" si="7"/>
        <v>197.35863095238096</v>
      </c>
      <c r="D80" s="397">
        <f t="shared" si="8"/>
        <v>236.83035714285714</v>
      </c>
      <c r="E80" s="397">
        <f t="shared" si="9"/>
        <v>16.785714285714285</v>
      </c>
      <c r="F80" s="81"/>
      <c r="G80" s="404" t="str">
        <f>IF(LUNDesign="1/7","--",IF(SG&gt;=10,"SG10","--"))</f>
        <v>--</v>
      </c>
      <c r="H80" s="396" t="str">
        <f t="shared" si="4"/>
        <v>0</v>
      </c>
      <c r="I80" s="396" t="str">
        <f t="shared" si="5"/>
        <v>0</v>
      </c>
    </row>
    <row r="81" spans="1:9" ht="15">
      <c r="A81" s="779">
        <f>IF(SG&gt;=11,11,"--")</f>
        <v>11</v>
      </c>
      <c r="B81" s="368">
        <f t="shared" si="6"/>
        <v>95.238095238095241</v>
      </c>
      <c r="C81" s="396">
        <f t="shared" si="7"/>
        <v>197.35863095238096</v>
      </c>
      <c r="D81" s="397">
        <f t="shared" si="8"/>
        <v>236.83035714285714</v>
      </c>
      <c r="E81" s="397">
        <f t="shared" si="9"/>
        <v>16.785714285714285</v>
      </c>
      <c r="F81" s="81"/>
      <c r="G81" s="404" t="str">
        <f>IF(LUNDesign="1/7","--",IF(SG&gt;=11,"SG11","--"))</f>
        <v>--</v>
      </c>
      <c r="H81" s="396" t="str">
        <f t="shared" si="4"/>
        <v>0</v>
      </c>
      <c r="I81" s="396" t="str">
        <f t="shared" si="5"/>
        <v>0</v>
      </c>
    </row>
    <row r="82" spans="1:9" ht="15">
      <c r="A82" s="779">
        <f>IF(SG&gt;=12,12,"--")</f>
        <v>12</v>
      </c>
      <c r="B82" s="368">
        <f t="shared" si="6"/>
        <v>95.238095238095241</v>
      </c>
      <c r="C82" s="396">
        <f t="shared" si="7"/>
        <v>197.35863095238096</v>
      </c>
      <c r="D82" s="397">
        <f t="shared" si="8"/>
        <v>236.83035714285714</v>
      </c>
      <c r="E82" s="397">
        <f t="shared" si="9"/>
        <v>16.785714285714285</v>
      </c>
      <c r="F82" s="81"/>
      <c r="G82" s="138" t="str">
        <f>IF(LUNDesign="1/7","--",IF(SG&gt;=12,"SG12","--"))</f>
        <v>--</v>
      </c>
      <c r="H82" s="396" t="str">
        <f t="shared" si="4"/>
        <v>0</v>
      </c>
      <c r="I82" s="396" t="str">
        <f t="shared" si="5"/>
        <v>0</v>
      </c>
    </row>
    <row r="83" spans="1:9" ht="15">
      <c r="A83" s="779">
        <f>IF(SG&gt;=13,13,"--")</f>
        <v>13</v>
      </c>
      <c r="B83" s="368">
        <f t="shared" si="6"/>
        <v>95.238095238095241</v>
      </c>
      <c r="C83" s="396">
        <f t="shared" si="7"/>
        <v>197.35863095238096</v>
      </c>
      <c r="D83" s="397">
        <f t="shared" si="8"/>
        <v>236.83035714285714</v>
      </c>
      <c r="E83" s="397">
        <f t="shared" si="9"/>
        <v>16.785714285714285</v>
      </c>
      <c r="F83" s="81"/>
      <c r="G83" s="403" t="str">
        <f>IF(LUNDesign="1/7","--",IF(SG&gt;=13,"SG13","--"))</f>
        <v>--</v>
      </c>
      <c r="H83" s="396" t="str">
        <f t="shared" si="4"/>
        <v>0</v>
      </c>
      <c r="I83" s="396" t="str">
        <f t="shared" si="5"/>
        <v>0</v>
      </c>
    </row>
    <row r="84" spans="1:9" ht="15">
      <c r="A84" s="779">
        <f>IF(SG&gt;=14,14,"--")</f>
        <v>14</v>
      </c>
      <c r="B84" s="368">
        <f t="shared" si="6"/>
        <v>95.238095238095241</v>
      </c>
      <c r="C84" s="396">
        <f t="shared" si="7"/>
        <v>197.35863095238096</v>
      </c>
      <c r="D84" s="397">
        <f t="shared" si="8"/>
        <v>236.83035714285714</v>
      </c>
      <c r="E84" s="397">
        <f t="shared" si="9"/>
        <v>16.785714285714285</v>
      </c>
      <c r="F84" s="81"/>
      <c r="G84" s="404" t="str">
        <f>IF(LUNDesign="1/7","--",IF(SG&gt;=14,"SG14","--"))</f>
        <v>--</v>
      </c>
      <c r="H84" s="396" t="str">
        <f t="shared" si="4"/>
        <v>0</v>
      </c>
      <c r="I84" s="396" t="str">
        <f t="shared" si="5"/>
        <v>0</v>
      </c>
    </row>
    <row r="85" spans="1:9" ht="15">
      <c r="A85" s="779">
        <f>IF(SG&gt;=15,15,"--")</f>
        <v>15</v>
      </c>
      <c r="B85" s="368">
        <f t="shared" si="6"/>
        <v>95.238095238095241</v>
      </c>
      <c r="C85" s="396">
        <f t="shared" si="7"/>
        <v>197.35863095238096</v>
      </c>
      <c r="D85" s="397">
        <f t="shared" si="8"/>
        <v>236.83035714285714</v>
      </c>
      <c r="E85" s="397">
        <f t="shared" si="9"/>
        <v>16.785714285714285</v>
      </c>
      <c r="F85" s="81"/>
      <c r="G85" s="404" t="str">
        <f>IF(LUNDesign="1/7","--",IF(SG&gt;=15,"SG15","--"))</f>
        <v>--</v>
      </c>
      <c r="H85" s="396" t="str">
        <f t="shared" si="4"/>
        <v>0</v>
      </c>
      <c r="I85" s="396" t="str">
        <f t="shared" si="5"/>
        <v>0</v>
      </c>
    </row>
    <row r="86" spans="1:9" ht="15">
      <c r="A86" s="779">
        <f>IF(SG&gt;=16,16,"--")</f>
        <v>16</v>
      </c>
      <c r="B86" s="368">
        <f t="shared" si="6"/>
        <v>95.238095238095241</v>
      </c>
      <c r="C86" s="396">
        <f t="shared" si="7"/>
        <v>197.35863095238096</v>
      </c>
      <c r="D86" s="397">
        <f t="shared" si="8"/>
        <v>236.83035714285714</v>
      </c>
      <c r="E86" s="397">
        <f t="shared" si="9"/>
        <v>16.785714285714285</v>
      </c>
      <c r="F86" s="81"/>
      <c r="G86" s="404" t="str">
        <f>IF(LUNDesign="1/7","--",IF(SG&gt;=16,"SG16","--"))</f>
        <v>--</v>
      </c>
      <c r="H86" s="396" t="str">
        <f t="shared" si="4"/>
        <v>0</v>
      </c>
      <c r="I86" s="396" t="str">
        <f t="shared" si="5"/>
        <v>0</v>
      </c>
    </row>
    <row r="87" spans="1:9" ht="15">
      <c r="A87" s="779">
        <f>IF(SG&gt;=17,17,"--")</f>
        <v>17</v>
      </c>
      <c r="B87" s="368">
        <f t="shared" si="6"/>
        <v>95.238095238095241</v>
      </c>
      <c r="C87" s="396">
        <f t="shared" si="7"/>
        <v>197.35863095238096</v>
      </c>
      <c r="D87" s="397">
        <f t="shared" si="8"/>
        <v>236.83035714285714</v>
      </c>
      <c r="E87" s="397">
        <f t="shared" si="9"/>
        <v>16.785714285714285</v>
      </c>
      <c r="F87" s="81"/>
      <c r="G87" s="404" t="str">
        <f>IF(LUNDesign="1/7","--",IF(SG&gt;=17,"SG17","--"))</f>
        <v>--</v>
      </c>
      <c r="H87" s="396" t="str">
        <f t="shared" si="4"/>
        <v>0</v>
      </c>
      <c r="I87" s="396" t="str">
        <f t="shared" si="5"/>
        <v>0</v>
      </c>
    </row>
    <row r="88" spans="1:9" ht="15">
      <c r="A88" s="779">
        <f>IF(SG&gt;=18,18,"--")</f>
        <v>18</v>
      </c>
      <c r="B88" s="368">
        <f t="shared" si="6"/>
        <v>95.238095238095241</v>
      </c>
      <c r="C88" s="396">
        <f t="shared" si="7"/>
        <v>197.35863095238096</v>
      </c>
      <c r="D88" s="397">
        <f t="shared" si="8"/>
        <v>236.83035714285714</v>
      </c>
      <c r="E88" s="397">
        <f t="shared" si="9"/>
        <v>16.785714285714285</v>
      </c>
      <c r="F88" s="81"/>
      <c r="G88" s="404" t="str">
        <f>IF(LUNDesign="1/7","--",IF(SG&gt;=18,"SG18","--"))</f>
        <v>--</v>
      </c>
      <c r="H88" s="396" t="str">
        <f t="shared" si="4"/>
        <v>0</v>
      </c>
      <c r="I88" s="396" t="str">
        <f t="shared" si="5"/>
        <v>0</v>
      </c>
    </row>
    <row r="89" spans="1:9" ht="15">
      <c r="A89" s="779">
        <f>IF(SG&gt;=19,19,"--")</f>
        <v>19</v>
      </c>
      <c r="B89" s="368">
        <f t="shared" si="6"/>
        <v>95.238095238095241</v>
      </c>
      <c r="C89" s="396">
        <f t="shared" si="7"/>
        <v>197.35863095238096</v>
      </c>
      <c r="D89" s="397">
        <f t="shared" si="8"/>
        <v>236.83035714285714</v>
      </c>
      <c r="E89" s="397">
        <f t="shared" si="9"/>
        <v>16.785714285714285</v>
      </c>
      <c r="F89" s="81"/>
      <c r="G89" s="404" t="str">
        <f>IF(LUNDesign="1/7","--",IF(SG&gt;=19,"SG19","--"))</f>
        <v>--</v>
      </c>
      <c r="H89" s="396" t="str">
        <f t="shared" si="4"/>
        <v>0</v>
      </c>
      <c r="I89" s="396" t="str">
        <f t="shared" si="5"/>
        <v>0</v>
      </c>
    </row>
    <row r="90" spans="1:9" ht="15">
      <c r="A90" s="779">
        <f>IF(SG&gt;=20,20,"--")</f>
        <v>20</v>
      </c>
      <c r="B90" s="368">
        <f t="shared" si="6"/>
        <v>95.238095238095241</v>
      </c>
      <c r="C90" s="396">
        <f t="shared" si="7"/>
        <v>197.35863095238096</v>
      </c>
      <c r="D90" s="397">
        <f t="shared" si="8"/>
        <v>236.83035714285714</v>
      </c>
      <c r="E90" s="397">
        <f t="shared" si="9"/>
        <v>16.785714285714285</v>
      </c>
      <c r="F90" s="81"/>
      <c r="G90" s="404" t="str">
        <f>IF(LUNDesign="1/7","--",IF(SG&gt;=20,"SG20","--"))</f>
        <v>--</v>
      </c>
      <c r="H90" s="396" t="str">
        <f t="shared" si="4"/>
        <v>0</v>
      </c>
      <c r="I90" s="396" t="str">
        <f t="shared" si="5"/>
        <v>0</v>
      </c>
    </row>
    <row r="91" spans="1:9" ht="15">
      <c r="A91" s="779">
        <f>IF(SG&gt;=21,21,"--")</f>
        <v>21</v>
      </c>
      <c r="B91" s="368">
        <f t="shared" si="6"/>
        <v>95.238095238095241</v>
      </c>
      <c r="C91" s="396">
        <f t="shared" si="7"/>
        <v>197.35863095238096</v>
      </c>
      <c r="D91" s="397">
        <f t="shared" si="8"/>
        <v>236.83035714285714</v>
      </c>
      <c r="E91" s="397">
        <f t="shared" si="9"/>
        <v>16.785714285714285</v>
      </c>
      <c r="F91" s="81"/>
      <c r="G91" s="404" t="str">
        <f>IF(LUNDesign="1/7","--",IF(SG&gt;=21,"SG21","--"))</f>
        <v>--</v>
      </c>
      <c r="H91" s="396" t="str">
        <f t="shared" si="4"/>
        <v>0</v>
      </c>
      <c r="I91" s="396" t="str">
        <f t="shared" si="5"/>
        <v>0</v>
      </c>
    </row>
    <row r="92" spans="1:9" ht="15">
      <c r="A92" s="779">
        <f>IF(SG&gt;=22,22,"--")</f>
        <v>22</v>
      </c>
      <c r="B92" s="368">
        <f t="shared" si="6"/>
        <v>95.238095238095241</v>
      </c>
      <c r="C92" s="396">
        <f t="shared" si="7"/>
        <v>197.35863095238096</v>
      </c>
      <c r="D92" s="397">
        <f t="shared" si="8"/>
        <v>236.83035714285714</v>
      </c>
      <c r="E92" s="397">
        <f t="shared" si="9"/>
        <v>16.785714285714285</v>
      </c>
      <c r="F92" s="81"/>
      <c r="G92" s="404" t="str">
        <f>IF(LUNDesign="1/7","--",IF(SG&gt;=22,"SG22","--"))</f>
        <v>--</v>
      </c>
      <c r="H92" s="396" t="str">
        <f t="shared" si="4"/>
        <v>0</v>
      </c>
      <c r="I92" s="396" t="str">
        <f t="shared" si="5"/>
        <v>0</v>
      </c>
    </row>
    <row r="93" spans="1:9" ht="15">
      <c r="A93" s="779">
        <f>IF(SG&gt;=23,23,"--")</f>
        <v>23</v>
      </c>
      <c r="B93" s="368">
        <f t="shared" si="6"/>
        <v>95.238095238095241</v>
      </c>
      <c r="C93" s="396">
        <f t="shared" si="7"/>
        <v>197.35863095238096</v>
      </c>
      <c r="D93" s="397">
        <f t="shared" si="8"/>
        <v>236.83035714285714</v>
      </c>
      <c r="E93" s="397">
        <f t="shared" si="9"/>
        <v>16.785714285714285</v>
      </c>
      <c r="F93" s="81"/>
      <c r="G93" s="404" t="str">
        <f>IF(LUNDesign="1/7","--",IF(SG&gt;=23,"SG23","--"))</f>
        <v>--</v>
      </c>
      <c r="H93" s="396" t="str">
        <f t="shared" si="4"/>
        <v>0</v>
      </c>
      <c r="I93" s="396" t="str">
        <f t="shared" si="5"/>
        <v>0</v>
      </c>
    </row>
    <row r="94" spans="1:9" ht="15">
      <c r="A94" s="779">
        <f>IF(SG&gt;=24,24,"--")</f>
        <v>24</v>
      </c>
      <c r="B94" s="368">
        <f t="shared" si="6"/>
        <v>95.238095238095241</v>
      </c>
      <c r="C94" s="396">
        <f t="shared" si="7"/>
        <v>197.35863095238096</v>
      </c>
      <c r="D94" s="397">
        <f t="shared" si="8"/>
        <v>236.83035714285714</v>
      </c>
      <c r="E94" s="397">
        <f t="shared" si="9"/>
        <v>16.785714285714285</v>
      </c>
      <c r="F94" s="81"/>
      <c r="G94" s="404" t="str">
        <f>IF(LUNDesign="1/7","--",IF(SG&gt;=24,"SG24","--"))</f>
        <v>--</v>
      </c>
      <c r="H94" s="396" t="str">
        <f t="shared" si="4"/>
        <v>0</v>
      </c>
      <c r="I94" s="396" t="str">
        <f t="shared" si="5"/>
        <v>0</v>
      </c>
    </row>
    <row r="95" spans="1:9" ht="15">
      <c r="A95" s="779">
        <f>IF(SG&gt;=25,25,"--")</f>
        <v>25</v>
      </c>
      <c r="B95" s="368">
        <f t="shared" si="6"/>
        <v>95.238095238095241</v>
      </c>
      <c r="C95" s="396">
        <f t="shared" si="7"/>
        <v>197.35863095238096</v>
      </c>
      <c r="D95" s="397">
        <f t="shared" si="8"/>
        <v>236.83035714285714</v>
      </c>
      <c r="E95" s="397">
        <f t="shared" si="9"/>
        <v>16.785714285714285</v>
      </c>
      <c r="F95" s="81"/>
      <c r="G95" s="404" t="str">
        <f>IF(LUNDesign="1/7","--",IF(SG&gt;=25,"SG25","--"))</f>
        <v>--</v>
      </c>
      <c r="H95" s="396" t="str">
        <f t="shared" si="4"/>
        <v>0</v>
      </c>
      <c r="I95" s="396" t="str">
        <f t="shared" si="5"/>
        <v>0</v>
      </c>
    </row>
    <row r="96" spans="1:9" ht="15">
      <c r="A96" s="779">
        <f>IF(SG&gt;=26,26,"--")</f>
        <v>26</v>
      </c>
      <c r="B96" s="368">
        <f t="shared" si="6"/>
        <v>95.238095238095241</v>
      </c>
      <c r="C96" s="396">
        <f t="shared" si="7"/>
        <v>197.35863095238096</v>
      </c>
      <c r="D96" s="397">
        <f t="shared" si="8"/>
        <v>236.83035714285714</v>
      </c>
      <c r="E96" s="397">
        <f t="shared" si="9"/>
        <v>16.785714285714285</v>
      </c>
      <c r="F96" s="81"/>
      <c r="G96" s="404" t="str">
        <f>IF(LUNDesign="1/7","--",IF(SG&gt;=26,"SG26","--"))</f>
        <v>--</v>
      </c>
      <c r="H96" s="396" t="str">
        <f t="shared" si="4"/>
        <v>0</v>
      </c>
      <c r="I96" s="396" t="str">
        <f t="shared" si="5"/>
        <v>0</v>
      </c>
    </row>
    <row r="97" spans="1:9" ht="15">
      <c r="A97" s="779">
        <f>IF(SG&gt;=27,27,"--")</f>
        <v>27</v>
      </c>
      <c r="B97" s="368">
        <f t="shared" si="6"/>
        <v>95.238095238095241</v>
      </c>
      <c r="C97" s="396">
        <f t="shared" si="7"/>
        <v>197.35863095238096</v>
      </c>
      <c r="D97" s="397">
        <f t="shared" si="8"/>
        <v>236.83035714285714</v>
      </c>
      <c r="E97" s="397">
        <f t="shared" si="9"/>
        <v>16.785714285714285</v>
      </c>
      <c r="F97" s="81"/>
      <c r="G97" s="404" t="str">
        <f>IF(LUNDesign="1/7","--",IF(SG&gt;=27,"SG27","--"))</f>
        <v>--</v>
      </c>
      <c r="H97" s="396" t="str">
        <f t="shared" si="4"/>
        <v>0</v>
      </c>
      <c r="I97" s="396" t="str">
        <f t="shared" si="5"/>
        <v>0</v>
      </c>
    </row>
    <row r="98" spans="1:9" ht="15">
      <c r="A98" s="779">
        <f>IF(SG&gt;=28,28,"--")</f>
        <v>28</v>
      </c>
      <c r="B98" s="368">
        <f t="shared" si="6"/>
        <v>95.238095238095241</v>
      </c>
      <c r="C98" s="396">
        <f t="shared" si="7"/>
        <v>197.35863095238096</v>
      </c>
      <c r="D98" s="397">
        <f t="shared" si="8"/>
        <v>236.83035714285714</v>
      </c>
      <c r="E98" s="397">
        <f t="shared" si="9"/>
        <v>16.785714285714285</v>
      </c>
      <c r="F98" s="81"/>
      <c r="G98" s="404" t="str">
        <f>IF(LUNDesign="1/7","--",IF(SG&gt;=28,"SG28","--"))</f>
        <v>--</v>
      </c>
      <c r="H98" s="396" t="str">
        <f t="shared" si="4"/>
        <v>0</v>
      </c>
      <c r="I98" s="396" t="str">
        <f t="shared" si="5"/>
        <v>0</v>
      </c>
    </row>
    <row r="99" spans="1:9" ht="15">
      <c r="A99" s="779">
        <f>IF(SG&gt;=29,29,"--")</f>
        <v>29</v>
      </c>
      <c r="B99" s="368">
        <f t="shared" si="6"/>
        <v>95.238095238095241</v>
      </c>
      <c r="C99" s="396">
        <f t="shared" si="7"/>
        <v>197.35863095238096</v>
      </c>
      <c r="D99" s="397">
        <f t="shared" si="8"/>
        <v>236.83035714285714</v>
      </c>
      <c r="E99" s="397">
        <f t="shared" si="9"/>
        <v>16.785714285714285</v>
      </c>
      <c r="F99" s="81"/>
      <c r="G99" s="404" t="str">
        <f>IF(LUNDesign="1/7","--",IF(SG&gt;=29,"SG29","--"))</f>
        <v>--</v>
      </c>
      <c r="H99" s="396" t="str">
        <f t="shared" si="4"/>
        <v>0</v>
      </c>
      <c r="I99" s="396" t="str">
        <f t="shared" si="5"/>
        <v>0</v>
      </c>
    </row>
    <row r="100" spans="1:9" ht="15">
      <c r="A100" s="779">
        <f>IF(SG&gt;=30,30,"--")</f>
        <v>30</v>
      </c>
      <c r="B100" s="368">
        <f t="shared" si="6"/>
        <v>95.238095238095241</v>
      </c>
      <c r="C100" s="396">
        <f t="shared" si="7"/>
        <v>197.35863095238096</v>
      </c>
      <c r="D100" s="397">
        <f t="shared" si="8"/>
        <v>236.83035714285714</v>
      </c>
      <c r="E100" s="397">
        <f t="shared" si="9"/>
        <v>16.785714285714285</v>
      </c>
      <c r="F100" s="81"/>
      <c r="G100" s="404" t="str">
        <f>IF(LUNDesign="1/7","--",IF(SG&gt;=30,"SG30","--"))</f>
        <v>--</v>
      </c>
      <c r="H100" s="396" t="str">
        <f t="shared" si="4"/>
        <v>0</v>
      </c>
      <c r="I100" s="396" t="str">
        <f t="shared" si="5"/>
        <v>0</v>
      </c>
    </row>
    <row r="101" spans="1:9" ht="15">
      <c r="A101" s="779">
        <f>IF(SG&gt;=31,31,"--")</f>
        <v>31</v>
      </c>
      <c r="B101" s="368">
        <f t="shared" si="6"/>
        <v>95.238095238095241</v>
      </c>
      <c r="C101" s="396">
        <f t="shared" si="7"/>
        <v>197.35863095238096</v>
      </c>
      <c r="D101" s="397">
        <f t="shared" si="8"/>
        <v>236.83035714285714</v>
      </c>
      <c r="E101" s="397">
        <f t="shared" si="9"/>
        <v>16.785714285714285</v>
      </c>
      <c r="F101" s="81"/>
      <c r="G101" s="404" t="str">
        <f>IF(LUNDesign="1/7","--",IF(SG&gt;=31,"SG31","--"))</f>
        <v>--</v>
      </c>
      <c r="H101" s="396" t="str">
        <f t="shared" si="4"/>
        <v>0</v>
      </c>
      <c r="I101" s="396" t="str">
        <f t="shared" si="5"/>
        <v>0</v>
      </c>
    </row>
    <row r="102" spans="1:9" ht="15">
      <c r="A102" s="779">
        <f>IF(SG&gt;=32,32,"--")</f>
        <v>32</v>
      </c>
      <c r="B102" s="368">
        <f t="shared" si="6"/>
        <v>95.238095238095241</v>
      </c>
      <c r="C102" s="396">
        <f t="shared" si="7"/>
        <v>197.35863095238096</v>
      </c>
      <c r="D102" s="397">
        <f t="shared" si="8"/>
        <v>236.83035714285714</v>
      </c>
      <c r="E102" s="397">
        <f t="shared" si="9"/>
        <v>16.785714285714285</v>
      </c>
      <c r="F102" s="81"/>
      <c r="G102" s="404" t="str">
        <f>IF(LUNDesign="1/7","--",IF(SG&gt;=32,"SG32","--"))</f>
        <v>--</v>
      </c>
      <c r="H102" s="396" t="str">
        <f t="shared" si="4"/>
        <v>0</v>
      </c>
      <c r="I102" s="396" t="str">
        <f t="shared" si="5"/>
        <v>0</v>
      </c>
    </row>
    <row r="103" spans="1:9" ht="15">
      <c r="A103" s="779">
        <f>IF(SG&gt;=33,33,"--")</f>
        <v>33</v>
      </c>
      <c r="B103" s="368">
        <f t="shared" si="6"/>
        <v>95.238095238095241</v>
      </c>
      <c r="C103" s="396">
        <f t="shared" si="7"/>
        <v>197.35863095238096</v>
      </c>
      <c r="D103" s="397">
        <f t="shared" si="8"/>
        <v>236.83035714285714</v>
      </c>
      <c r="E103" s="397">
        <f t="shared" si="9"/>
        <v>16.785714285714285</v>
      </c>
      <c r="F103" s="81"/>
      <c r="G103" s="404" t="str">
        <f>IF(LUNDesign="1/7","--",IF(SG&gt;=33,"SG33","--"))</f>
        <v>--</v>
      </c>
      <c r="H103" s="396" t="str">
        <f t="shared" ref="H103:H120" si="10">IF(G103="--","0",(SUMIF(A$6:A$55,B38,D$71:D$120)+IF(RestoreLUN="Yes",0,(SUMIF(A$6:A$55,B38,D$71:D$120)*1.1))+IF(ContentIndexing="Enabled",SUMIF(A$6:A$55,B38,D$71:D$120)*0.05))/(1-LUNGrowth))</f>
        <v>0</v>
      </c>
      <c r="I103" s="396" t="str">
        <f t="shared" ref="I103:I120" si="11">IF(G103="--","0",SUMIF(A$6:A$55,B38,E$71:E$120)/(1-LUNGrowth))</f>
        <v>0</v>
      </c>
    </row>
    <row r="104" spans="1:9" ht="15">
      <c r="A104" s="779">
        <f>IF(SG&gt;=34,34,"--")</f>
        <v>34</v>
      </c>
      <c r="B104" s="368">
        <f t="shared" ref="B104:B120" si="12">IF(A104&lt;&gt;"--",IF(SG&gt;=A104,IF(SG&lt;=A104,IF(calcTotNumMBX&gt;TotalMBXPerSvr,MBXPerDB-(calcTotNumMBX-TotalMBXPerSvr),MBXPerDB),MBXPerDB)),0)</f>
        <v>95.238095238095241</v>
      </c>
      <c r="C104" s="396">
        <f t="shared" ref="C104:C120" si="13">IF(B104=0,"0",(B104*((Tier1MBXRatio*Tier1MBXSize)+(Tier3MBXRatio*Tier3MBXSize)+(Tier2MBXRatio*Tier2MBXSize)))/1024)</f>
        <v>197.35863095238096</v>
      </c>
      <c r="D104" s="397">
        <f t="shared" ref="D104:D120" si="14">IF(A104&lt;&gt;"--",C104*(1+DataGrowth),"0")</f>
        <v>236.83035714285714</v>
      </c>
      <c r="E104" s="397">
        <f t="shared" ref="E104:E120" si="15">IF(A104="--","0",TotLogDiskSpace/SG)</f>
        <v>16.785714285714285</v>
      </c>
      <c r="F104" s="81"/>
      <c r="G104" s="404" t="str">
        <f>IF(LUNDesign="1/7","--",IF(SG&gt;=34,"SG34","--"))</f>
        <v>--</v>
      </c>
      <c r="H104" s="396" t="str">
        <f t="shared" si="10"/>
        <v>0</v>
      </c>
      <c r="I104" s="396" t="str">
        <f t="shared" si="11"/>
        <v>0</v>
      </c>
    </row>
    <row r="105" spans="1:9" ht="15">
      <c r="A105" s="781">
        <f>IF(SG&gt;=35,35,"--")</f>
        <v>35</v>
      </c>
      <c r="B105" s="368">
        <f t="shared" si="12"/>
        <v>95.238095238095241</v>
      </c>
      <c r="C105" s="396">
        <f t="shared" si="13"/>
        <v>197.35863095238096</v>
      </c>
      <c r="D105" s="397">
        <f t="shared" si="14"/>
        <v>236.83035714285714</v>
      </c>
      <c r="E105" s="397">
        <f t="shared" si="15"/>
        <v>16.785714285714285</v>
      </c>
      <c r="F105" s="81"/>
      <c r="G105" s="404" t="str">
        <f>IF(LUNDesign="1/7","--",IF(SG&gt;=35,"SG35","--"))</f>
        <v>--</v>
      </c>
      <c r="H105" s="396" t="str">
        <f t="shared" si="10"/>
        <v>0</v>
      </c>
      <c r="I105" s="396" t="str">
        <f t="shared" si="11"/>
        <v>0</v>
      </c>
    </row>
    <row r="106" spans="1:9" ht="15">
      <c r="A106" s="779">
        <f>IF(SG&gt;=36,36,"--")</f>
        <v>36</v>
      </c>
      <c r="B106" s="368">
        <f t="shared" si="12"/>
        <v>95.238095238095241</v>
      </c>
      <c r="C106" s="396">
        <f t="shared" si="13"/>
        <v>197.35863095238096</v>
      </c>
      <c r="D106" s="397">
        <f t="shared" si="14"/>
        <v>236.83035714285714</v>
      </c>
      <c r="E106" s="397">
        <f t="shared" si="15"/>
        <v>16.785714285714285</v>
      </c>
      <c r="F106" s="81"/>
      <c r="G106" s="404" t="str">
        <f>IF(LUNDesign="1/7","--",IF(SG&gt;=36,"SG36","--"))</f>
        <v>--</v>
      </c>
      <c r="H106" s="396" t="str">
        <f t="shared" si="10"/>
        <v>0</v>
      </c>
      <c r="I106" s="396" t="str">
        <f t="shared" si="11"/>
        <v>0</v>
      </c>
    </row>
    <row r="107" spans="1:9" ht="15">
      <c r="A107" s="779">
        <f>IF(SG&gt;=37,37,"--")</f>
        <v>37</v>
      </c>
      <c r="B107" s="368">
        <f t="shared" si="12"/>
        <v>95.238095238095241</v>
      </c>
      <c r="C107" s="396">
        <f t="shared" si="13"/>
        <v>197.35863095238096</v>
      </c>
      <c r="D107" s="397">
        <f t="shared" si="14"/>
        <v>236.83035714285714</v>
      </c>
      <c r="E107" s="397">
        <f t="shared" si="15"/>
        <v>16.785714285714285</v>
      </c>
      <c r="F107" s="81"/>
      <c r="G107" s="404" t="str">
        <f>IF(LUNDesign="1/7","--",IF(SG&gt;=37,"SG37","--"))</f>
        <v>--</v>
      </c>
      <c r="H107" s="396" t="str">
        <f t="shared" si="10"/>
        <v>0</v>
      </c>
      <c r="I107" s="396" t="str">
        <f t="shared" si="11"/>
        <v>0</v>
      </c>
    </row>
    <row r="108" spans="1:9" ht="15">
      <c r="A108" s="779">
        <f>IF(SG&gt;=38,38,"--")</f>
        <v>38</v>
      </c>
      <c r="B108" s="368">
        <f t="shared" si="12"/>
        <v>95.238095238095241</v>
      </c>
      <c r="C108" s="396">
        <f t="shared" si="13"/>
        <v>197.35863095238096</v>
      </c>
      <c r="D108" s="397">
        <f t="shared" si="14"/>
        <v>236.83035714285714</v>
      </c>
      <c r="E108" s="397">
        <f t="shared" si="15"/>
        <v>16.785714285714285</v>
      </c>
      <c r="F108" s="81"/>
      <c r="G108" s="404" t="str">
        <f>IF(LUNDesign="1/7","--",IF(SG&gt;=38,"SG38","--"))</f>
        <v>--</v>
      </c>
      <c r="H108" s="396" t="str">
        <f t="shared" si="10"/>
        <v>0</v>
      </c>
      <c r="I108" s="396" t="str">
        <f t="shared" si="11"/>
        <v>0</v>
      </c>
    </row>
    <row r="109" spans="1:9" ht="15">
      <c r="A109" s="779">
        <f>IF(SG&gt;=39,39,"--")</f>
        <v>39</v>
      </c>
      <c r="B109" s="368">
        <f t="shared" si="12"/>
        <v>95.238095238095241</v>
      </c>
      <c r="C109" s="396">
        <f t="shared" si="13"/>
        <v>197.35863095238096</v>
      </c>
      <c r="D109" s="397">
        <f t="shared" si="14"/>
        <v>236.83035714285714</v>
      </c>
      <c r="E109" s="397">
        <f t="shared" si="15"/>
        <v>16.785714285714285</v>
      </c>
      <c r="F109" s="81"/>
      <c r="G109" s="404" t="str">
        <f>IF(LUNDesign="1/7","--",IF(SG&gt;=39,"SG39","--"))</f>
        <v>--</v>
      </c>
      <c r="H109" s="396" t="str">
        <f t="shared" si="10"/>
        <v>0</v>
      </c>
      <c r="I109" s="396" t="str">
        <f t="shared" si="11"/>
        <v>0</v>
      </c>
    </row>
    <row r="110" spans="1:9" ht="15">
      <c r="A110" s="779">
        <f>IF(SG&gt;=40,40,"--")</f>
        <v>40</v>
      </c>
      <c r="B110" s="368">
        <f t="shared" si="12"/>
        <v>95.238095238095241</v>
      </c>
      <c r="C110" s="396">
        <f t="shared" si="13"/>
        <v>197.35863095238096</v>
      </c>
      <c r="D110" s="397">
        <f t="shared" si="14"/>
        <v>236.83035714285714</v>
      </c>
      <c r="E110" s="397">
        <f t="shared" si="15"/>
        <v>16.785714285714285</v>
      </c>
      <c r="F110" s="81"/>
      <c r="G110" s="404" t="str">
        <f>IF(LUNDesign="1/7","--",IF(SG&gt;=40,"SG40","--"))</f>
        <v>--</v>
      </c>
      <c r="H110" s="396" t="str">
        <f t="shared" si="10"/>
        <v>0</v>
      </c>
      <c r="I110" s="396" t="str">
        <f t="shared" si="11"/>
        <v>0</v>
      </c>
    </row>
    <row r="111" spans="1:9" ht="15">
      <c r="A111" s="779">
        <f>IF(SG&gt;=41,41,"--")</f>
        <v>41</v>
      </c>
      <c r="B111" s="368">
        <f t="shared" si="12"/>
        <v>95.238095238095241</v>
      </c>
      <c r="C111" s="396">
        <f t="shared" si="13"/>
        <v>197.35863095238096</v>
      </c>
      <c r="D111" s="397">
        <f t="shared" si="14"/>
        <v>236.83035714285714</v>
      </c>
      <c r="E111" s="397">
        <f t="shared" si="15"/>
        <v>16.785714285714285</v>
      </c>
      <c r="F111" s="81"/>
      <c r="G111" s="404" t="str">
        <f>IF(LUNDesign="1/7","--",IF(SG&gt;=41,"SG41","--"))</f>
        <v>--</v>
      </c>
      <c r="H111" s="396" t="str">
        <f t="shared" si="10"/>
        <v>0</v>
      </c>
      <c r="I111" s="396" t="str">
        <f t="shared" si="11"/>
        <v>0</v>
      </c>
    </row>
    <row r="112" spans="1:9" ht="15">
      <c r="A112" s="779">
        <f>IF(SG&gt;=42,42,"--")</f>
        <v>42</v>
      </c>
      <c r="B112" s="368">
        <f t="shared" si="12"/>
        <v>95.238095238095241</v>
      </c>
      <c r="C112" s="396">
        <f t="shared" si="13"/>
        <v>197.35863095238096</v>
      </c>
      <c r="D112" s="397">
        <f t="shared" si="14"/>
        <v>236.83035714285714</v>
      </c>
      <c r="E112" s="397">
        <f t="shared" si="15"/>
        <v>16.785714285714285</v>
      </c>
      <c r="F112" s="81"/>
      <c r="G112" s="404" t="str">
        <f>IF(LUNDesign="1/7","--",IF(SG&gt;=42,"SG42","--"))</f>
        <v>--</v>
      </c>
      <c r="H112" s="396" t="str">
        <f t="shared" si="10"/>
        <v>0</v>
      </c>
      <c r="I112" s="396" t="str">
        <f t="shared" si="11"/>
        <v>0</v>
      </c>
    </row>
    <row r="113" spans="1:10" ht="15">
      <c r="A113" s="779" t="str">
        <f>IF(SG&gt;=43,43,"--")</f>
        <v>--</v>
      </c>
      <c r="B113" s="368">
        <f t="shared" si="12"/>
        <v>0</v>
      </c>
      <c r="C113" s="396" t="str">
        <f t="shared" si="13"/>
        <v>0</v>
      </c>
      <c r="D113" s="397" t="str">
        <f t="shared" si="14"/>
        <v>0</v>
      </c>
      <c r="E113" s="397" t="str">
        <f t="shared" si="15"/>
        <v>0</v>
      </c>
      <c r="F113" s="81"/>
      <c r="G113" s="404" t="str">
        <f>IF(LUNDesign="1/7","--",IF(SG&gt;=43,"SG43","--"))</f>
        <v>--</v>
      </c>
      <c r="H113" s="396" t="str">
        <f t="shared" si="10"/>
        <v>0</v>
      </c>
      <c r="I113" s="396" t="str">
        <f t="shared" si="11"/>
        <v>0</v>
      </c>
    </row>
    <row r="114" spans="1:10" ht="15">
      <c r="A114" s="779" t="str">
        <f>IF(SG&gt;=44,44,"--")</f>
        <v>--</v>
      </c>
      <c r="B114" s="368">
        <f t="shared" si="12"/>
        <v>0</v>
      </c>
      <c r="C114" s="396" t="str">
        <f t="shared" si="13"/>
        <v>0</v>
      </c>
      <c r="D114" s="397" t="str">
        <f t="shared" si="14"/>
        <v>0</v>
      </c>
      <c r="E114" s="397" t="str">
        <f t="shared" si="15"/>
        <v>0</v>
      </c>
      <c r="F114" s="81"/>
      <c r="G114" s="404" t="str">
        <f>IF(LUNDesign="1/7","--",IF(SG&gt;=44,"SG44","--"))</f>
        <v>--</v>
      </c>
      <c r="H114" s="396" t="str">
        <f t="shared" si="10"/>
        <v>0</v>
      </c>
      <c r="I114" s="396" t="str">
        <f t="shared" si="11"/>
        <v>0</v>
      </c>
    </row>
    <row r="115" spans="1:10" ht="15">
      <c r="A115" s="779" t="str">
        <f>IF(SG&gt;=45,45,"--")</f>
        <v>--</v>
      </c>
      <c r="B115" s="368">
        <f t="shared" si="12"/>
        <v>0</v>
      </c>
      <c r="C115" s="396" t="str">
        <f t="shared" si="13"/>
        <v>0</v>
      </c>
      <c r="D115" s="397" t="str">
        <f t="shared" si="14"/>
        <v>0</v>
      </c>
      <c r="E115" s="397" t="str">
        <f t="shared" si="15"/>
        <v>0</v>
      </c>
      <c r="F115" s="81"/>
      <c r="G115" s="404" t="str">
        <f>IF(LUNDesign="1/7","--",IF(SG&gt;=45,"SG45","--"))</f>
        <v>--</v>
      </c>
      <c r="H115" s="396" t="str">
        <f t="shared" si="10"/>
        <v>0</v>
      </c>
      <c r="I115" s="396" t="str">
        <f t="shared" si="11"/>
        <v>0</v>
      </c>
    </row>
    <row r="116" spans="1:10" ht="15">
      <c r="A116" s="779" t="str">
        <f>IF(SG&gt;=46,46,"--")</f>
        <v>--</v>
      </c>
      <c r="B116" s="368">
        <f t="shared" si="12"/>
        <v>0</v>
      </c>
      <c r="C116" s="396" t="str">
        <f t="shared" si="13"/>
        <v>0</v>
      </c>
      <c r="D116" s="397" t="str">
        <f t="shared" si="14"/>
        <v>0</v>
      </c>
      <c r="E116" s="397" t="str">
        <f t="shared" si="15"/>
        <v>0</v>
      </c>
      <c r="F116" s="81"/>
      <c r="G116" s="404" t="str">
        <f>IF(LUNDesign="1/7","--",IF(SG&gt;=46,"SG46","--"))</f>
        <v>--</v>
      </c>
      <c r="H116" s="396" t="str">
        <f t="shared" si="10"/>
        <v>0</v>
      </c>
      <c r="I116" s="396" t="str">
        <f t="shared" si="11"/>
        <v>0</v>
      </c>
    </row>
    <row r="117" spans="1:10" ht="15">
      <c r="A117" s="779" t="str">
        <f>IF(SG&gt;=47,47,"--")</f>
        <v>--</v>
      </c>
      <c r="B117" s="368">
        <f t="shared" si="12"/>
        <v>0</v>
      </c>
      <c r="C117" s="396" t="str">
        <f t="shared" si="13"/>
        <v>0</v>
      </c>
      <c r="D117" s="397" t="str">
        <f t="shared" si="14"/>
        <v>0</v>
      </c>
      <c r="E117" s="397" t="str">
        <f t="shared" si="15"/>
        <v>0</v>
      </c>
      <c r="F117" s="81"/>
      <c r="G117" s="404" t="str">
        <f>IF(LUNDesign="1/7","--",IF(SG&gt;=47,"SG47","--"))</f>
        <v>--</v>
      </c>
      <c r="H117" s="396" t="str">
        <f t="shared" si="10"/>
        <v>0</v>
      </c>
      <c r="I117" s="396" t="str">
        <f t="shared" si="11"/>
        <v>0</v>
      </c>
    </row>
    <row r="118" spans="1:10" ht="15">
      <c r="A118" s="779" t="str">
        <f>IF(SG&gt;=48,48,"--")</f>
        <v>--</v>
      </c>
      <c r="B118" s="368">
        <f t="shared" si="12"/>
        <v>0</v>
      </c>
      <c r="C118" s="396" t="str">
        <f t="shared" si="13"/>
        <v>0</v>
      </c>
      <c r="D118" s="397" t="str">
        <f t="shared" si="14"/>
        <v>0</v>
      </c>
      <c r="E118" s="397" t="str">
        <f t="shared" si="15"/>
        <v>0</v>
      </c>
      <c r="F118" s="81"/>
      <c r="G118" s="404" t="str">
        <f>IF(LUNDesign="1/7","--",IF(SG&gt;=48,"SG48","--"))</f>
        <v>--</v>
      </c>
      <c r="H118" s="396" t="str">
        <f t="shared" si="10"/>
        <v>0</v>
      </c>
      <c r="I118" s="396" t="str">
        <f t="shared" si="11"/>
        <v>0</v>
      </c>
    </row>
    <row r="119" spans="1:10" ht="15">
      <c r="A119" s="779" t="str">
        <f>IF(SG&gt;=49,49,"--")</f>
        <v>--</v>
      </c>
      <c r="B119" s="368">
        <f t="shared" si="12"/>
        <v>0</v>
      </c>
      <c r="C119" s="396" t="str">
        <f t="shared" si="13"/>
        <v>0</v>
      </c>
      <c r="D119" s="397" t="str">
        <f t="shared" si="14"/>
        <v>0</v>
      </c>
      <c r="E119" s="397" t="str">
        <f t="shared" si="15"/>
        <v>0</v>
      </c>
      <c r="F119" s="81"/>
      <c r="G119" s="404" t="str">
        <f>IF(LUNDesign="1/7","--",IF(SG&gt;=49,"SG49","--"))</f>
        <v>--</v>
      </c>
      <c r="H119" s="396" t="str">
        <f t="shared" si="10"/>
        <v>0</v>
      </c>
      <c r="I119" s="396" t="str">
        <f t="shared" si="11"/>
        <v>0</v>
      </c>
    </row>
    <row r="120" spans="1:10" ht="15.75" thickBot="1">
      <c r="A120" s="393" t="str">
        <f>IF(SG&gt;=50,50,"--")</f>
        <v>--</v>
      </c>
      <c r="B120" s="368">
        <f t="shared" si="12"/>
        <v>0</v>
      </c>
      <c r="C120" s="396" t="str">
        <f t="shared" si="13"/>
        <v>0</v>
      </c>
      <c r="D120" s="397" t="str">
        <f t="shared" si="14"/>
        <v>0</v>
      </c>
      <c r="E120" s="397" t="str">
        <f t="shared" si="15"/>
        <v>0</v>
      </c>
      <c r="F120" s="81"/>
      <c r="G120" s="138" t="str">
        <f>IF(LUNDesign="1/7","--",IF(SG&gt;=50,"SG50","--"))</f>
        <v>--</v>
      </c>
      <c r="H120" s="396" t="str">
        <f t="shared" si="10"/>
        <v>0</v>
      </c>
      <c r="I120" s="399" t="str">
        <f t="shared" si="11"/>
        <v>0</v>
      </c>
    </row>
    <row r="121" spans="1:10" ht="16.5" thickBot="1">
      <c r="A121" s="780" t="s">
        <v>44</v>
      </c>
      <c r="B121" s="139">
        <f>SUM(B71:B120)</f>
        <v>4000.0000000000027</v>
      </c>
      <c r="C121" s="400">
        <f>SUM(C71:C120)</f>
        <v>8289.0624999999945</v>
      </c>
      <c r="D121" s="400">
        <f>SUM(D71:D120)</f>
        <v>9946.8749999999964</v>
      </c>
      <c r="E121" s="401">
        <f>SUM(E71:E120)</f>
        <v>705.00000000000034</v>
      </c>
      <c r="F121" s="89"/>
      <c r="G121" s="140"/>
      <c r="H121" s="400">
        <f>SUM(H71:H120)</f>
        <v>13055.2734375</v>
      </c>
      <c r="I121" s="400">
        <f>SUM(I71:I120)</f>
        <v>881.24999999999977</v>
      </c>
    </row>
    <row r="122" spans="1:10" ht="16.5" customHeight="1">
      <c r="A122" s="933" t="s">
        <v>623</v>
      </c>
      <c r="B122" s="935">
        <f>B121*NumMBXServers</f>
        <v>4000.0000000000027</v>
      </c>
      <c r="C122" s="931">
        <f>C121*NumMBXServers</f>
        <v>8289.0624999999945</v>
      </c>
      <c r="D122" s="931">
        <f>D121*NumMBXServers</f>
        <v>9946.8749999999964</v>
      </c>
      <c r="E122" s="937">
        <f>E121*NumMBXServers</f>
        <v>705.00000000000034</v>
      </c>
      <c r="F122" s="927"/>
      <c r="G122" s="929"/>
      <c r="H122" s="931">
        <f>H121*NumMBXServers</f>
        <v>13055.2734375</v>
      </c>
      <c r="I122" s="931">
        <f>I121*NumMBXServers</f>
        <v>881.24999999999977</v>
      </c>
      <c r="J122" s="91"/>
    </row>
    <row r="123" spans="1:10" ht="34.5" customHeight="1" thickBot="1">
      <c r="A123" s="934"/>
      <c r="B123" s="936"/>
      <c r="C123" s="932"/>
      <c r="D123" s="932"/>
      <c r="E123" s="938"/>
      <c r="F123" s="928"/>
      <c r="G123" s="930"/>
      <c r="H123" s="932"/>
      <c r="I123" s="932"/>
    </row>
    <row r="125" spans="1:10">
      <c r="B125" s="269"/>
      <c r="D125" s="398"/>
    </row>
  </sheetData>
  <mergeCells count="29">
    <mergeCell ref="A1:I1"/>
    <mergeCell ref="A57:I57"/>
    <mergeCell ref="A3:I3"/>
    <mergeCell ref="G5:I5"/>
    <mergeCell ref="G6:H6"/>
    <mergeCell ref="G7:H7"/>
    <mergeCell ref="G8:H8"/>
    <mergeCell ref="G9:H9"/>
    <mergeCell ref="A67:C67"/>
    <mergeCell ref="A62:C62"/>
    <mergeCell ref="G69:I69"/>
    <mergeCell ref="A69:E69"/>
    <mergeCell ref="A65:C65"/>
    <mergeCell ref="A63:C63"/>
    <mergeCell ref="H62:I62"/>
    <mergeCell ref="A60:B60"/>
    <mergeCell ref="C60:D60"/>
    <mergeCell ref="A59:D59"/>
    <mergeCell ref="A64:C64"/>
    <mergeCell ref="A66:C66"/>
    <mergeCell ref="F122:F123"/>
    <mergeCell ref="G122:G123"/>
    <mergeCell ref="H122:H123"/>
    <mergeCell ref="I122:I123"/>
    <mergeCell ref="A122:A123"/>
    <mergeCell ref="B122:B123"/>
    <mergeCell ref="C122:C123"/>
    <mergeCell ref="D122:D123"/>
    <mergeCell ref="E122:E123"/>
  </mergeCells>
  <phoneticPr fontId="6" type="noConversion"/>
  <pageMargins left="0.75" right="0.75" top="1" bottom="1" header="0.5" footer="0.5"/>
  <pageSetup scale="47" orientation="portrait" r:id="rId1"/>
  <headerFooter alignWithMargins="0"/>
  <colBreaks count="1" manualBreakCount="1">
    <brk id="9" max="1048575" man="1"/>
  </colBreaks>
  <legacyDrawing r:id="rId2"/>
</worksheet>
</file>

<file path=xl/worksheets/sheet4.xml><?xml version="1.0" encoding="utf-8"?>
<worksheet xmlns="http://schemas.openxmlformats.org/spreadsheetml/2006/main" xmlns:r="http://schemas.openxmlformats.org/officeDocument/2006/relationships">
  <dimension ref="A1:M72"/>
  <sheetViews>
    <sheetView showGridLines="0" showRowColHeaders="0" zoomScale="85" zoomScaleNormal="85" workbookViewId="0">
      <selection sqref="A1:J1"/>
    </sheetView>
  </sheetViews>
  <sheetFormatPr defaultRowHeight="12.75" outlineLevelRow="1"/>
  <cols>
    <col min="1" max="1" width="28" style="74" bestFit="1" customWidth="1"/>
    <col min="2" max="3" width="13.5703125" style="74" bestFit="1" customWidth="1"/>
    <col min="4" max="4" width="15" style="74" bestFit="1" customWidth="1"/>
    <col min="5" max="8" width="13.5703125" style="74" bestFit="1" customWidth="1"/>
    <col min="9" max="9" width="10.85546875" style="74" customWidth="1"/>
    <col min="10" max="10" width="10.42578125" style="74" customWidth="1"/>
    <col min="11" max="11" width="7.5703125" style="74" bestFit="1" customWidth="1"/>
    <col min="12" max="16384" width="9.140625" style="74"/>
  </cols>
  <sheetData>
    <row r="1" spans="1:11">
      <c r="A1" s="920" t="s">
        <v>2</v>
      </c>
      <c r="B1" s="921"/>
      <c r="C1" s="921"/>
      <c r="D1" s="921"/>
      <c r="E1" s="921"/>
      <c r="F1" s="921"/>
      <c r="G1" s="921"/>
      <c r="H1" s="921"/>
      <c r="I1" s="921"/>
      <c r="J1" s="867"/>
    </row>
    <row r="2" spans="1:11" ht="13.5" thickBot="1">
      <c r="A2" s="759"/>
      <c r="B2" s="75"/>
      <c r="C2" s="75"/>
      <c r="D2" s="75"/>
      <c r="E2" s="81"/>
      <c r="F2" s="81"/>
      <c r="G2" s="81"/>
      <c r="H2" s="75"/>
      <c r="I2" s="82"/>
      <c r="J2" s="90"/>
    </row>
    <row r="3" spans="1:11" ht="16.5" thickBot="1">
      <c r="A3" s="958" t="s">
        <v>238</v>
      </c>
      <c r="B3" s="959"/>
      <c r="C3" s="959"/>
      <c r="D3" s="959"/>
      <c r="E3" s="959"/>
      <c r="F3" s="959"/>
      <c r="G3" s="959"/>
      <c r="H3" s="959"/>
      <c r="I3" s="959"/>
      <c r="J3" s="960"/>
    </row>
    <row r="4" spans="1:11" ht="13.5" hidden="1" outlineLevel="1" thickBot="1">
      <c r="A4" s="778"/>
      <c r="B4" s="75"/>
      <c r="C4" s="75"/>
      <c r="D4" s="75"/>
      <c r="E4" s="81"/>
      <c r="F4" s="81"/>
      <c r="G4" s="81"/>
      <c r="H4" s="75"/>
      <c r="I4" s="82"/>
      <c r="J4" s="90"/>
    </row>
    <row r="5" spans="1:11" ht="16.5" hidden="1" outlineLevel="1" thickBot="1">
      <c r="A5" s="976" t="s">
        <v>33</v>
      </c>
      <c r="B5" s="977"/>
      <c r="C5" s="977"/>
      <c r="D5" s="978"/>
      <c r="E5" s="82"/>
      <c r="G5" s="976" t="s">
        <v>687</v>
      </c>
      <c r="H5" s="977"/>
      <c r="I5" s="977"/>
      <c r="J5" s="978"/>
    </row>
    <row r="6" spans="1:11" ht="15" hidden="1" outlineLevel="1">
      <c r="A6" s="973" t="s">
        <v>117</v>
      </c>
      <c r="B6" s="974"/>
      <c r="C6" s="975"/>
      <c r="D6" s="116">
        <f>(TotDBDiskSpaceReq/SG)/(BackupRate*1/1024*3600)</f>
        <v>0.56137566137566119</v>
      </c>
      <c r="E6" s="82"/>
      <c r="G6" s="979" t="s">
        <v>688</v>
      </c>
      <c r="H6" s="974"/>
      <c r="I6" s="975"/>
      <c r="J6" s="116">
        <f>(TotDBDiskSpaceReq/SG)/(RestoreRate*1/1024*3600)</f>
        <v>0.56137566137566119</v>
      </c>
    </row>
    <row r="7" spans="1:11" ht="15.75" hidden="1" outlineLevel="1" thickBot="1">
      <c r="A7" s="949" t="s">
        <v>59</v>
      </c>
      <c r="B7" s="950"/>
      <c r="C7" s="951"/>
      <c r="D7" s="412">
        <f>IF(BackupFreq&lt;&gt;"Daily Full",(TotSvrTLogsGenerated/SG)/(BackupRate*60),"--")</f>
        <v>0.61315192743764169</v>
      </c>
      <c r="E7" s="82"/>
      <c r="G7" s="967" t="s">
        <v>689</v>
      </c>
      <c r="H7" s="950"/>
      <c r="I7" s="951"/>
      <c r="J7" s="412">
        <f>IF(BackupFreq&lt;&gt;"Daily Full",(TotSvrTLogsGenerated/SG)/(RestoreRate*60),"--")</f>
        <v>0.61315192743764169</v>
      </c>
    </row>
    <row r="8" spans="1:11" ht="13.5" collapsed="1" thickBot="1">
      <c r="A8" s="167"/>
      <c r="B8" s="123"/>
      <c r="C8" s="123"/>
      <c r="D8" s="92"/>
      <c r="E8" s="81"/>
      <c r="F8" s="81"/>
      <c r="G8" s="81"/>
      <c r="H8" s="75"/>
      <c r="I8" s="82"/>
      <c r="J8" s="90"/>
    </row>
    <row r="9" spans="1:11" ht="16.5" thickBot="1">
      <c r="A9" s="914" t="s">
        <v>655</v>
      </c>
      <c r="B9" s="915"/>
      <c r="C9" s="915"/>
      <c r="D9" s="915"/>
      <c r="E9" s="915"/>
      <c r="F9" s="915"/>
      <c r="G9" s="915"/>
      <c r="H9" s="915"/>
      <c r="I9" s="915"/>
      <c r="J9" s="916"/>
    </row>
    <row r="10" spans="1:11" ht="15.75" thickBot="1">
      <c r="A10" s="777"/>
      <c r="B10" s="127"/>
      <c r="C10" s="127"/>
      <c r="D10" s="127"/>
      <c r="E10" s="127"/>
      <c r="F10" s="127"/>
      <c r="G10" s="127"/>
      <c r="H10" s="127"/>
      <c r="I10" s="82"/>
      <c r="J10" s="90"/>
    </row>
    <row r="11" spans="1:11" ht="16.5" thickBot="1">
      <c r="A11" s="943" t="s">
        <v>684</v>
      </c>
      <c r="B11" s="944"/>
      <c r="C11" s="944"/>
      <c r="D11" s="945"/>
      <c r="E11" s="859"/>
      <c r="F11" s="943" t="s">
        <v>691</v>
      </c>
      <c r="G11" s="944"/>
      <c r="H11" s="944"/>
      <c r="I11" s="944"/>
      <c r="J11" s="944"/>
      <c r="K11" s="88"/>
    </row>
    <row r="12" spans="1:11" ht="15">
      <c r="A12" s="946" t="s">
        <v>117</v>
      </c>
      <c r="B12" s="947"/>
      <c r="C12" s="947"/>
      <c r="D12" s="853" t="str">
        <f>IF(BackupMethod="Streaming",FullBackupWindow,"--")</f>
        <v>--</v>
      </c>
      <c r="E12" s="88"/>
      <c r="F12" s="961" t="s">
        <v>688</v>
      </c>
      <c r="G12" s="947"/>
      <c r="H12" s="947"/>
      <c r="I12" s="948"/>
      <c r="J12" s="853" t="str">
        <f>IF(BackupMethod="Streaming",FullRestoreWindow,"--")</f>
        <v>--</v>
      </c>
    </row>
    <row r="13" spans="1:11" ht="15.75" thickBot="1">
      <c r="A13" s="972" t="s">
        <v>58</v>
      </c>
      <c r="B13" s="970"/>
      <c r="C13" s="971"/>
      <c r="D13" s="860" t="str">
        <f>IF(BackupMethod="Streaming",IncDiffBackupWindow,"--")</f>
        <v>--</v>
      </c>
      <c r="F13" s="969" t="s">
        <v>690</v>
      </c>
      <c r="G13" s="970"/>
      <c r="H13" s="970"/>
      <c r="I13" s="971"/>
      <c r="J13" s="860" t="str">
        <f>IF(BackupMethod="Streaming",IncDiffRestoreWindow,"--")</f>
        <v>--</v>
      </c>
    </row>
    <row r="14" spans="1:11" ht="15.75" thickBot="1">
      <c r="A14" s="856"/>
      <c r="B14" s="857"/>
      <c r="C14" s="1"/>
      <c r="D14" s="851"/>
      <c r="E14" s="127"/>
      <c r="F14" s="91"/>
      <c r="J14" s="442"/>
    </row>
    <row r="15" spans="1:11" ht="16.5" thickBot="1">
      <c r="A15" s="943" t="s">
        <v>32</v>
      </c>
      <c r="B15" s="989"/>
      <c r="C15" s="989"/>
      <c r="D15" s="990"/>
      <c r="E15" s="127"/>
      <c r="F15" s="852"/>
      <c r="G15" s="850"/>
      <c r="H15" s="850"/>
      <c r="I15" s="850"/>
      <c r="J15" s="858"/>
    </row>
    <row r="16" spans="1:11" ht="15">
      <c r="A16" s="350" t="s">
        <v>237</v>
      </c>
      <c r="B16" s="983">
        <f>NumSGPerLUN</f>
        <v>7</v>
      </c>
      <c r="C16" s="984"/>
      <c r="D16" s="985"/>
      <c r="E16" s="127"/>
      <c r="F16" s="852"/>
      <c r="G16" s="850"/>
      <c r="H16" s="850"/>
      <c r="I16" s="850"/>
      <c r="J16" s="858"/>
    </row>
    <row r="17" spans="1:13" ht="15">
      <c r="A17" s="239" t="s">
        <v>60</v>
      </c>
      <c r="B17" s="986" t="str">
        <f>BackupMethod</f>
        <v>Software VSS Backup/Restore</v>
      </c>
      <c r="C17" s="987"/>
      <c r="D17" s="988"/>
      <c r="E17" s="127"/>
      <c r="F17" s="852"/>
      <c r="G17" s="850"/>
      <c r="H17" s="850"/>
      <c r="I17" s="850"/>
      <c r="J17" s="858"/>
    </row>
    <row r="18" spans="1:13" ht="15.75" thickBot="1">
      <c r="A18" s="327" t="s">
        <v>68</v>
      </c>
      <c r="B18" s="980" t="str">
        <f>BackupFreq</f>
        <v>Weekly Full / Daily Incremental</v>
      </c>
      <c r="C18" s="981"/>
      <c r="D18" s="982"/>
      <c r="E18" s="127"/>
      <c r="F18" s="852"/>
      <c r="G18" s="850"/>
      <c r="H18" s="850"/>
      <c r="I18" s="850"/>
      <c r="J18" s="858"/>
    </row>
    <row r="19" spans="1:13" ht="15.75" thickBot="1">
      <c r="A19" s="856"/>
      <c r="B19" s="857"/>
      <c r="C19" s="1"/>
      <c r="D19" s="1"/>
      <c r="E19" s="127"/>
      <c r="F19" s="127"/>
      <c r="G19" s="127"/>
      <c r="H19" s="127"/>
      <c r="I19" s="82"/>
      <c r="J19" s="90"/>
    </row>
    <row r="20" spans="1:13" ht="16.5" thickBot="1">
      <c r="A20" s="944" t="s">
        <v>656</v>
      </c>
      <c r="B20" s="989"/>
      <c r="C20" s="989"/>
      <c r="D20" s="989"/>
      <c r="E20" s="989"/>
      <c r="F20" s="989"/>
      <c r="G20" s="989"/>
      <c r="H20" s="990"/>
      <c r="I20" s="82"/>
      <c r="J20" s="90"/>
    </row>
    <row r="21" spans="1:13" ht="16.5" thickBot="1">
      <c r="A21" s="754" t="s">
        <v>240</v>
      </c>
      <c r="B21" s="129" t="s">
        <v>230</v>
      </c>
      <c r="C21" s="129" t="s">
        <v>231</v>
      </c>
      <c r="D21" s="129" t="s">
        <v>232</v>
      </c>
      <c r="E21" s="129" t="s">
        <v>236</v>
      </c>
      <c r="F21" s="129" t="s">
        <v>233</v>
      </c>
      <c r="G21" s="129" t="s">
        <v>234</v>
      </c>
      <c r="H21" s="129" t="s">
        <v>235</v>
      </c>
      <c r="I21" s="82"/>
      <c r="J21" s="90"/>
    </row>
    <row r="22" spans="1:13" ht="15">
      <c r="A22" s="772">
        <v>1</v>
      </c>
      <c r="B22" s="413" t="str">
        <f t="shared" ref="B22" si="0">IF(A22="--","--",IF(BackupFreq="Daily Full","Full",IF(OR(IF(SGSet1="--",0,VALUE(IF(NumSGLUN=1,RIGHT(SGSet1,1),MID(SGSet1,IF(LEN(SGSet1)=7,LEN(SGSet1)-4,LEN(SGSet1)-6),1))))=A22,IF(SGSet2="--",0,VALUE(IF(NumSGLUN=1,RIGHT(SGSet2,1),IF(LEN(SGSet2)&lt;9,MID(SGSet2,IF(LEN(SGSet2)=7,LEN(SGSet2)-4,LEN(SGSet2)-5),1),MID(SGSet2,LEN(SGSet2)-5,2)))))=A22,IF(SGSet3="--",0,VALUE(IF(NumSGLUN=1,RIGHT(SGSet3,1),IF(LEN(SGSet3)&lt;9,MID(SGSet3,IF(LEN(SGSet3)=7,LEN(SGSet3)-4,LEN(SGSet3)-5),1),MID(SGSet3,LEN(SGSet3)-6,2)))))=A22,IF(SGSet4="--",0,VALUE(IF(NumSGLUN=1,RIGHT(SGSet4,1),IF(LEN(SGSet4)&lt;9,MID(SGSet4,IF(LEN(SGSet4)=7,LEN(SGSet4)-4,LEN(SGSet4)-5),1),MID(SGSet4,LEN(SGSet4)-6,2)))))=A22,IF(SGSet5="--",0,VALUE(IF(NumSGLUN=1,RIGHT(SGSet5,1),IF(LEN(SGSet5)&lt;9,MID(SGSet5,IF(LEN(SGSet5)=7,LEN(SGSet5)-4,LEN(SGSet5)-5),1),MID(SGSet5,LEN(SGSet5)-6,2)))))=A22,IF(SGSet6="--",0,VALUE(IF(NumSGLUN=1,RIGHT(SGSet6,1),IF(LEN(SGSet6)&lt;9,MID(SGSet6,IF(LEN(SGSet6)=7,LEN(SGSet6)-4,LEN(SGSet6)-5),1),MID(SGSet6,LEN(SGSet6)-6,2)))))=A22,IF(SGSet7="--",0,VALUE(IF(NumSGLUN=1,RIGHT(SGSet7,1),IF(LEN(SGSet7)&lt;9,MID(SGSet7,IF(LEN(SGSet7)=7,LEN(SGSet7)-4,LEN(SGSet7)-5),1),MID(SGSet7,LEN(SGSet7)-6,2)))))=A22)=TRUE,"Full",IF(BackupFreq="Weekly Full / Daily Incremental","Incremental","Differential"))))</f>
        <v>Full</v>
      </c>
      <c r="C22" s="142" t="str">
        <f t="shared" ref="C22:H22" si="1">IF($A22="--","--",IF(BackupFreq="Daily Full","Full",IF(BackupFreq="Weekly Full / Daily Incremental","Incremental","Differential")))</f>
        <v>Incremental</v>
      </c>
      <c r="D22" s="142" t="str">
        <f t="shared" si="1"/>
        <v>Incremental</v>
      </c>
      <c r="E22" s="142" t="str">
        <f>IF($A22="--","--",IF(BackupFreq="Daily Full","Full",IF(BackupFreq="Weekly Full / Daily Incremental","Incremental","Differential")))</f>
        <v>Incremental</v>
      </c>
      <c r="F22" s="142" t="str">
        <f t="shared" si="1"/>
        <v>Incremental</v>
      </c>
      <c r="G22" s="142" t="str">
        <f t="shared" si="1"/>
        <v>Incremental</v>
      </c>
      <c r="H22" s="413" t="str">
        <f t="shared" si="1"/>
        <v>Incremental</v>
      </c>
      <c r="I22" s="82"/>
      <c r="J22" s="90"/>
      <c r="L22" s="269"/>
      <c r="M22" s="269"/>
    </row>
    <row r="23" spans="1:13" ht="15">
      <c r="A23" s="773">
        <f>IF(SG&gt;=2,2,"--")</f>
        <v>2</v>
      </c>
      <c r="B23" s="142" t="str">
        <f>IF(A23="--","--",IF(BackupFreq="Daily Full","Full",IF(AND(NumSGLUN=1,$B22="Full"),IF(BackupFreq="Weekly Full / Daily Incremental","Incremental","Differential"),IF(OR(IF(SGSet1="--",0,VALUE(IF(NumSGLUN=1,RIGHT(SGSet1,1),MID(SGSet1,IF(LEN(SGSet1)=7,LEN(SGSet1)-4,LEN(SGSet1)-6),1))))=A23,IF(SGSet2="--",0,VALUE(IF(NumSGLUN=1,RIGHT(SGSet2,1),IF(LEN(SGSet2)&lt;9,MID(SGSet2,IF(LEN(SGSet2)=7,LEN(SGSet2)-4,LEN(SGSet2)-5),1),MID(SGSet2,LEN(SGSet2)-5,2)))))=A23,IF(SGSet3="--",0,VALUE(IF(NumSGLUN=1,RIGHT(SGSet3,1),IF(LEN(SGSet3)&lt;9,MID(SGSet3,IF(LEN(SGSet3)=7,LEN(SGSet3)-4,LEN(SGSet3)-5),1),MID(SGSet3,LEN(SGSet3)-6,2)))))=A23,IF(SGSet4="--",0,VALUE(IF(NumSGLUN=1,RIGHT(SGSet4,1),IF(LEN(SGSet4)&lt;9,MID(SGSet4,IF(LEN(SGSet4)=7,LEN(SGSet4)-4,LEN(SGSet4)-5),1),MID(SGSet4,LEN(SGSet4)-6,2)))))=A23,IF(SGSet5="--",0,VALUE(IF(NumSGLUN=1,RIGHT(SGSet5,1),IF(LEN(SGSet5)&lt;9,MID(SGSet5,IF(LEN(SGSet5)=7,LEN(SGSet5)-4,LEN(SGSet5)-5),1),MID(SGSet5,LEN(SGSet5)-6,2)))))=A23,IF(SGSet6="--",0,VALUE(IF(NumSGLUN=1,RIGHT(SGSet6,1),IF(LEN(SGSet6)&lt;9,MID(SGSet6,IF(LEN(SGSet6)=7,LEN(SGSet6)-4,LEN(SGSet6)-5),1),MID(SGSet6,LEN(SGSet6)-6,2)))))=A23,IF(SGSet7="--",0,VALUE(IF(NumSGLUN=1,RIGHT(SGSet7,1),IF(LEN(SGSet7)&lt;9,MID(SGSet7,IF(LEN(SGSet7)=7,LEN(SGSet7)-4,LEN(SGSet7)-5),1),MID(SGSet7,LEN(SGSet7)-6,2)))))=A23)=TRUE,"Full",IF(BackupFreq="Weekly Full / Daily Incremental","Incremental","Differential")))))</f>
        <v>Incremental</v>
      </c>
      <c r="C23" s="369" t="str">
        <f t="shared" ref="C23:C54" si="2">IF($A23="--","--",IF(BackupFreq="Daily Full","Full",IF(AND($B22="Full",ROW(C23)&lt;&gt;ROW($B22)),"Full",IF(BackupFreq="Weekly Full / Daily Incremental","Incremental","Differential"))))</f>
        <v>Full</v>
      </c>
      <c r="D23" s="368" t="str">
        <f t="shared" ref="D23:D54" si="3">IF($A23="--","--",IF(BackupFreq="Daily Full","Full",IF(AND(C23="Full",ROW(D23)=ROW(C23)),IF(BackupFreq="Weekly Full / Daily Incremental","Incremental","Differential"),IF(AND($C22="Full",ROW(D23)&lt;&gt;ROW($C22)),"Full",IF(BackupFreq="Weekly Full / Daily Incremental","Incremental","Differential")))))</f>
        <v>Incremental</v>
      </c>
      <c r="E23" s="369" t="str">
        <f t="shared" ref="E23:E54" si="4">IF($A23="--","--",IF(BackupFreq="Daily Full","Full",IF(ISNA(MATCH("Full",A23:D23,0))=FALSE,IF(BackupFreq="Weekly Full / Daily Incremental","Incremental","Differential"),IF(AND(D23="Full",ROW(E23)=ROW(D23)),IF(BackupFreq="Weekly Full / Daily Incremental","Incremental","Differential"),IF(AND($D22="Full",ROW(E23)&lt;&gt;ROW($D22)),"Full",IF(BackupFreq="Weekly Full / Daily Incremental","Incremental","Differential"))))))</f>
        <v>Incremental</v>
      </c>
      <c r="F23" s="369" t="str">
        <f t="shared" ref="F23:F54" si="5">IF($A23="--","--",IF(BackupFreq="Daily Full","Full",IF(ISNA(MATCH("Full",B23:E23,0))=FALSE,IF(BackupFreq="Weekly Full / Daily Incremental","Incremental","Differential"),IF(AND(E23="Full",ROW(F23)=ROW(E23)),IF(BackupFreq="Weekly Full / Daily Incremental","Incremental","Differential"),IF(AND($E22="Full",ROW(F23)&lt;&gt;ROW($E22)),"Full",IF(BackupFreq="Weekly Full / Daily Incremental","Incremental","Differential"))))))</f>
        <v>Incremental</v>
      </c>
      <c r="G23" s="369" t="str">
        <f t="shared" ref="G23:G54" si="6">IF($A23="--","--",IF(BackupFreq="Daily Full","Full",IF(ISNA(MATCH("Full",B23:F23,0))=FALSE,IF(BackupFreq="Weekly Full / Daily Incremental","Incremental","Differential"),IF(AND(F23="Full",ROW(G23)=ROW(F23)),IF(BackupFreq="Weekly Full / Daily Incremental","Incremental","Differential"),IF(AND($F22="Full",ROW(G23)&lt;&gt;ROW($F22)),"Full",IF(BackupFreq="Weekly Full / Daily Incremental","Incremental","Differential"))))))</f>
        <v>Incremental</v>
      </c>
      <c r="H23" s="142" t="str">
        <f t="shared" ref="H23:H54" si="7">IF($A23="--","--",IF(BackupFreq="Daily Full","Full",IF(ISNA(MATCH("Full",B23:G23,0))=FALSE,IF(BackupFreq="Weekly Full / Daily Incremental","Incremental","Differential"),IF(AND(G23="Full",ROW(H23)=ROW(G23)),IF(BackupFreq="Weekly Full / Daily Incremental","Incremental","Differential"),IF(AND($G22="Full",ROW(H23)&lt;&gt;ROW($G22)),"Full",IF(BackupFreq="Weekly Full / Daily Incremental","Incremental","Differential"))))))</f>
        <v>Incremental</v>
      </c>
      <c r="I23" s="82"/>
      <c r="J23" s="90"/>
      <c r="L23" s="269"/>
    </row>
    <row r="24" spans="1:13" ht="15">
      <c r="A24" s="774">
        <f>IF(SG&gt;=3,3,"--")</f>
        <v>3</v>
      </c>
      <c r="B24" s="368" t="str">
        <f>IF(A24="--","--",IF(BackupFreq="Daily Full","Full",IF(AND(NumSGLUN=1,OR($B23="Incremental",$B23="Differential")),IF(BackupFreq="Weekly Full / Daily Incremental","Incremental","Differential"),IF(OR(IF(SGSet1="--",0,VALUE(IF(NumSGLUN=1,RIGHT(SGSet1,1),MID(SGSet1,IF(LEN(SGSet1)=7,LEN(SGSet1)-4,LEN(SGSet1)-6),1))))=A24,IF(SGSet2="--",0,VALUE(IF(NumSGLUN=1,RIGHT(SGSet2,1),IF(LEN(SGSet2)&lt;9,MID(SGSet2,IF(LEN(SGSet2)=7,LEN(SGSet2)-4,LEN(SGSet2)-5),1),MID(SGSet2,LEN(SGSet2)-5,2)))))=A24,IF(SGSet3="--",0,VALUE(IF(NumSGLUN=1,RIGHT(SGSet3,1),IF(LEN(SGSet3)&lt;9,MID(SGSet3,IF(LEN(SGSet3)=7,LEN(SGSet3)-4,LEN(SGSet3)-5),1),MID(SGSet3,LEN(SGSet3)-6,2)))))=A24,IF(SGSet4="--",0,VALUE(IF(NumSGLUN=1,RIGHT(SGSet4,1),IF(LEN(SGSet4)&lt;9,MID(SGSet4,IF(LEN(SGSet4)=7,LEN(SGSet4)-4,LEN(SGSet4)-5),1),MID(SGSet4,LEN(SGSet4)-6,2)))))=A24,IF(SGSet5="--",0,VALUE(IF(NumSGLUN=1,RIGHT(SGSet5,1),IF(LEN(SGSet5)&lt;9,MID(SGSet5,IF(LEN(SGSet5)=7,LEN(SGSet5)-4,LEN(SGSet5)-5),1),MID(SGSet5,LEN(SGSet5)-6,2)))))=A24,IF(SGSet6="--",0,VALUE(IF(NumSGLUN=1,RIGHT(SGSet6,1),IF(LEN(SGSet6)&lt;9,MID(SGSet6,IF(LEN(SGSet6)=7,LEN(SGSet6)-4,LEN(SGSet6)-5),1),MID(SGSet6,LEN(SGSet6)-6,2)))))=A24,IF(SGSet7="--",0,VALUE(IF(NumSGLUN=1,RIGHT(SGSet7,1),IF(LEN(SGSet7)&lt;9,MID(SGSet7,IF(LEN(SGSet7)=7,LEN(SGSet7)-4,LEN(SGSet7)-5),1),MID(SGSet7,LEN(SGSet7)-6,2)))))=A24)=TRUE,"Full",IF(BackupFreq="Weekly Full / Daily Incremental","Incremental","Differential")))))</f>
        <v>Incremental</v>
      </c>
      <c r="C24" s="369" t="str">
        <f t="shared" si="2"/>
        <v>Incremental</v>
      </c>
      <c r="D24" s="369" t="str">
        <f t="shared" si="3"/>
        <v>Full</v>
      </c>
      <c r="E24" s="369" t="str">
        <f t="shared" si="4"/>
        <v>Incremental</v>
      </c>
      <c r="F24" s="369" t="str">
        <f t="shared" si="5"/>
        <v>Incremental</v>
      </c>
      <c r="G24" s="369" t="str">
        <f t="shared" si="6"/>
        <v>Incremental</v>
      </c>
      <c r="H24" s="368" t="str">
        <f t="shared" si="7"/>
        <v>Incremental</v>
      </c>
      <c r="I24" s="82"/>
      <c r="J24" s="90"/>
      <c r="L24" s="269"/>
    </row>
    <row r="25" spans="1:13" ht="15">
      <c r="A25" s="774">
        <f>IF(SG&gt;=4,4,"--")</f>
        <v>4</v>
      </c>
      <c r="B25" s="368" t="str">
        <f>IF(A25="--","--",IF(BackupFreq="Daily Full","Full",IF(AND(NumSGLUN=1,OR($B24="Incremental",$B24="Differential")),IF(BackupFreq="Weekly Full / Daily Incremental","Incremental","Differential"),IF(OR(IF(SGSet1="--",0,VALUE(IF(NumSGLUN=1,RIGHT(SGSet1,1),MID(SGSet1,IF(LEN(SGSet1)=7,LEN(SGSet1)-4,LEN(SGSet1)-6),1))))=A25,IF(SGSet2="--",0,VALUE(IF(NumSGLUN=1,RIGHT(SGSet2,1),IF(LEN(SGSet2)&lt;9,MID(SGSet2,IF(LEN(SGSet2)=7,LEN(SGSet2)-4,LEN(SGSet2)-5),1),MID(SGSet2,LEN(SGSet2)-5,2)))))=A25,IF(SGSet3="--",0,VALUE(IF(NumSGLUN=1,RIGHT(SGSet3,1),IF(LEN(SGSet3)&lt;9,MID(SGSet3,IF(LEN(SGSet3)=7,LEN(SGSet3)-4,LEN(SGSet3)-5),1),MID(SGSet3,LEN(SGSet3)-6,2)))))=A25,IF(SGSet4="--",0,VALUE(IF(NumSGLUN=1,RIGHT(SGSet4,1),IF(LEN(SGSet4)&lt;9,MID(SGSet4,IF(LEN(SGSet4)=7,LEN(SGSet4)-4,LEN(SGSet4)-5),1),MID(SGSet4,LEN(SGSet4)-6,2)))))=A25,IF(SGSet5="--",0,VALUE(IF(NumSGLUN=1,RIGHT(SGSet5,1),IF(LEN(SGSet5)&lt;9,MID(SGSet5,IF(LEN(SGSet5)=7,LEN(SGSet5)-4,LEN(SGSet5)-5),1),MID(SGSet5,LEN(SGSet5)-6,2)))))=A25,IF(SGSet6="--",0,VALUE(IF(NumSGLUN=1,RIGHT(SGSet6,1),IF(LEN(SGSet6)&lt;9,MID(SGSet6,IF(LEN(SGSet6)=7,LEN(SGSet6)-4,LEN(SGSet6)-5),1),MID(SGSet6,LEN(SGSet6)-6,2)))))=A25,IF(SGSet7="--",0,VALUE(IF(NumSGLUN=1,RIGHT(SGSet7,1),IF(LEN(SGSet7)&lt;9,MID(SGSet7,IF(LEN(SGSet7)=7,LEN(SGSet7)-4,LEN(SGSet7)-5),1),MID(SGSet7,LEN(SGSet7)-6,2)))))=A25)=TRUE,"Full",IF(BackupFreq="Weekly Full / Daily Incremental","Incremental","Differential")))))</f>
        <v>Incremental</v>
      </c>
      <c r="C25" s="369" t="str">
        <f t="shared" si="2"/>
        <v>Incremental</v>
      </c>
      <c r="D25" s="369" t="str">
        <f t="shared" si="3"/>
        <v>Incremental</v>
      </c>
      <c r="E25" s="369" t="str">
        <f t="shared" si="4"/>
        <v>Full</v>
      </c>
      <c r="F25" s="142" t="str">
        <f t="shared" si="5"/>
        <v>Incremental</v>
      </c>
      <c r="G25" s="142" t="str">
        <f t="shared" si="6"/>
        <v>Incremental</v>
      </c>
      <c r="H25" s="368" t="str">
        <f t="shared" si="7"/>
        <v>Incremental</v>
      </c>
      <c r="I25" s="82"/>
      <c r="J25" s="90"/>
      <c r="L25" s="269"/>
    </row>
    <row r="26" spans="1:13" ht="15">
      <c r="A26" s="775">
        <f>IF(SG&gt;=5,5,"--")</f>
        <v>5</v>
      </c>
      <c r="B26" s="368" t="str">
        <f>IF(A26="--","--",IF(BackupFreq="Daily Full","Full",IF(AND(NumSGLUN=1,OR($B25="Incremental",$B25="Differential")),IF(BackupFreq="Weekly Full / Daily Incremental","Incremental","Differential"),IF(OR(IF(SGSet1="--",0,VALUE(IF(NumSGLUN=1,RIGHT(SGSet1,1),MID(SGSet1,IF(LEN(SGSet1)=7,LEN(SGSet1)-4,LEN(SGSet1)-6),1))))=A26,IF(SGSet2="--",0,VALUE(IF(NumSGLUN=1,RIGHT(SGSet2,1),IF(LEN(SGSet2)&lt;9,MID(SGSet2,IF(LEN(SGSet2)=7,LEN(SGSet2)-4,LEN(SGSet2)-5),1),MID(SGSet2,LEN(SGSet2)-5,2)))))=A26,IF(SGSet3="--",0,VALUE(IF(NumSGLUN=1,RIGHT(SGSet3,1),IF(LEN(SGSet3)&lt;9,MID(SGSet3,IF(LEN(SGSet3)=7,LEN(SGSet3)-4,LEN(SGSet3)-5),1),MID(SGSet3,LEN(SGSet3)-6,2)))))=A26,IF(SGSet4="--",0,VALUE(IF(NumSGLUN=1,RIGHT(SGSet4,1),IF(LEN(SGSet4)&lt;9,MID(SGSet4,IF(LEN(SGSet4)=7,LEN(SGSet4)-4,LEN(SGSet4)-5),1),MID(SGSet4,LEN(SGSet4)-6,2)))))=A26,IF(SGSet5="--",0,VALUE(IF(NumSGLUN=1,RIGHT(SGSet5,1),IF(LEN(SGSet5)&lt;9,MID(SGSet5,IF(LEN(SGSet5)=7,LEN(SGSet5)-4,LEN(SGSet5)-5),1),MID(SGSet5,LEN(SGSet5)-6,2)))))=A26,IF(SGSet6="--",0,VALUE(IF(NumSGLUN=1,RIGHT(SGSet6,1),IF(LEN(SGSet6)&lt;9,MID(SGSet6,IF(LEN(SGSet6)=7,LEN(SGSet6)-4,LEN(SGSet6)-5),1),MID(SGSet6,LEN(SGSet6)-6,2)))))=A26,IF(SGSet7="--",0,VALUE(IF(NumSGLUN=1,RIGHT(SGSet7,1),IF(LEN(SGSet7)&lt;9,MID(SGSet7,IF(LEN(SGSet7)=7,LEN(SGSet7)-4,LEN(SGSet7)-5),1),MID(SGSet7,LEN(SGSet7)-6,2)))))=A26)=TRUE,"Full",IF(BackupFreq="Weekly Full / Daily Incremental","Incremental","Differential")))))</f>
        <v>Incremental</v>
      </c>
      <c r="C26" s="414" t="str">
        <f t="shared" si="2"/>
        <v>Incremental</v>
      </c>
      <c r="D26" s="142" t="str">
        <f t="shared" si="3"/>
        <v>Incremental</v>
      </c>
      <c r="E26" s="142" t="str">
        <f t="shared" si="4"/>
        <v>Incremental</v>
      </c>
      <c r="F26" s="369" t="str">
        <f t="shared" si="5"/>
        <v>Full</v>
      </c>
      <c r="G26" s="369" t="str">
        <f t="shared" si="6"/>
        <v>Incremental</v>
      </c>
      <c r="H26" s="368" t="str">
        <f t="shared" si="7"/>
        <v>Incremental</v>
      </c>
      <c r="I26" s="82"/>
      <c r="J26" s="90"/>
      <c r="L26" s="269"/>
    </row>
    <row r="27" spans="1:13" ht="15">
      <c r="A27" s="776">
        <f>IF(SG&gt;=6,6,"--")</f>
        <v>6</v>
      </c>
      <c r="B27" s="368" t="str">
        <f>IF(A27="--","--",IF(BackupFreq="Daily Full","Full",IF(AND(NumSGLUN=1,OR($B26="Incremental",$B26="Differential")),IF(BackupFreq="Weekly Full / Daily Incremental","Incremental","Differential"),IF(OR(IF(SGSet1="--",0,VALUE(IF(NumSGLUN=1,RIGHT(SGSet1,1),MID(SGSet1,IF(LEN(SGSet1)=7,LEN(SGSet1)-4,LEN(SGSet1)-6),1))))=A27,IF(SGSet2="--",0,VALUE(IF(NumSGLUN=1,RIGHT(SGSet2,1),IF(LEN(SGSet2)&lt;9,MID(SGSet2,IF(LEN(SGSet2)=7,LEN(SGSet2)-4,LEN(SGSet2)-5),1),MID(SGSet2,LEN(SGSet2)-5,2)))))=A27,IF(SGSet3="--",0,VALUE(IF(NumSGLUN=1,RIGHT(SGSet3,1),IF(LEN(SGSet3)&lt;9,MID(SGSet3,IF(LEN(SGSet3)=7,LEN(SGSet3)-4,LEN(SGSet3)-5),1),MID(SGSet3,LEN(SGSet3)-6,2)))))=A27,IF(SGSet4="--",0,VALUE(IF(NumSGLUN=1,RIGHT(SGSet4,1),IF(LEN(SGSet4)&lt;9,MID(SGSet4,IF(LEN(SGSet4)=7,LEN(SGSet4)-4,LEN(SGSet4)-5),1),MID(SGSet4,LEN(SGSet4)-6,2)))))=A27,IF(SGSet5="--",0,VALUE(IF(NumSGLUN=1,RIGHT(SGSet5,1),IF(LEN(SGSet5)&lt;9,MID(SGSet5,IF(LEN(SGSet5)=7,LEN(SGSet5)-4,LEN(SGSet5)-5),1),MID(SGSet5,LEN(SGSet5)-6,2)))))=A27,IF(SGSet6="--",0,VALUE(IF(NumSGLUN=1,RIGHT(SGSet6,1),IF(LEN(SGSet6)&lt;9,MID(SGSet6,IF(LEN(SGSet6)=7,LEN(SGSet6)-4,LEN(SGSet6)-5),1),MID(SGSet6,LEN(SGSet6)-6,2)))))=A27,IF(SGSet7="--",0,VALUE(IF(NumSGLUN=1,RIGHT(SGSet7,1),IF(LEN(SGSet7)&lt;9,MID(SGSet7,IF(LEN(SGSet7)=7,LEN(SGSet7)-4,LEN(SGSet7)-5),1),MID(SGSet7,LEN(SGSet7)-6,2)))))=A27)=TRUE,"Full",IF(BackupFreq="Weekly Full / Daily Incremental","Incremental","Differential")))))</f>
        <v>Incremental</v>
      </c>
      <c r="C27" s="142" t="str">
        <f t="shared" si="2"/>
        <v>Incremental</v>
      </c>
      <c r="D27" s="368" t="str">
        <f t="shared" si="3"/>
        <v>Incremental</v>
      </c>
      <c r="E27" s="368" t="str">
        <f t="shared" si="4"/>
        <v>Incremental</v>
      </c>
      <c r="F27" s="369" t="str">
        <f t="shared" si="5"/>
        <v>Incremental</v>
      </c>
      <c r="G27" s="368" t="str">
        <f t="shared" si="6"/>
        <v>Full</v>
      </c>
      <c r="H27" s="368" t="str">
        <f t="shared" si="7"/>
        <v>Incremental</v>
      </c>
      <c r="I27" s="82"/>
      <c r="J27" s="90"/>
      <c r="L27" s="269"/>
    </row>
    <row r="28" spans="1:13" ht="15">
      <c r="A28" s="776">
        <f>IF(SG&gt;=7,7,"--")</f>
        <v>7</v>
      </c>
      <c r="B28" s="369" t="str">
        <f>IF(A28="--","--",IF(BackupFreq="Daily Full","Full",IF(AND(NumSGLUN=1,OR($B27="Incremental",$B27="Differential")),IF(BackupFreq="Weekly Full / Daily Incremental","Incremental","Differential"),IF(OR(IF(SGSet1="--",0,VALUE(IF(NumSGLUN=1,RIGHT(SGSet1,1),MID(SGSet1,IF(LEN(SGSet1)=7,LEN(SGSet1)-4,LEN(SGSet1)-6),1))))=A28,IF(SGSet2="--",0,VALUE(IF(NumSGLUN=1,RIGHT(SGSet2,1),IF(LEN(SGSet2)&lt;9,MID(SGSet2,IF(LEN(SGSet2)=7,LEN(SGSet2)-4,LEN(SGSet2)-5),1),MID(SGSet2,LEN(SGSet2)-5,2)))))=A28,IF(SGSet3="--",0,VALUE(IF(NumSGLUN=1,RIGHT(SGSet3,1),IF(LEN(SGSet3)&lt;9,MID(SGSet3,IF(LEN(SGSet3)=7,LEN(SGSet3)-4,LEN(SGSet3)-5),1),MID(SGSet3,LEN(SGSet3)-6,2)))))=A28,IF(SGSet4="--",0,VALUE(IF(NumSGLUN=1,RIGHT(SGSet4,1),IF(LEN(SGSet4)&lt;9,MID(SGSet4,IF(LEN(SGSet4)=7,LEN(SGSet4)-4,LEN(SGSet4)-5),1),MID(SGSet4,LEN(SGSet4)-6,2)))))=A28,IF(SGSet5="--",0,VALUE(IF(NumSGLUN=1,RIGHT(SGSet5,1),IF(LEN(SGSet5)&lt;9,MID(SGSet5,IF(LEN(SGSet5)=7,LEN(SGSet5)-4,LEN(SGSet5)-5),1),MID(SGSet5,LEN(SGSet5)-6,2)))))=A28,IF(SGSet6="--",0,VALUE(IF(NumSGLUN=1,RIGHT(SGSet6,1),IF(LEN(SGSet6)&lt;9,MID(SGSet6,IF(LEN(SGSet6)=7,LEN(SGSet6)-4,LEN(SGSet6)-5),1),MID(SGSet6,LEN(SGSet6)-6,2)))))=A28,IF(SGSet7="--",0,VALUE(IF(NumSGLUN=1,RIGHT(SGSet7,1),IF(LEN(SGSet7)&lt;9,MID(SGSet7,IF(LEN(SGSet7)=7,LEN(SGSet7)-4,LEN(SGSet7)-5),1),MID(SGSet7,LEN(SGSet7)-6,2)))))=A28)=TRUE,"Full",IF(BackupFreq="Weekly Full / Daily Incremental","Incremental","Differential")))))</f>
        <v>Incremental</v>
      </c>
      <c r="C28" s="369" t="str">
        <f t="shared" si="2"/>
        <v>Incremental</v>
      </c>
      <c r="D28" s="368" t="str">
        <f t="shared" si="3"/>
        <v>Incremental</v>
      </c>
      <c r="E28" s="369" t="str">
        <f t="shared" si="4"/>
        <v>Incremental</v>
      </c>
      <c r="F28" s="142" t="str">
        <f t="shared" si="5"/>
        <v>Incremental</v>
      </c>
      <c r="G28" s="369" t="str">
        <f t="shared" si="6"/>
        <v>Incremental</v>
      </c>
      <c r="H28" s="369" t="str">
        <f t="shared" si="7"/>
        <v>Full</v>
      </c>
      <c r="I28" s="82"/>
      <c r="J28" s="90"/>
      <c r="L28" s="269"/>
    </row>
    <row r="29" spans="1:13" ht="15">
      <c r="A29" s="776">
        <f>IF(SG&gt;=8,8,"--")</f>
        <v>8</v>
      </c>
      <c r="B29" s="142" t="str">
        <f>IF(A29="--","--",IF(BackupFreq="Daily Full","Full",IF(BackupMethod="Hardware VSS Backup/Restore",IF(IF(LEN('LUN Requirements'!G78)=3,VALUE(RIGHT('LUN Requirements'!G78,1)),VALUE(RIGHT('LUN Requirements'!G78,2)))=A29,"Full","Incremental/Differential"),IF(OR(IF(SGSet1="--",0,VALUE(IF(NumSGLUN=1,RIGHT(SGSet1,1),MID(SGSet1,IF(LEN(SGSet1)=7,LEN(SGSet1)-4,LEN(SGSet1)-6),1))))=A29,IF(SGSet2="--",0,VALUE(IF(NumSGLUN=1,RIGHT(SGSet2,1),IF(LEN(SGSet2)&lt;9,MID(SGSet2,IF(LEN(SGSet2)=7,LEN(SGSet2)-4,LEN(SGSet2)-5),1),MID(SGSet2,LEN(SGSet2)-5,2)))))=A29,IF(SGSet3="--",0,VALUE(IF(NumSGLUN=1,RIGHT(SGSet3,1),IF(LEN(SGSet3)&lt;9,MID(SGSet3,IF(LEN(SGSet3)=7,LEN(SGSet3)-4,LEN(SGSet3)-5),1),MID(SGSet3,LEN(SGSet3)-6,2)))))=A29,IF(SGSet4="--",0,VALUE(IF(NumSGLUN=1,RIGHT(SGSet4,1),IF(LEN(SGSet4)&lt;9,MID(SGSet4,IF(LEN(SGSet4)=7,LEN(SGSet4)-4,LEN(SGSet4)-5),1),MID(SGSet4,LEN(SGSet4)-6,2)))))=A29,IF(SGSet5="--",0,VALUE(IF(NumSGLUN=1,RIGHT(SGSet5,1),IF(LEN(SGSet5)&lt;9,MID(SGSet5,IF(LEN(SGSet5)=7,LEN(SGSet5)-4,LEN(SGSet5)-5),1),MID(SGSet5,LEN(SGSet5)-6,2)))))=A29,IF(SGSet6="--",0,VALUE(IF(NumSGLUN=1,RIGHT(SGSet6,1),IF(LEN(SGSet6)&lt;9,MID(SGSet6,IF(LEN(SGSet6)=7,LEN(SGSet6)-4,LEN(SGSet6)-5),1),MID(SGSet6,LEN(SGSet6)-6,2)))))=A29,IF(SGSet7="--",0,VALUE(IF(NumSGLUN=1,RIGHT(SGSet7,1),IF(LEN(SGSet7)&lt;9,MID(SGSet7,IF(LEN(SGSet7)=7,LEN(SGSet7)-4,LEN(SGSet7)-5),1),MID(SGSet7,LEN(SGSet7)-6,2)))))=A29)=TRUE,"Full",IF(BackupFreq="Weekly Full / Daily Incremental","Incremental","Differential")))))</f>
        <v>Full</v>
      </c>
      <c r="C29" s="369" t="str">
        <f t="shared" si="2"/>
        <v>Incremental</v>
      </c>
      <c r="D29" s="368" t="str">
        <f t="shared" si="3"/>
        <v>Incremental</v>
      </c>
      <c r="E29" s="369" t="str">
        <f t="shared" si="4"/>
        <v>Incremental</v>
      </c>
      <c r="F29" s="368" t="str">
        <f t="shared" si="5"/>
        <v>Incremental</v>
      </c>
      <c r="G29" s="369" t="str">
        <f t="shared" si="6"/>
        <v>Incremental</v>
      </c>
      <c r="H29" s="142" t="str">
        <f t="shared" si="7"/>
        <v>Incremental</v>
      </c>
      <c r="I29" s="82"/>
      <c r="J29" s="90"/>
      <c r="L29" s="269"/>
    </row>
    <row r="30" spans="1:13" ht="15">
      <c r="A30" s="416">
        <f>IF(SG&gt;=9,9,"--")</f>
        <v>9</v>
      </c>
      <c r="B30" s="369" t="str">
        <f>IF(A30="--","--",IF(BackupFreq="Daily Full","Full",IF(AND(NumSGLUN=1,$B29="Full"),IF(BackupFreq="Weekly Full / Daily Incremental","Incremental","Differential"),IF(OR(IF(SGSet1="--",0,VALUE(IF(NumSGLUN=1,RIGHT(SGSet1,1),MID(SGSet1,IF(LEN(SGSet1)=7,LEN(SGSet1)-4,LEN(SGSet1)-6),1))))=A30,IF(SGSet2="--",0,VALUE(IF(NumSGLUN=1,RIGHT(SGSet2,1),IF(LEN(SGSet2)&lt;9,MID(SGSet2,IF(LEN(SGSet2)=7,LEN(SGSet2)-4,LEN(SGSet2)-5),1),MID(SGSet2,LEN(SGSet2)-5,2)))))=A30,IF(SGSet3="--",0,VALUE(IF(NumSGLUN=1,RIGHT(SGSet3,1),IF(LEN(SGSet3)&lt;9,MID(SGSet3,IF(LEN(SGSet3)=7,LEN(SGSet3)-4,LEN(SGSet3)-5),1),MID(SGSet3,LEN(SGSet3)-6,2)))))=A30,IF(SGSet4="--",0,VALUE(IF(NumSGLUN=1,RIGHT(SGSet4,1),IF(LEN(SGSet4)&lt;9,MID(SGSet4,IF(LEN(SGSet4)=7,LEN(SGSet4)-4,LEN(SGSet4)-5),1),MID(SGSet4,LEN(SGSet4)-6,2)))))=A30,IF(SGSet5="--",0,VALUE(IF(NumSGLUN=1,RIGHT(SGSet5,1),IF(LEN(SGSet5)&lt;9,MID(SGSet5,IF(LEN(SGSet5)=7,LEN(SGSet5)-4,LEN(SGSet5)-5),1),MID(SGSet5,LEN(SGSet5)-6,2)))))=A30,IF(SGSet6="--",0,VALUE(IF(NumSGLUN=1,RIGHT(SGSet6,1),IF(LEN(SGSet6)&lt;9,MID(SGSet6,IF(LEN(SGSet6)=7,LEN(SGSet6)-4,LEN(SGSet6)-5),1),MID(SGSet6,LEN(SGSet6)-6,2)))))=A30,IF(SGSet7="--",0,VALUE(IF(NumSGLUN=1,RIGHT(SGSet7,1),IF(LEN(SGSet7)&lt;9,MID(SGSet7,IF(LEN(SGSet7)=7,LEN(SGSet7)-4,LEN(SGSet7)-5),1),MID(SGSet7,LEN(SGSet7)-6,2)))))=A30)=TRUE,"Full",IF(BackupFreq="Weekly Full / Daily Incremental","Incremental","Differential")))))</f>
        <v>Incremental</v>
      </c>
      <c r="C30" s="142" t="str">
        <f t="shared" si="2"/>
        <v>Full</v>
      </c>
      <c r="D30" s="369" t="str">
        <f t="shared" si="3"/>
        <v>Incremental</v>
      </c>
      <c r="E30" s="142" t="str">
        <f t="shared" si="4"/>
        <v>Incremental</v>
      </c>
      <c r="F30" s="368" t="str">
        <f t="shared" si="5"/>
        <v>Incremental</v>
      </c>
      <c r="G30" s="142" t="str">
        <f t="shared" si="6"/>
        <v>Incremental</v>
      </c>
      <c r="H30" s="369" t="str">
        <f t="shared" si="7"/>
        <v>Incremental</v>
      </c>
      <c r="I30" s="82"/>
      <c r="J30" s="90"/>
      <c r="L30" s="269"/>
    </row>
    <row r="31" spans="1:13" ht="15">
      <c r="A31" s="270">
        <f>IF(SG&gt;=10,10,"--")</f>
        <v>10</v>
      </c>
      <c r="B31" s="142" t="str">
        <f>IF(A31="--","--",IF(BackupFreq="Daily Full","Full",IF(AND(NumSGLUN=1,OR($B30="Incremental",$B30="Differential")),IF(BackupFreq="Weekly Full / Daily Incremental","Incremental","Differential"),IF(OR(IF(SGSet1="--",0,VALUE(IF(NumSGLUN=1,RIGHT(SGSet1,1),MID(SGSet1,IF(LEN(SGSet1)=7,LEN(SGSet1)-4,LEN(SGSet1)-6),1))))=A31,IF(SGSet2="--",0,VALUE(IF(NumSGLUN=1,RIGHT(SGSet2,1),IF(LEN(SGSet2)&lt;9,MID(SGSet2,IF(LEN(SGSet2)=7,LEN(SGSet2)-4,LEN(SGSet2)-5),1),MID(SGSet2,LEN(SGSet2)-5,2)))))=A31,IF(SGSet3="--",0,VALUE(IF(NumSGLUN=1,RIGHT(SGSet3,1),IF(LEN(SGSet3)&lt;9,MID(SGSet3,IF(LEN(SGSet3)=7,LEN(SGSet3)-4,LEN(SGSet3)-5),1),MID(SGSet3,LEN(SGSet3)-6,2)))))=A31,IF(SGSet4="--",0,VALUE(IF(NumSGLUN=1,RIGHT(SGSet4,1),IF(LEN(SGSet4)&lt;9,MID(SGSet4,IF(LEN(SGSet4)=7,LEN(SGSet4)-4,LEN(SGSet4)-5),1),MID(SGSet4,LEN(SGSet4)-6,2)))))=A31,IF(SGSet5="--",0,VALUE(IF(NumSGLUN=1,RIGHT(SGSet5,1),IF(LEN(SGSet5)&lt;9,MID(SGSet5,IF(LEN(SGSet5)=7,LEN(SGSet5)-4,LEN(SGSet5)-5),1),MID(SGSet5,LEN(SGSet5)-6,2)))))=A31,IF(SGSet6="--",0,VALUE(IF(NumSGLUN=1,RIGHT(SGSet6,1),IF(LEN(SGSet6)&lt;9,MID(SGSet6,IF(LEN(SGSet6)=7,LEN(SGSet6)-4,LEN(SGSet6)-5),1),MID(SGSet6,LEN(SGSet6)-6,2)))))=A31,IF(SGSet7="--",0,VALUE(IF(NumSGLUN=1,RIGHT(SGSet7,1),IF(LEN(SGSet7)&lt;9,MID(SGSet7,IF(LEN(SGSet7)=7,LEN(SGSet7)-4,LEN(SGSet7)-5),1),MID(SGSet7,LEN(SGSet7)-6,2)))))=A31)=TRUE,"Full",IF(BackupFreq="Weekly Full / Daily Incremental","Incremental","Differential")))))</f>
        <v>Incremental</v>
      </c>
      <c r="C31" s="368" t="str">
        <f t="shared" si="2"/>
        <v>Incremental</v>
      </c>
      <c r="D31" s="369" t="str">
        <f t="shared" si="3"/>
        <v>Full</v>
      </c>
      <c r="E31" s="368" t="str">
        <f t="shared" si="4"/>
        <v>Incremental</v>
      </c>
      <c r="F31" s="368" t="str">
        <f t="shared" si="5"/>
        <v>Incremental</v>
      </c>
      <c r="G31" s="368" t="str">
        <f t="shared" si="6"/>
        <v>Incremental</v>
      </c>
      <c r="H31" s="369" t="str">
        <f t="shared" si="7"/>
        <v>Incremental</v>
      </c>
      <c r="I31" s="82"/>
      <c r="J31" s="90"/>
      <c r="L31" s="269"/>
    </row>
    <row r="32" spans="1:13" ht="15">
      <c r="A32" s="416">
        <f>IF(SG&gt;=11,11,"--")</f>
        <v>11</v>
      </c>
      <c r="B32" s="369" t="str">
        <f>IF(A32="--","--",IF(BackupFreq="Daily Full","Full",IF(AND(NumSGLUN=1,OR($B31="Incremental",$B31="Differential")),IF(BackupFreq="Weekly Full / Daily Incremental","Incremental","Differential"),IF(OR(IF(SGSet1="--",0,VALUE(IF(NumSGLUN=1,RIGHT(SGSet1,1),MID(SGSet1,IF(LEN(SGSet1)=7,LEN(SGSet1)-4,LEN(SGSet1)-6),1))))=A32,IF(SGSet2="--",0,VALUE(IF(NumSGLUN=1,RIGHT(SGSet2,1),IF(LEN(SGSet2)&lt;9,MID(SGSet2,IF(LEN(SGSet2)=7,LEN(SGSet2)-4,LEN(SGSet2)-5),1),MID(SGSet2,LEN(SGSet2)-5,2)))))=A32,IF(SGSet3="--",0,VALUE(IF(NumSGLUN=1,RIGHT(SGSet3,1),IF(LEN(SGSet3)&lt;9,MID(SGSet3,IF(LEN(SGSet3)=7,LEN(SGSet3)-4,LEN(SGSet3)-5),1),MID(SGSet3,LEN(SGSet3)-6,2)))))=A32,IF(SGSet4="--",0,VALUE(IF(NumSGLUN=1,RIGHT(SGSet4,1),IF(LEN(SGSet4)&lt;9,MID(SGSet4,IF(LEN(SGSet4)=7,LEN(SGSet4)-4,LEN(SGSet4)-5),1),MID(SGSet4,LEN(SGSet4)-6,2)))))=A32,IF(SGSet5="--",0,VALUE(IF(NumSGLUN=1,RIGHT(SGSet5,1),IF(LEN(SGSet5)&lt;9,MID(SGSet5,IF(LEN(SGSet5)=7,LEN(SGSet5)-4,LEN(SGSet5)-5),1),MID(SGSet5,LEN(SGSet5)-6,2)))))=A32,IF(SGSet6="--",0,VALUE(IF(NumSGLUN=1,RIGHT(SGSet6,1),IF(LEN(SGSet6)&lt;9,MID(SGSet6,IF(LEN(SGSet6)=7,LEN(SGSet6)-4,LEN(SGSet6)-5),1),MID(SGSet6,LEN(SGSet6)-6,2)))))=A32,IF(SGSet7="--",0,VALUE(IF(NumSGLUN=1,RIGHT(SGSet7,1),IF(LEN(SGSet7)&lt;9,MID(SGSet7,IF(LEN(SGSet7)=7,LEN(SGSet7)-4,LEN(SGSet7)-5),1),MID(SGSet7,LEN(SGSet7)-6,2)))))=A32)=TRUE,"Full",IF(BackupFreq="Weekly Full / Daily Incremental","Incremental","Differential")))))</f>
        <v>Incremental</v>
      </c>
      <c r="C32" s="368" t="str">
        <f t="shared" si="2"/>
        <v>Incremental</v>
      </c>
      <c r="D32" s="369" t="str">
        <f t="shared" si="3"/>
        <v>Incremental</v>
      </c>
      <c r="E32" s="368" t="str">
        <f t="shared" si="4"/>
        <v>Full</v>
      </c>
      <c r="F32" s="368" t="str">
        <f t="shared" si="5"/>
        <v>Incremental</v>
      </c>
      <c r="G32" s="368" t="str">
        <f t="shared" si="6"/>
        <v>Incremental</v>
      </c>
      <c r="H32" s="369" t="str">
        <f t="shared" si="7"/>
        <v>Incremental</v>
      </c>
      <c r="I32" s="82"/>
      <c r="J32" s="90"/>
    </row>
    <row r="33" spans="1:10" ht="15">
      <c r="A33" s="416">
        <f>IF(SG&gt;=12,12,"--")</f>
        <v>12</v>
      </c>
      <c r="B33" s="414" t="str">
        <f>IF(A33="--","--",IF(BackupFreq="Daily Full","Full",IF(AND(NumSGLUN=1,OR($B32="Incremental",$B32="Differential")),IF(BackupFreq="Weekly Full / Daily Incremental","Incremental","Differential"),IF(OR(IF(SGSet1="--",0,VALUE(IF(NumSGLUN=1,RIGHT(SGSet1,1),MID(SGSet1,IF(LEN(SGSet1)=7,LEN(SGSet1)-4,LEN(SGSet1)-6),1))))=A33,IF(SGSet2="--",0,VALUE(IF(NumSGLUN=1,RIGHT(SGSet2,1),IF(LEN(SGSet2)&lt;9,MID(SGSet2,IF(LEN(SGSet2)=7,LEN(SGSet2)-4,LEN(SGSet2)-5),1),MID(SGSet2,LEN(SGSet2)-5,2)))))=A33,IF(SGSet3="--",0,VALUE(IF(NumSGLUN=1,RIGHT(SGSet3,1),IF(LEN(SGSet3)&lt;9,MID(SGSet3,IF(LEN(SGSet3)=7,LEN(SGSet3)-4,LEN(SGSet3)-5),1),MID(SGSet3,LEN(SGSet3)-6,2)))))=A33,IF(SGSet4="--",0,VALUE(IF(NumSGLUN=1,RIGHT(SGSet4,1),IF(LEN(SGSet4)&lt;9,MID(SGSet4,IF(LEN(SGSet4)=7,LEN(SGSet4)-4,LEN(SGSet4)-5),1),MID(SGSet4,LEN(SGSet4)-6,2)))))=A33,IF(SGSet5="--",0,VALUE(IF(NumSGLUN=1,RIGHT(SGSet5,1),IF(LEN(SGSet5)&lt;9,MID(SGSet5,IF(LEN(SGSet5)=7,LEN(SGSet5)-4,LEN(SGSet5)-5),1),MID(SGSet5,LEN(SGSet5)-6,2)))))=A33,IF(SGSet6="--",0,VALUE(IF(NumSGLUN=1,RIGHT(SGSet6,1),IF(LEN(SGSet6)&lt;9,MID(SGSet6,IF(LEN(SGSet6)=7,LEN(SGSet6)-4,LEN(SGSet6)-5),1),MID(SGSet6,LEN(SGSet6)-6,2)))))=A33,IF(SGSet7="--",0,VALUE(IF(NumSGLUN=1,RIGHT(SGSet7,1),IF(LEN(SGSet7)&lt;9,MID(SGSet7,IF(LEN(SGSet7)=7,LEN(SGSet7)-4,LEN(SGSet7)-5),1),MID(SGSet7,LEN(SGSet7)-6,2)))))=A33)=TRUE,"Full",IF(BackupFreq="Weekly Full / Daily Incremental","Incremental","Differential")))))</f>
        <v>Incremental</v>
      </c>
      <c r="C33" s="368" t="str">
        <f t="shared" si="2"/>
        <v>Incremental</v>
      </c>
      <c r="D33" s="369" t="str">
        <f t="shared" si="3"/>
        <v>Incremental</v>
      </c>
      <c r="E33" s="369" t="str">
        <f t="shared" si="4"/>
        <v>Incremental</v>
      </c>
      <c r="F33" s="369" t="str">
        <f t="shared" si="5"/>
        <v>Full</v>
      </c>
      <c r="G33" s="369" t="str">
        <f t="shared" si="6"/>
        <v>Incremental</v>
      </c>
      <c r="H33" s="369" t="str">
        <f t="shared" si="7"/>
        <v>Incremental</v>
      </c>
      <c r="I33" s="82"/>
      <c r="J33" s="90"/>
    </row>
    <row r="34" spans="1:10" ht="15">
      <c r="A34" s="270">
        <f>IF(SG&gt;=13,13,"--")</f>
        <v>13</v>
      </c>
      <c r="B34" s="414" t="str">
        <f>IF(A34="--","--",IF(BackupFreq="Daily Full","Full",IF(AND(NumSGLUN=1,OR($B33="Incremental",$B33="Differential")),IF(BackupFreq="Weekly Full / Daily Incremental","Incremental","Differential"),IF(OR(IF(SGSet1="--",0,VALUE(IF(NumSGLUN=1,RIGHT(SGSet1,1),MID(SGSet1,IF(LEN(SGSet1)=7,LEN(SGSet1)-4,LEN(SGSet1)-6),1))))=A34,IF(SGSet2="--",0,VALUE(IF(NumSGLUN=1,RIGHT(SGSet2,1),IF(LEN(SGSet2)&lt;9,MID(SGSet2,IF(LEN(SGSet2)=7,LEN(SGSet2)-4,LEN(SGSet2)-5),1),MID(SGSet2,LEN(SGSet2)-5,2)))))=A34,IF(SGSet3="--",0,VALUE(IF(NumSGLUN=1,RIGHT(SGSet3,1),IF(LEN(SGSet3)&lt;9,MID(SGSet3,IF(LEN(SGSet3)=7,LEN(SGSet3)-4,LEN(SGSet3)-5),1),MID(SGSet3,LEN(SGSet3)-6,2)))))=A34,IF(SGSet4="--",0,VALUE(IF(NumSGLUN=1,RIGHT(SGSet4,1),IF(LEN(SGSet4)&lt;9,MID(SGSet4,IF(LEN(SGSet4)=7,LEN(SGSet4)-4,LEN(SGSet4)-5),1),MID(SGSet4,LEN(SGSet4)-6,2)))))=A34,IF(SGSet5="--",0,VALUE(IF(NumSGLUN=1,RIGHT(SGSet5,1),IF(LEN(SGSet5)&lt;9,MID(SGSet5,IF(LEN(SGSet5)=7,LEN(SGSet5)-4,LEN(SGSet5)-5),1),MID(SGSet5,LEN(SGSet5)-6,2)))))=A34,IF(SGSet6="--",0,VALUE(IF(NumSGLUN=1,RIGHT(SGSet6,1),IF(LEN(SGSet6)&lt;9,MID(SGSet6,IF(LEN(SGSet6)=7,LEN(SGSet6)-4,LEN(SGSet6)-5),1),MID(SGSet6,LEN(SGSet6)-6,2)))))=A34,IF(SGSet7="--",0,VALUE(IF(NumSGLUN=1,RIGHT(SGSet7,1),IF(LEN(SGSet7)&lt;9,MID(SGSet7,IF(LEN(SGSet7)=7,LEN(SGSet7)-4,LEN(SGSet7)-5),1),MID(SGSet7,LEN(SGSet7)-6,2)))))=A34)=TRUE,"Full",IF(BackupFreq="Weekly Full / Daily Incremental","Incremental","Differential")))))</f>
        <v>Incremental</v>
      </c>
      <c r="C34" s="368" t="str">
        <f t="shared" si="2"/>
        <v>Incremental</v>
      </c>
      <c r="D34" s="414" t="str">
        <f t="shared" si="3"/>
        <v>Incremental</v>
      </c>
      <c r="E34" s="369" t="str">
        <f t="shared" si="4"/>
        <v>Incremental</v>
      </c>
      <c r="F34" s="142" t="str">
        <f t="shared" si="5"/>
        <v>Incremental</v>
      </c>
      <c r="G34" s="369" t="str">
        <f t="shared" si="6"/>
        <v>Full</v>
      </c>
      <c r="H34" s="368" t="str">
        <f t="shared" si="7"/>
        <v>Incremental</v>
      </c>
      <c r="I34" s="82"/>
      <c r="J34" s="90"/>
    </row>
    <row r="35" spans="1:10" ht="15">
      <c r="A35" s="416">
        <f>IF(SG&gt;=14,14,"--")</f>
        <v>14</v>
      </c>
      <c r="B35" s="414" t="str">
        <f>IF(A35="--","--",IF(BackupFreq="Daily Full","Full",IF(AND(NumSGLUN=1,OR($B34="Incremental",$B34="Differential")),IF(BackupFreq="Weekly Full / Daily Incremental","Incremental","Differential"),IF(OR(IF(SGSet1="--",0,VALUE(IF(NumSGLUN=1,RIGHT(SGSet1,1),MID(SGSet1,IF(LEN(SGSet1)=7,LEN(SGSet1)-4,LEN(SGSet1)-6),1))))=A35,IF(SGSet2="--",0,VALUE(IF(NumSGLUN=1,RIGHT(SGSet2,1),IF(LEN(SGSet2)&lt;9,MID(SGSet2,IF(LEN(SGSet2)=7,LEN(SGSet2)-4,LEN(SGSet2)-5),1),MID(SGSet2,LEN(SGSet2)-5,2)))))=A35,IF(SGSet3="--",0,VALUE(IF(NumSGLUN=1,RIGHT(SGSet3,1),IF(LEN(SGSet3)&lt;9,MID(SGSet3,IF(LEN(SGSet3)=7,LEN(SGSet3)-4,LEN(SGSet3)-5),1),MID(SGSet3,LEN(SGSet3)-6,2)))))=A35,IF(SGSet4="--",0,VALUE(IF(NumSGLUN=1,RIGHT(SGSet4,1),IF(LEN(SGSet4)&lt;9,MID(SGSet4,IF(LEN(SGSet4)=7,LEN(SGSet4)-4,LEN(SGSet4)-5),1),MID(SGSet4,LEN(SGSet4)-6,2)))))=A35,IF(SGSet5="--",0,VALUE(IF(NumSGLUN=1,RIGHT(SGSet5,1),IF(LEN(SGSet5)&lt;9,MID(SGSet5,IF(LEN(SGSet5)=7,LEN(SGSet5)-4,LEN(SGSet5)-5),1),MID(SGSet5,LEN(SGSet5)-6,2)))))=A35,IF(SGSet6="--",0,VALUE(IF(NumSGLUN=1,RIGHT(SGSet6,1),IF(LEN(SGSet6)&lt;9,MID(SGSet6,IF(LEN(SGSet6)=7,LEN(SGSet6)-4,LEN(SGSet6)-5),1),MID(SGSet6,LEN(SGSet6)-6,2)))))=A35,IF(SGSet7="--",0,VALUE(IF(NumSGLUN=1,RIGHT(SGSet7,1),IF(LEN(SGSet7)&lt;9,MID(SGSet7,IF(LEN(SGSet7)=7,LEN(SGSet7)-4,LEN(SGSet7)-5),1),MID(SGSet7,LEN(SGSet7)-6,2)))))=A35)=TRUE,"Full",IF(BackupFreq="Weekly Full / Daily Incremental","Incremental","Differential")))))</f>
        <v>Incremental</v>
      </c>
      <c r="C35" s="369" t="str">
        <f t="shared" si="2"/>
        <v>Incremental</v>
      </c>
      <c r="D35" s="414" t="str">
        <f t="shared" si="3"/>
        <v>Incremental</v>
      </c>
      <c r="E35" s="142" t="str">
        <f t="shared" si="4"/>
        <v>Incremental</v>
      </c>
      <c r="F35" s="369" t="str">
        <f t="shared" si="5"/>
        <v>Incremental</v>
      </c>
      <c r="G35" s="369" t="str">
        <f t="shared" si="6"/>
        <v>Incremental</v>
      </c>
      <c r="H35" s="368" t="str">
        <f t="shared" si="7"/>
        <v>Full</v>
      </c>
      <c r="I35" s="82"/>
      <c r="J35" s="90"/>
    </row>
    <row r="36" spans="1:10" ht="15">
      <c r="A36" s="416">
        <f>IF(SG&gt;=15,15,"--")</f>
        <v>15</v>
      </c>
      <c r="B36" s="414" t="str">
        <f>IF(A36="--","--",IF(BackupFreq="Daily Full","Full",IF(BackupMethod="Hardware VSS Backup/Restore",IF(IF(LEN('LUN Requirements'!G85)=3,VALUE(RIGHT('LUN Requirements'!G85,1)),VALUE(RIGHT('LUN Requirements'!G85,2)))=A36,"Full","Incremental/Differential"),IF(OR(IF(SGSet1="--",0,VALUE(IF(NumSGLUN=1,RIGHT(SGSet1,1),MID(SGSet1,IF(LEN(SGSet1)=7,LEN(SGSet1)-4,LEN(SGSet1)-6),1))))=A36,IF(SGSet2="--",0,VALUE(IF(NumSGLUN=1,RIGHT(SGSet2,1),IF(LEN(SGSet2)&lt;9,MID(SGSet2,IF(LEN(SGSet2)=7,LEN(SGSet2)-4,LEN(SGSet2)-5),1),MID(SGSet2,LEN(SGSet2)-5,2)))))=A36,IF(SGSet3="--",0,VALUE(IF(NumSGLUN=1,RIGHT(SGSet3,1),IF(LEN(SGSet3)&lt;9,MID(SGSet3,IF(LEN(SGSet3)=7,LEN(SGSet3)-4,LEN(SGSet3)-5),1),MID(SGSet3,LEN(SGSet3)-6,2)))))=A36,IF(SGSet4="--",0,VALUE(IF(NumSGLUN=1,RIGHT(SGSet4,1),IF(LEN(SGSet4)&lt;9,MID(SGSet4,IF(LEN(SGSet4)=7,LEN(SGSet4)-4,LEN(SGSet4)-5),1),MID(SGSet4,LEN(SGSet4)-6,2)))))=A36,IF(SGSet5="--",0,VALUE(IF(NumSGLUN=1,RIGHT(SGSet5,1),IF(LEN(SGSet5)&lt;9,MID(SGSet5,IF(LEN(SGSet5)=7,LEN(SGSet5)-4,LEN(SGSet5)-5),1),MID(SGSet5,LEN(SGSet5)-6,2)))))=A36,IF(SGSet6="--",0,VALUE(IF(NumSGLUN=1,RIGHT(SGSet6,1),IF(LEN(SGSet6)&lt;9,MID(SGSet6,IF(LEN(SGSet6)=7,LEN(SGSet6)-4,LEN(SGSet6)-5),1),MID(SGSet6,LEN(SGSet6)-6,2)))))=A36,IF(SGSet7="--",0,VALUE(IF(NumSGLUN=1,RIGHT(SGSet7,1),IF(LEN(SGSet7)&lt;9,MID(SGSet7,IF(LEN(SGSet7)=7,LEN(SGSet7)-4,LEN(SGSet7)-5),1),MID(SGSet7,LEN(SGSet7)-6,2)))))=A36)=TRUE,"Full",IF(BackupFreq="Weekly Full / Daily Incremental","Incremental","Differential")))))</f>
        <v>Full</v>
      </c>
      <c r="C36" s="369" t="str">
        <f t="shared" si="2"/>
        <v>Incremental</v>
      </c>
      <c r="D36" s="414" t="str">
        <f t="shared" si="3"/>
        <v>Incremental</v>
      </c>
      <c r="E36" s="369" t="str">
        <f t="shared" si="4"/>
        <v>Incremental</v>
      </c>
      <c r="F36" s="142" t="str">
        <f t="shared" si="5"/>
        <v>Incremental</v>
      </c>
      <c r="G36" s="142" t="str">
        <f t="shared" si="6"/>
        <v>Incremental</v>
      </c>
      <c r="H36" s="368" t="str">
        <f t="shared" si="7"/>
        <v>Incremental</v>
      </c>
      <c r="I36" s="82"/>
      <c r="J36" s="90"/>
    </row>
    <row r="37" spans="1:10" ht="15">
      <c r="A37" s="270">
        <f>IF(SG&gt;=16,16,"--")</f>
        <v>16</v>
      </c>
      <c r="B37" s="142" t="str">
        <f>IF(A37="--","--",IF(BackupFreq="Daily Full","Full",IF(AND(NumSGLUN=1,$B36="Full"),IF(BackupFreq="Weekly Full / Daily Incremental","Incremental","Differential"),IF(OR(IF(SGSet1="--",0,VALUE(IF(NumSGLUN=1,RIGHT(SGSet1,1),MID(SGSet1,IF(LEN(SGSet1)=7,LEN(SGSet1)-4,LEN(SGSet1)-6),1))))=A37,IF(SGSet2="--",0,VALUE(IF(NumSGLUN=1,RIGHT(SGSet2,1),IF(LEN(SGSet2)&lt;9,MID(SGSet2,IF(LEN(SGSet2)=7,LEN(SGSet2)-4,LEN(SGSet2)-5),1),MID(SGSet2,LEN(SGSet2)-5,2)))))=A37,IF(SGSet3="--",0,VALUE(IF(NumSGLUN=1,RIGHT(SGSet3,1),IF(LEN(SGSet3)&lt;9,MID(SGSet3,IF(LEN(SGSet3)=7,LEN(SGSet3)-4,LEN(SGSet3)-5),1),MID(SGSet3,LEN(SGSet3)-6,2)))))=A37,IF(SGSet4="--",0,VALUE(IF(NumSGLUN=1,RIGHT(SGSet4,1),IF(LEN(SGSet4)&lt;9,MID(SGSet4,IF(LEN(SGSet4)=7,LEN(SGSet4)-4,LEN(SGSet4)-5),1),MID(SGSet4,LEN(SGSet4)-6,2)))))=A37,IF(SGSet5="--",0,VALUE(IF(NumSGLUN=1,RIGHT(SGSet5,1),IF(LEN(SGSet5)&lt;9,MID(SGSet5,IF(LEN(SGSet5)=7,LEN(SGSet5)-4,LEN(SGSet5)-5),1),MID(SGSet5,LEN(SGSet5)-6,2)))))=A37,IF(SGSet6="--",0,VALUE(IF(NumSGLUN=1,RIGHT(SGSet6,1),IF(LEN(SGSet6)&lt;9,MID(SGSet6,IF(LEN(SGSet6)=7,LEN(SGSet6)-4,LEN(SGSet6)-5),1),MID(SGSet6,LEN(SGSet6)-6,2)))))=A37,IF(SGSet7="--",0,VALUE(IF(NumSGLUN=1,RIGHT(SGSet7,1),IF(LEN(SGSet7)&lt;9,MID(SGSet7,IF(LEN(SGSet7)=7,LEN(SGSet7)-4,LEN(SGSet7)-5),1),MID(SGSet7,LEN(SGSet7)-6,2)))))=A37)=TRUE,"Full",IF(BackupFreq="Weekly Full / Daily Incremental","Incremental","Differential")))))</f>
        <v>Incremental</v>
      </c>
      <c r="C37" s="142" t="str">
        <f t="shared" si="2"/>
        <v>Full</v>
      </c>
      <c r="D37" s="142" t="str">
        <f t="shared" si="3"/>
        <v>Incremental</v>
      </c>
      <c r="E37" s="369" t="str">
        <f t="shared" si="4"/>
        <v>Incremental</v>
      </c>
      <c r="F37" s="369" t="str">
        <f t="shared" si="5"/>
        <v>Incremental</v>
      </c>
      <c r="G37" s="368" t="str">
        <f t="shared" si="6"/>
        <v>Incremental</v>
      </c>
      <c r="H37" s="369" t="str">
        <f t="shared" si="7"/>
        <v>Incremental</v>
      </c>
      <c r="I37" s="82"/>
      <c r="J37" s="90"/>
    </row>
    <row r="38" spans="1:10" ht="15">
      <c r="A38" s="415">
        <f>IF(SG&gt;=17,17,"--")</f>
        <v>17</v>
      </c>
      <c r="B38" s="369" t="str">
        <f>IF(A38="--","--",IF(BackupFreq="Daily Full","Full",IF(AND(NumSGLUN=1,OR($B37="Incremental",$B37="Differential")),IF(BackupFreq="Weekly Full / Daily Incremental","Incremental","Differential"),IF(OR(IF(SGSet1="--",0,VALUE(IF(NumSGLUN=1,RIGHT(SGSet1,1),MID(SGSet1,IF(LEN(SGSet1)=7,LEN(SGSet1)-4,LEN(SGSet1)-6),1))))=A38,IF(SGSet2="--",0,VALUE(IF(NumSGLUN=1,RIGHT(SGSet2,1),IF(LEN(SGSet2)&lt;9,MID(SGSet2,IF(LEN(SGSet2)=7,LEN(SGSet2)-4,LEN(SGSet2)-5),1),MID(SGSet2,LEN(SGSet2)-5,2)))))=A38,IF(SGSet3="--",0,VALUE(IF(NumSGLUN=1,RIGHT(SGSet3,1),IF(LEN(SGSet3)&lt;9,MID(SGSet3,IF(LEN(SGSet3)=7,LEN(SGSet3)-4,LEN(SGSet3)-5),1),MID(SGSet3,LEN(SGSet3)-6,2)))))=A38,IF(SGSet4="--",0,VALUE(IF(NumSGLUN=1,RIGHT(SGSet4,1),IF(LEN(SGSet4)&lt;9,MID(SGSet4,IF(LEN(SGSet4)=7,LEN(SGSet4)-4,LEN(SGSet4)-5),1),MID(SGSet4,LEN(SGSet4)-6,2)))))=A38,IF(SGSet5="--",0,VALUE(IF(NumSGLUN=1,RIGHT(SGSet5,1),IF(LEN(SGSet5)&lt;9,MID(SGSet5,IF(LEN(SGSet5)=7,LEN(SGSet5)-4,LEN(SGSet5)-5),1),MID(SGSet5,LEN(SGSet5)-6,2)))))=A38,IF(SGSet6="--",0,VALUE(IF(NumSGLUN=1,RIGHT(SGSet6,1),IF(LEN(SGSet6)&lt;9,MID(SGSet6,IF(LEN(SGSet6)=7,LEN(SGSet6)-4,LEN(SGSet6)-5),1),MID(SGSet6,LEN(SGSet6)-6,2)))))=A38,IF(SGSet7="--",0,VALUE(IF(NumSGLUN=1,RIGHT(SGSet7,1),IF(LEN(SGSet7)&lt;9,MID(SGSet7,IF(LEN(SGSet7)=7,LEN(SGSet7)-4,LEN(SGSet7)-5),1),MID(SGSet7,LEN(SGSet7)-6,2)))))=A38)=TRUE,"Full",IF(BackupFreq="Weekly Full / Daily Incremental","Incremental","Differential")))))</f>
        <v>Incremental</v>
      </c>
      <c r="C38" s="369" t="str">
        <f t="shared" si="2"/>
        <v>Incremental</v>
      </c>
      <c r="D38" s="369" t="str">
        <f t="shared" si="3"/>
        <v>Full</v>
      </c>
      <c r="E38" s="142" t="str">
        <f t="shared" si="4"/>
        <v>Incremental</v>
      </c>
      <c r="F38" s="369" t="str">
        <f t="shared" si="5"/>
        <v>Incremental</v>
      </c>
      <c r="G38" s="368" t="str">
        <f t="shared" si="6"/>
        <v>Incremental</v>
      </c>
      <c r="H38" s="414" t="str">
        <f t="shared" si="7"/>
        <v>Incremental</v>
      </c>
      <c r="I38" s="82"/>
      <c r="J38" s="90"/>
    </row>
    <row r="39" spans="1:10" ht="15">
      <c r="A39" s="416">
        <f>IF(SG&gt;=18,18,"--")</f>
        <v>18</v>
      </c>
      <c r="B39" s="369" t="str">
        <f>IF(A39="--","--",IF(BackupFreq="Daily Full","Full",IF(AND(NumSGLUN=1,OR($B38="Incremental",$B38="Differential")),IF(BackupFreq="Weekly Full / Daily Incremental","Incremental","Differential"),IF(OR(IF(SGSet1="--",0,VALUE(IF(NumSGLUN=1,RIGHT(SGSet1,1),MID(SGSet1,IF(LEN(SGSet1)=7,LEN(SGSet1)-4,LEN(SGSet1)-6),1))))=A39,IF(SGSet2="--",0,VALUE(IF(NumSGLUN=1,RIGHT(SGSet2,1),IF(LEN(SGSet2)&lt;9,MID(SGSet2,IF(LEN(SGSet2)=7,LEN(SGSet2)-4,LEN(SGSet2)-5),1),MID(SGSet2,LEN(SGSet2)-5,2)))))=A39,IF(SGSet3="--",0,VALUE(IF(NumSGLUN=1,RIGHT(SGSet3,1),IF(LEN(SGSet3)&lt;9,MID(SGSet3,IF(LEN(SGSet3)=7,LEN(SGSet3)-4,LEN(SGSet3)-5),1),MID(SGSet3,LEN(SGSet3)-6,2)))))=A39,IF(SGSet4="--",0,VALUE(IF(NumSGLUN=1,RIGHT(SGSet4,1),IF(LEN(SGSet4)&lt;9,MID(SGSet4,IF(LEN(SGSet4)=7,LEN(SGSet4)-4,LEN(SGSet4)-5),1),MID(SGSet4,LEN(SGSet4)-6,2)))))=A39,IF(SGSet5="--",0,VALUE(IF(NumSGLUN=1,RIGHT(SGSet5,1),IF(LEN(SGSet5)&lt;9,MID(SGSet5,IF(LEN(SGSet5)=7,LEN(SGSet5)-4,LEN(SGSet5)-5),1),MID(SGSet5,LEN(SGSet5)-6,2)))))=A39,IF(SGSet6="--",0,VALUE(IF(NumSGLUN=1,RIGHT(SGSet6,1),IF(LEN(SGSet6)&lt;9,MID(SGSet6,IF(LEN(SGSet6)=7,LEN(SGSet6)-4,LEN(SGSet6)-5),1),MID(SGSet6,LEN(SGSet6)-6,2)))))=A39,IF(SGSet7="--",0,VALUE(IF(NumSGLUN=1,RIGHT(SGSet7,1),IF(LEN(SGSet7)&lt;9,MID(SGSet7,IF(LEN(SGSet7)=7,LEN(SGSet7)-4,LEN(SGSet7)-5),1),MID(SGSet7,LEN(SGSet7)-6,2)))))=A39)=TRUE,"Full",IF(BackupFreq="Weekly Full / Daily Incremental","Incremental","Differential")))))</f>
        <v>Incremental</v>
      </c>
      <c r="C39" s="142" t="str">
        <f t="shared" si="2"/>
        <v>Incremental</v>
      </c>
      <c r="D39" s="369" t="str">
        <f t="shared" si="3"/>
        <v>Incremental</v>
      </c>
      <c r="E39" s="369" t="str">
        <f t="shared" si="4"/>
        <v>Full</v>
      </c>
      <c r="F39" s="369" t="str">
        <f t="shared" si="5"/>
        <v>Incremental</v>
      </c>
      <c r="G39" s="369" t="str">
        <f t="shared" si="6"/>
        <v>Incremental</v>
      </c>
      <c r="H39" s="414" t="str">
        <f t="shared" si="7"/>
        <v>Incremental</v>
      </c>
      <c r="I39" s="82"/>
      <c r="J39" s="90"/>
    </row>
    <row r="40" spans="1:10" ht="15">
      <c r="A40" s="270">
        <f>IF(SG&gt;=19,19,"--")</f>
        <v>19</v>
      </c>
      <c r="B40" s="369" t="str">
        <f>IF(A40="--","--",IF(BackupFreq="Daily Full","Full",IF(AND(NumSGLUN=1,OR($B39="Incremental",$B39="Differential")),IF(BackupFreq="Weekly Full / Daily Incremental","Incremental","Differential"),IF(OR(IF(SGSet1="--",0,VALUE(IF(NumSGLUN=1,RIGHT(SGSet1,1),MID(SGSet1,IF(LEN(SGSet1)=7,LEN(SGSet1)-4,LEN(SGSet1)-6),1))))=A40,IF(SGSet2="--",0,VALUE(IF(NumSGLUN=1,RIGHT(SGSet2,1),IF(LEN(SGSet2)&lt;9,MID(SGSet2,IF(LEN(SGSet2)=7,LEN(SGSet2)-4,LEN(SGSet2)-5),1),MID(SGSet2,LEN(SGSet2)-5,2)))))=A40,IF(SGSet3="--",0,VALUE(IF(NumSGLUN=1,RIGHT(SGSet3,1),IF(LEN(SGSet3)&lt;9,MID(SGSet3,IF(LEN(SGSet3)=7,LEN(SGSet3)-4,LEN(SGSet3)-5),1),MID(SGSet3,LEN(SGSet3)-6,2)))))=A40,IF(SGSet4="--",0,VALUE(IF(NumSGLUN=1,RIGHT(SGSet4,1),IF(LEN(SGSet4)&lt;9,MID(SGSet4,IF(LEN(SGSet4)=7,LEN(SGSet4)-4,LEN(SGSet4)-5),1),MID(SGSet4,LEN(SGSet4)-6,2)))))=A40,IF(SGSet5="--",0,VALUE(IF(NumSGLUN=1,RIGHT(SGSet5,1),IF(LEN(SGSet5)&lt;9,MID(SGSet5,IF(LEN(SGSet5)=7,LEN(SGSet5)-4,LEN(SGSet5)-5),1),MID(SGSet5,LEN(SGSet5)-6,2)))))=A40,IF(SGSet6="--",0,VALUE(IF(NumSGLUN=1,RIGHT(SGSet6,1),IF(LEN(SGSet6)&lt;9,MID(SGSet6,IF(LEN(SGSet6)=7,LEN(SGSet6)-4,LEN(SGSet6)-5),1),MID(SGSet6,LEN(SGSet6)-6,2)))))=A40,IF(SGSet7="--",0,VALUE(IF(NumSGLUN=1,RIGHT(SGSet7,1),IF(LEN(SGSet7)&lt;9,MID(SGSet7,IF(LEN(SGSet7)=7,LEN(SGSet7)-4,LEN(SGSet7)-5),1),MID(SGSet7,LEN(SGSet7)-6,2)))))=A40)=TRUE,"Full",IF(BackupFreq="Weekly Full / Daily Incremental","Incremental","Differential")))))</f>
        <v>Incremental</v>
      </c>
      <c r="C40" s="369" t="str">
        <f t="shared" si="2"/>
        <v>Incremental</v>
      </c>
      <c r="D40" s="369" t="str">
        <f t="shared" si="3"/>
        <v>Incremental</v>
      </c>
      <c r="E40" s="142" t="str">
        <f t="shared" si="4"/>
        <v>Incremental</v>
      </c>
      <c r="F40" s="414" t="str">
        <f t="shared" si="5"/>
        <v>Full</v>
      </c>
      <c r="G40" s="369" t="str">
        <f t="shared" si="6"/>
        <v>Incremental</v>
      </c>
      <c r="H40" s="414" t="str">
        <f t="shared" si="7"/>
        <v>Incremental</v>
      </c>
      <c r="I40" s="82"/>
      <c r="J40" s="90"/>
    </row>
    <row r="41" spans="1:10" ht="15">
      <c r="A41" s="416">
        <f>IF(SG&gt;=20,20,"--")</f>
        <v>20</v>
      </c>
      <c r="B41" s="369" t="str">
        <f>IF(A41="--","--",IF(BackupFreq="Daily Full","Full",IF(AND(NumSGLUN=1,OR($B40="Incremental",$B40="Differential")),IF(BackupFreq="Weekly Full / Daily Incremental","Incremental","Differential"),IF(OR(IF(SGSet1="--",0,VALUE(IF(NumSGLUN=1,RIGHT(SGSet1,1),MID(SGSet1,IF(LEN(SGSet1)=7,LEN(SGSet1)-4,LEN(SGSet1)-6),1))))=A41,IF(SGSet2="--",0,VALUE(IF(NumSGLUN=1,RIGHT(SGSet2,1),IF(LEN(SGSet2)&lt;9,MID(SGSet2,IF(LEN(SGSet2)=7,LEN(SGSet2)-4,LEN(SGSet2)-5),1),MID(SGSet2,LEN(SGSet2)-5,2)))))=A41,IF(SGSet3="--",0,VALUE(IF(NumSGLUN=1,RIGHT(SGSet3,1),IF(LEN(SGSet3)&lt;9,MID(SGSet3,IF(LEN(SGSet3)=7,LEN(SGSet3)-4,LEN(SGSet3)-5),1),MID(SGSet3,LEN(SGSet3)-6,2)))))=A41,IF(SGSet4="--",0,VALUE(IF(NumSGLUN=1,RIGHT(SGSet4,1),IF(LEN(SGSet4)&lt;9,MID(SGSet4,IF(LEN(SGSet4)=7,LEN(SGSet4)-4,LEN(SGSet4)-5),1),MID(SGSet4,LEN(SGSet4)-6,2)))))=A41,IF(SGSet5="--",0,VALUE(IF(NumSGLUN=1,RIGHT(SGSet5,1),IF(LEN(SGSet5)&lt;9,MID(SGSet5,IF(LEN(SGSet5)=7,LEN(SGSet5)-4,LEN(SGSet5)-5),1),MID(SGSet5,LEN(SGSet5)-6,2)))))=A41,IF(SGSet6="--",0,VALUE(IF(NumSGLUN=1,RIGHT(SGSet6,1),IF(LEN(SGSet6)&lt;9,MID(SGSet6,IF(LEN(SGSet6)=7,LEN(SGSet6)-4,LEN(SGSet6)-5),1),MID(SGSet6,LEN(SGSet6)-6,2)))))=A41,IF(SGSet7="--",0,VALUE(IF(NumSGLUN=1,RIGHT(SGSet7,1),IF(LEN(SGSet7)&lt;9,MID(SGSet7,IF(LEN(SGSet7)=7,LEN(SGSet7)-4,LEN(SGSet7)-5),1),MID(SGSet7,LEN(SGSet7)-6,2)))))=A41)=TRUE,"Full",IF(BackupFreq="Weekly Full / Daily Incremental","Incremental","Differential")))))</f>
        <v>Incremental</v>
      </c>
      <c r="C41" s="142" t="str">
        <f t="shared" si="2"/>
        <v>Incremental</v>
      </c>
      <c r="D41" s="414" t="str">
        <f t="shared" si="3"/>
        <v>Incremental</v>
      </c>
      <c r="E41" s="369" t="str">
        <f t="shared" si="4"/>
        <v>Incremental</v>
      </c>
      <c r="F41" s="142" t="str">
        <f t="shared" si="5"/>
        <v>Incremental</v>
      </c>
      <c r="G41" s="369" t="str">
        <f t="shared" si="6"/>
        <v>Full</v>
      </c>
      <c r="H41" s="369" t="str">
        <f t="shared" si="7"/>
        <v>Incremental</v>
      </c>
      <c r="I41" s="82"/>
      <c r="J41" s="90"/>
    </row>
    <row r="42" spans="1:10" ht="15">
      <c r="A42" s="416">
        <f>IF(SG&gt;=21,21,"--")</f>
        <v>21</v>
      </c>
      <c r="B42" s="369" t="str">
        <f>IF(A42="--","--",IF(BackupFreq="Daily Full","Full",IF(AND(NumSGLUN=1,OR($B41="Incremental",$B41="Differential")),IF(BackupFreq="Weekly Full / Daily Incremental","Incremental","Differential"),IF(OR(IF(SGSet1="--",0,VALUE(IF(NumSGLUN=1,RIGHT(SGSet1,1),MID(SGSet1,IF(LEN(SGSet1)=7,LEN(SGSet1)-4,LEN(SGSet1)-6),1))))=A42,IF(SGSet2="--",0,VALUE(IF(NumSGLUN=1,RIGHT(SGSet2,1),IF(LEN(SGSet2)&lt;9,MID(SGSet2,IF(LEN(SGSet2)=7,LEN(SGSet2)-4,LEN(SGSet2)-5),1),MID(SGSet2,LEN(SGSet2)-5,2)))))=A42,IF(SGSet3="--",0,VALUE(IF(NumSGLUN=1,RIGHT(SGSet3,1),IF(LEN(SGSet3)&lt;9,MID(SGSet3,IF(LEN(SGSet3)=7,LEN(SGSet3)-4,LEN(SGSet3)-5),1),MID(SGSet3,LEN(SGSet3)-6,2)))))=A42,IF(SGSet4="--",0,VALUE(IF(NumSGLUN=1,RIGHT(SGSet4,1),IF(LEN(SGSet4)&lt;9,MID(SGSet4,IF(LEN(SGSet4)=7,LEN(SGSet4)-4,LEN(SGSet4)-5),1),MID(SGSet4,LEN(SGSet4)-6,2)))))=A42,IF(SGSet5="--",0,VALUE(IF(NumSGLUN=1,RIGHT(SGSet5,1),IF(LEN(SGSet5)&lt;9,MID(SGSet5,IF(LEN(SGSet5)=7,LEN(SGSet5)-4,LEN(SGSet5)-5),1),MID(SGSet5,LEN(SGSet5)-6,2)))))=A42,IF(SGSet6="--",0,VALUE(IF(NumSGLUN=1,RIGHT(SGSet6,1),IF(LEN(SGSet6)&lt;9,MID(SGSet6,IF(LEN(SGSet6)=7,LEN(SGSet6)-4,LEN(SGSet6)-5),1),MID(SGSet6,LEN(SGSet6)-6,2)))))=A42,IF(SGSet7="--",0,VALUE(IF(NumSGLUN=1,RIGHT(SGSet7,1),IF(LEN(SGSet7)&lt;9,MID(SGSet7,IF(LEN(SGSet7)=7,LEN(SGSet7)-4,LEN(SGSet7)-5),1),MID(SGSet7,LEN(SGSet7)-6,2)))))=A42)=TRUE,"Full",IF(BackupFreq="Weekly Full / Daily Incremental","Incremental","Differential")))))</f>
        <v>Incremental</v>
      </c>
      <c r="C42" s="369" t="str">
        <f t="shared" si="2"/>
        <v>Incremental</v>
      </c>
      <c r="D42" s="142" t="str">
        <f t="shared" si="3"/>
        <v>Incremental</v>
      </c>
      <c r="E42" s="368" t="str">
        <f t="shared" si="4"/>
        <v>Incremental</v>
      </c>
      <c r="F42" s="369" t="str">
        <f t="shared" si="5"/>
        <v>Incremental</v>
      </c>
      <c r="G42" s="142" t="str">
        <f t="shared" si="6"/>
        <v>Incremental</v>
      </c>
      <c r="H42" s="142" t="str">
        <f t="shared" si="7"/>
        <v>Full</v>
      </c>
      <c r="I42" s="82"/>
      <c r="J42" s="90"/>
    </row>
    <row r="43" spans="1:10" ht="15">
      <c r="A43" s="416">
        <f>IF(SG&gt;=22,22,"--")</f>
        <v>22</v>
      </c>
      <c r="B43" s="369" t="str">
        <f>IF(A43="--","--",IF(BackupFreq="Daily Full","Full",IF(BackupMethod="Hardware VSS Backup/Restore",IF(IF(LEN('LUN Requirements'!G92)=3,VALUE(RIGHT('LUN Requirements'!G92,1)),VALUE(RIGHT('LUN Requirements'!G92,2)))=A43,"Full","Incremental/Differential"),IF(OR(IF(SGSet1="--",0,VALUE(IF(NumSGLUN=1,RIGHT(SGSet1,1),MID(SGSet1,IF(LEN(SGSet1)=7,LEN(SGSet1)-4,LEN(SGSet1)-6),1))))=A43,IF(SGSet2="--",0,VALUE(IF(NumSGLUN=1,RIGHT(SGSet2,1),IF(LEN(SGSet2)&lt;9,MID(SGSet2,IF(LEN(SGSet2)=7,LEN(SGSet2)-4,LEN(SGSet2)-5),1),MID(SGSet2,LEN(SGSet2)-5,2)))))=A43,IF(SGSet3="--",0,VALUE(IF(NumSGLUN=1,RIGHT(SGSet3,1),IF(LEN(SGSet3)&lt;9,MID(SGSet3,IF(LEN(SGSet3)=7,LEN(SGSet3)-4,LEN(SGSet3)-5),1),MID(SGSet3,LEN(SGSet3)-6,2)))))=A43,IF(SGSet4="--",0,VALUE(IF(NumSGLUN=1,RIGHT(SGSet4,1),IF(LEN(SGSet4)&lt;9,MID(SGSet4,IF(LEN(SGSet4)=7,LEN(SGSet4)-4,LEN(SGSet4)-5),1),MID(SGSet4,LEN(SGSet4)-6,2)))))=A43,IF(SGSet5="--",0,VALUE(IF(NumSGLUN=1,RIGHT(SGSet5,1),IF(LEN(SGSet5)&lt;9,MID(SGSet5,IF(LEN(SGSet5)=7,LEN(SGSet5)-4,LEN(SGSet5)-5),1),MID(SGSet5,LEN(SGSet5)-6,2)))))=A43,IF(SGSet6="--",0,VALUE(IF(NumSGLUN=1,RIGHT(SGSet6,1),IF(LEN(SGSet6)&lt;9,MID(SGSet6,IF(LEN(SGSet6)=7,LEN(SGSet6)-4,LEN(SGSet6)-5),1),MID(SGSet6,LEN(SGSet6)-6,2)))))=A43,IF(SGSet7="--",0,VALUE(IF(NumSGLUN=1,RIGHT(SGSet7,1),IF(LEN(SGSet7)&lt;9,MID(SGSet7,IF(LEN(SGSet7)=7,LEN(SGSet7)-4,LEN(SGSet7)-5),1),MID(SGSet7,LEN(SGSet7)-6,2)))))=A43)=TRUE,"Full",IF(BackupFreq="Weekly Full / Daily Incremental","Incremental","Differential")))))</f>
        <v>Full</v>
      </c>
      <c r="C43" s="142" t="str">
        <f t="shared" si="2"/>
        <v>Incremental</v>
      </c>
      <c r="D43" s="369" t="str">
        <f t="shared" si="3"/>
        <v>Incremental</v>
      </c>
      <c r="E43" s="369" t="str">
        <f t="shared" si="4"/>
        <v>Incremental</v>
      </c>
      <c r="F43" s="369" t="str">
        <f t="shared" si="5"/>
        <v>Incremental</v>
      </c>
      <c r="G43" s="368" t="str">
        <f t="shared" si="6"/>
        <v>Incremental</v>
      </c>
      <c r="H43" s="368" t="str">
        <f t="shared" si="7"/>
        <v>Incremental</v>
      </c>
      <c r="I43" s="82"/>
      <c r="J43" s="90"/>
    </row>
    <row r="44" spans="1:10" ht="15">
      <c r="A44" s="416">
        <f>IF(SG&gt;=23,23,"--")</f>
        <v>23</v>
      </c>
      <c r="B44" s="369" t="str">
        <f>IF(A44="--","--",IF(BackupFreq="Daily Full","Full",IF(AND(NumSGLUN=1,$B43="Full"),IF(BackupFreq="Weekly Full / Daily Incremental","Incremental","Differential"),IF(OR(IF(SGSet1="--",0,VALUE(IF(NumSGLUN=1,RIGHT(SGSet1,1),MID(SGSet1,IF(LEN(SGSet1)=7,LEN(SGSet1)-4,LEN(SGSet1)-6),1))))=A44,IF(SGSet2="--",0,VALUE(IF(NumSGLUN=1,RIGHT(SGSet2,1),IF(LEN(SGSet2)&lt;9,MID(SGSet2,IF(LEN(SGSet2)=7,LEN(SGSet2)-4,LEN(SGSet2)-5),1),MID(SGSet2,LEN(SGSet2)-5,2)))))=A44,IF(SGSet3="--",0,VALUE(IF(NumSGLUN=1,RIGHT(SGSet3,1),IF(LEN(SGSet3)&lt;9,MID(SGSet3,IF(LEN(SGSet3)=7,LEN(SGSet3)-4,LEN(SGSet3)-5),1),MID(SGSet3,LEN(SGSet3)-6,2)))))=A44,IF(SGSet4="--",0,VALUE(IF(NumSGLUN=1,RIGHT(SGSet4,1),IF(LEN(SGSet4)&lt;9,MID(SGSet4,IF(LEN(SGSet4)=7,LEN(SGSet4)-4,LEN(SGSet4)-5),1),MID(SGSet4,LEN(SGSet4)-6,2)))))=A44,IF(SGSet5="--",0,VALUE(IF(NumSGLUN=1,RIGHT(SGSet5,1),IF(LEN(SGSet5)&lt;9,MID(SGSet5,IF(LEN(SGSet5)=7,LEN(SGSet5)-4,LEN(SGSet5)-5),1),MID(SGSet5,LEN(SGSet5)-6,2)))))=A44,IF(SGSet6="--",0,VALUE(IF(NumSGLUN=1,RIGHT(SGSet6,1),IF(LEN(SGSet6)&lt;9,MID(SGSet6,IF(LEN(SGSet6)=7,LEN(SGSet6)-4,LEN(SGSet6)-5),1),MID(SGSet6,LEN(SGSet6)-6,2)))))=A44,IF(SGSet7="--",0,VALUE(IF(NumSGLUN=1,RIGHT(SGSet7,1),IF(LEN(SGSet7)&lt;9,MID(SGSet7,IF(LEN(SGSet7)=7,LEN(SGSet7)-4,LEN(SGSet7)-5),1),MID(SGSet7,LEN(SGSet7)-6,2)))))=A44)=TRUE,"Full",IF(BackupFreq="Weekly Full / Daily Incremental","Incremental","Differential")))))</f>
        <v>Incremental</v>
      </c>
      <c r="C44" s="369" t="str">
        <f t="shared" si="2"/>
        <v>Full</v>
      </c>
      <c r="D44" s="142" t="str">
        <f t="shared" si="3"/>
        <v>Incremental</v>
      </c>
      <c r="E44" s="369" t="str">
        <f t="shared" si="4"/>
        <v>Incremental</v>
      </c>
      <c r="F44" s="369" t="str">
        <f t="shared" si="5"/>
        <v>Incremental</v>
      </c>
      <c r="G44" s="368" t="str">
        <f t="shared" si="6"/>
        <v>Incremental</v>
      </c>
      <c r="H44" s="368" t="str">
        <f t="shared" si="7"/>
        <v>Incremental</v>
      </c>
      <c r="I44" s="82"/>
      <c r="J44" s="90"/>
    </row>
    <row r="45" spans="1:10" ht="15">
      <c r="A45" s="416">
        <f>IF(SG&gt;=24,24,"--")</f>
        <v>24</v>
      </c>
      <c r="B45" s="369" t="str">
        <f>IF(A45="--","--",IF(BackupFreq="Daily Full","Full",IF(AND(NumSGLUN=1,OR($B44="Incremental",$B44="Differential")),IF(BackupFreq="Weekly Full / Daily Incremental","Incremental","Differential"),IF(OR(IF(SGSet1="--",0,VALUE(IF(NumSGLUN=1,RIGHT(SGSet1,1),MID(SGSet1,IF(LEN(SGSet1)=7,LEN(SGSet1)-4,LEN(SGSet1)-6),1))))=A45,IF(SGSet2="--",0,VALUE(IF(NumSGLUN=1,RIGHT(SGSet2,1),IF(LEN(SGSet2)&lt;9,MID(SGSet2,IF(LEN(SGSet2)=7,LEN(SGSet2)-4,LEN(SGSet2)-5),1),MID(SGSet2,LEN(SGSet2)-5,2)))))=A45,IF(SGSet3="--",0,VALUE(IF(NumSGLUN=1,RIGHT(SGSet3,1),IF(LEN(SGSet3)&lt;9,MID(SGSet3,IF(LEN(SGSet3)=7,LEN(SGSet3)-4,LEN(SGSet3)-5),1),MID(SGSet3,LEN(SGSet3)-6,2)))))=A45,IF(SGSet4="--",0,VALUE(IF(NumSGLUN=1,RIGHT(SGSet4,1),IF(LEN(SGSet4)&lt;9,MID(SGSet4,IF(LEN(SGSet4)=7,LEN(SGSet4)-4,LEN(SGSet4)-5),1),MID(SGSet4,LEN(SGSet4)-6,2)))))=A45,IF(SGSet5="--",0,VALUE(IF(NumSGLUN=1,RIGHT(SGSet5,1),IF(LEN(SGSet5)&lt;9,MID(SGSet5,IF(LEN(SGSet5)=7,LEN(SGSet5)-4,LEN(SGSet5)-5),1),MID(SGSet5,LEN(SGSet5)-6,2)))))=A45,IF(SGSet6="--",0,VALUE(IF(NumSGLUN=1,RIGHT(SGSet6,1),IF(LEN(SGSet6)&lt;9,MID(SGSet6,IF(LEN(SGSet6)=7,LEN(SGSet6)-4,LEN(SGSet6)-5),1),MID(SGSet6,LEN(SGSet6)-6,2)))))=A45,IF(SGSet7="--",0,VALUE(IF(NumSGLUN=1,RIGHT(SGSet7,1),IF(LEN(SGSet7)&lt;9,MID(SGSet7,IF(LEN(SGSet7)=7,LEN(SGSet7)-4,LEN(SGSet7)-5),1),MID(SGSet7,LEN(SGSet7)-6,2)))))=A45)=TRUE,"Full",IF(BackupFreq="Weekly Full / Daily Incremental","Incremental","Differential")))))</f>
        <v>Incremental</v>
      </c>
      <c r="C45" s="368" t="str">
        <f t="shared" si="2"/>
        <v>Incremental</v>
      </c>
      <c r="D45" s="369" t="str">
        <f t="shared" si="3"/>
        <v>Full</v>
      </c>
      <c r="E45" s="369" t="str">
        <f t="shared" si="4"/>
        <v>Incremental</v>
      </c>
      <c r="F45" s="369" t="str">
        <f t="shared" si="5"/>
        <v>Incremental</v>
      </c>
      <c r="G45" s="369" t="str">
        <f t="shared" si="6"/>
        <v>Incremental</v>
      </c>
      <c r="H45" s="369" t="str">
        <f t="shared" si="7"/>
        <v>Incremental</v>
      </c>
      <c r="I45" s="82"/>
      <c r="J45" s="90"/>
    </row>
    <row r="46" spans="1:10" ht="15">
      <c r="A46" s="270">
        <f>IF(SG&gt;=25,25,"--")</f>
        <v>25</v>
      </c>
      <c r="B46" s="369" t="str">
        <f>IF(A46="--","--",IF(BackupFreq="Daily Full","Full",IF(AND(NumSGLUN=1,OR($B45="Incremental",$B45="Differential")),IF(BackupFreq="Weekly Full / Daily Incremental","Incremental","Differential"),IF(OR(IF(SGSet1="--",0,VALUE(IF(NumSGLUN=1,RIGHT(SGSet1,1),MID(SGSet1,IF(LEN(SGSet1)=7,LEN(SGSet1)-4,LEN(SGSet1)-6),1))))=A46,IF(SGSet2="--",0,VALUE(IF(NumSGLUN=1,RIGHT(SGSet2,1),IF(LEN(SGSet2)&lt;9,MID(SGSet2,IF(LEN(SGSet2)=7,LEN(SGSet2)-4,LEN(SGSet2)-5),1),MID(SGSet2,LEN(SGSet2)-5,2)))))=A46,IF(SGSet3="--",0,VALUE(IF(NumSGLUN=1,RIGHT(SGSet3,1),IF(LEN(SGSet3)&lt;9,MID(SGSet3,IF(LEN(SGSet3)=7,LEN(SGSet3)-4,LEN(SGSet3)-5),1),MID(SGSet3,LEN(SGSet3)-6,2)))))=A46,IF(SGSet4="--",0,VALUE(IF(NumSGLUN=1,RIGHT(SGSet4,1),IF(LEN(SGSet4)&lt;9,MID(SGSet4,IF(LEN(SGSet4)=7,LEN(SGSet4)-4,LEN(SGSet4)-5),1),MID(SGSet4,LEN(SGSet4)-6,2)))))=A46,IF(SGSet5="--",0,VALUE(IF(NumSGLUN=1,RIGHT(SGSet5,1),IF(LEN(SGSet5)&lt;9,MID(SGSet5,IF(LEN(SGSet5)=7,LEN(SGSet5)-4,LEN(SGSet5)-5),1),MID(SGSet5,LEN(SGSet5)-6,2)))))=A46,IF(SGSet6="--",0,VALUE(IF(NumSGLUN=1,RIGHT(SGSet6,1),IF(LEN(SGSet6)&lt;9,MID(SGSet6,IF(LEN(SGSet6)=7,LEN(SGSet6)-4,LEN(SGSet6)-5),1),MID(SGSet6,LEN(SGSet6)-6,2)))))=A46,IF(SGSet7="--",0,VALUE(IF(NumSGLUN=1,RIGHT(SGSet7,1),IF(LEN(SGSet7)&lt;9,MID(SGSet7,IF(LEN(SGSet7)=7,LEN(SGSet7)-4,LEN(SGSet7)-5),1),MID(SGSet7,LEN(SGSet7)-6,2)))))=A46)=TRUE,"Full",IF(BackupFreq="Weekly Full / Daily Incremental","Incremental","Differential")))))</f>
        <v>Incremental</v>
      </c>
      <c r="C46" s="369" t="str">
        <f t="shared" si="2"/>
        <v>Incremental</v>
      </c>
      <c r="D46" s="369" t="str">
        <f t="shared" si="3"/>
        <v>Incremental</v>
      </c>
      <c r="E46" s="369" t="str">
        <f t="shared" si="4"/>
        <v>Full</v>
      </c>
      <c r="F46" s="142" t="str">
        <f t="shared" si="5"/>
        <v>Incremental</v>
      </c>
      <c r="G46" s="369" t="str">
        <f t="shared" si="6"/>
        <v>Incremental</v>
      </c>
      <c r="H46" s="369" t="str">
        <f t="shared" si="7"/>
        <v>Incremental</v>
      </c>
      <c r="I46" s="82"/>
      <c r="J46" s="90"/>
    </row>
    <row r="47" spans="1:10" ht="15">
      <c r="A47" s="415">
        <f>IF(SG&gt;=26,26,"--")</f>
        <v>26</v>
      </c>
      <c r="B47" s="414" t="str">
        <f>IF(A47="--","--",IF(BackupFreq="Daily Full","Full",IF(AND(NumSGLUN=1,OR($B46="Incremental",$B46="Differential")),IF(BackupFreq="Weekly Full / Daily Incremental","Incremental","Differential"),IF(OR(IF(SGSet1="--",0,VALUE(IF(NumSGLUN=1,RIGHT(SGSet1,1),MID(SGSet1,IF(LEN(SGSet1)=7,LEN(SGSet1)-4,LEN(SGSet1)-6),1))))=A47,IF(SGSet2="--",0,VALUE(IF(NumSGLUN=1,RIGHT(SGSet2,1),IF(LEN(SGSet2)&lt;9,MID(SGSet2,IF(LEN(SGSet2)=7,LEN(SGSet2)-4,LEN(SGSet2)-5),1),MID(SGSet2,LEN(SGSet2)-5,2)))))=A47,IF(SGSet3="--",0,VALUE(IF(NumSGLUN=1,RIGHT(SGSet3,1),IF(LEN(SGSet3)&lt;9,MID(SGSet3,IF(LEN(SGSet3)=7,LEN(SGSet3)-4,LEN(SGSet3)-5),1),MID(SGSet3,LEN(SGSet3)-6,2)))))=A47,IF(SGSet4="--",0,VALUE(IF(NumSGLUN=1,RIGHT(SGSet4,1),IF(LEN(SGSet4)&lt;9,MID(SGSet4,IF(LEN(SGSet4)=7,LEN(SGSet4)-4,LEN(SGSet4)-5),1),MID(SGSet4,LEN(SGSet4)-6,2)))))=A47,IF(SGSet5="--",0,VALUE(IF(NumSGLUN=1,RIGHT(SGSet5,1),IF(LEN(SGSet5)&lt;9,MID(SGSet5,IF(LEN(SGSet5)=7,LEN(SGSet5)-4,LEN(SGSet5)-5),1),MID(SGSet5,LEN(SGSet5)-6,2)))))=A47,IF(SGSet6="--",0,VALUE(IF(NumSGLUN=1,RIGHT(SGSet6,1),IF(LEN(SGSet6)&lt;9,MID(SGSet6,IF(LEN(SGSet6)=7,LEN(SGSet6)-4,LEN(SGSet6)-5),1),MID(SGSet6,LEN(SGSet6)-6,2)))))=A47,IF(SGSet7="--",0,VALUE(IF(NumSGLUN=1,RIGHT(SGSet7,1),IF(LEN(SGSet7)&lt;9,MID(SGSet7,IF(LEN(SGSet7)=7,LEN(SGSet7)-4,LEN(SGSet7)-5),1),MID(SGSet7,LEN(SGSet7)-6,2)))))=A47)=TRUE,"Full",IF(BackupFreq="Weekly Full / Daily Incremental","Incremental","Differential")))))</f>
        <v>Incremental</v>
      </c>
      <c r="C47" s="368" t="str">
        <f t="shared" si="2"/>
        <v>Incremental</v>
      </c>
      <c r="D47" s="369" t="str">
        <f t="shared" si="3"/>
        <v>Incremental</v>
      </c>
      <c r="E47" s="369" t="str">
        <f t="shared" si="4"/>
        <v>Incremental</v>
      </c>
      <c r="F47" s="369" t="str">
        <f t="shared" si="5"/>
        <v>Full</v>
      </c>
      <c r="G47" s="369" t="str">
        <f t="shared" si="6"/>
        <v>Incremental</v>
      </c>
      <c r="H47" s="369" t="str">
        <f t="shared" si="7"/>
        <v>Incremental</v>
      </c>
      <c r="I47" s="82"/>
      <c r="J47" s="90"/>
    </row>
    <row r="48" spans="1:10" ht="15">
      <c r="A48" s="415">
        <f>IF(SG&gt;=27,27,"--")</f>
        <v>27</v>
      </c>
      <c r="B48" s="414" t="str">
        <f>IF(A48="--","--",IF(BackupFreq="Daily Full","Full",IF(AND(NumSGLUN=1,OR($B47="Incremental",$B47="Differential")),IF(BackupFreq="Weekly Full / Daily Incremental","Incremental","Differential"),IF(OR(IF(SGSet1="--",0,VALUE(IF(NumSGLUN=1,RIGHT(SGSet1,1),MID(SGSet1,IF(LEN(SGSet1)=7,LEN(SGSet1)-4,LEN(SGSet1)-6),1))))=A48,IF(SGSet2="--",0,VALUE(IF(NumSGLUN=1,RIGHT(SGSet2,1),IF(LEN(SGSet2)&lt;9,MID(SGSet2,IF(LEN(SGSet2)=7,LEN(SGSet2)-4,LEN(SGSet2)-5),1),MID(SGSet2,LEN(SGSet2)-5,2)))))=A48,IF(SGSet3="--",0,VALUE(IF(NumSGLUN=1,RIGHT(SGSet3,1),IF(LEN(SGSet3)&lt;9,MID(SGSet3,IF(LEN(SGSet3)=7,LEN(SGSet3)-4,LEN(SGSet3)-5),1),MID(SGSet3,LEN(SGSet3)-6,2)))))=A48,IF(SGSet4="--",0,VALUE(IF(NumSGLUN=1,RIGHT(SGSet4,1),IF(LEN(SGSet4)&lt;9,MID(SGSet4,IF(LEN(SGSet4)=7,LEN(SGSet4)-4,LEN(SGSet4)-5),1),MID(SGSet4,LEN(SGSet4)-6,2)))))=A48,IF(SGSet5="--",0,VALUE(IF(NumSGLUN=1,RIGHT(SGSet5,1),IF(LEN(SGSet5)&lt;9,MID(SGSet5,IF(LEN(SGSet5)=7,LEN(SGSet5)-4,LEN(SGSet5)-5),1),MID(SGSet5,LEN(SGSet5)-6,2)))))=A48,IF(SGSet6="--",0,VALUE(IF(NumSGLUN=1,RIGHT(SGSet6,1),IF(LEN(SGSet6)&lt;9,MID(SGSet6,IF(LEN(SGSet6)=7,LEN(SGSet6)-4,LEN(SGSet6)-5),1),MID(SGSet6,LEN(SGSet6)-6,2)))))=A48,IF(SGSet7="--",0,VALUE(IF(NumSGLUN=1,RIGHT(SGSet7,1),IF(LEN(SGSet7)&lt;9,MID(SGSet7,IF(LEN(SGSet7)=7,LEN(SGSet7)-4,LEN(SGSet7)-5),1),MID(SGSet7,LEN(SGSet7)-6,2)))))=A48)=TRUE,"Full",IF(BackupFreq="Weekly Full / Daily Incremental","Incremental","Differential")))))</f>
        <v>Incremental</v>
      </c>
      <c r="C48" s="368" t="str">
        <f t="shared" si="2"/>
        <v>Incremental</v>
      </c>
      <c r="D48" s="414" t="str">
        <f t="shared" si="3"/>
        <v>Incremental</v>
      </c>
      <c r="E48" s="369" t="str">
        <f t="shared" si="4"/>
        <v>Incremental</v>
      </c>
      <c r="F48" s="142" t="str">
        <f t="shared" si="5"/>
        <v>Incremental</v>
      </c>
      <c r="G48" s="142" t="str">
        <f t="shared" si="6"/>
        <v>Full</v>
      </c>
      <c r="H48" s="142" t="str">
        <f t="shared" si="7"/>
        <v>Incremental</v>
      </c>
      <c r="I48" s="82"/>
      <c r="J48" s="90"/>
    </row>
    <row r="49" spans="1:10" ht="15">
      <c r="A49" s="416">
        <f>IF(SG&gt;=28,28,"--")</f>
        <v>28</v>
      </c>
      <c r="B49" s="142" t="str">
        <f>IF(A49="--","--",IF(BackupFreq="Daily Full","Full",IF(AND(NumSGLUN=1,OR($B48="Incremental",$B48="Differential")),IF(BackupFreq="Weekly Full / Daily Incremental","Incremental","Differential"),IF(OR(IF(SGSet1="--",0,VALUE(IF(NumSGLUN=1,RIGHT(SGSet1,1),MID(SGSet1,IF(LEN(SGSet1)=7,LEN(SGSet1)-4,LEN(SGSet1)-6),1))))=A49,IF(SGSet2="--",0,VALUE(IF(NumSGLUN=1,RIGHT(SGSet2,1),IF(LEN(SGSet2)&lt;9,MID(SGSet2,IF(LEN(SGSet2)=7,LEN(SGSet2)-4,LEN(SGSet2)-5),1),MID(SGSet2,LEN(SGSet2)-5,2)))))=A49,IF(SGSet3="--",0,VALUE(IF(NumSGLUN=1,RIGHT(SGSet3,1),IF(LEN(SGSet3)&lt;9,MID(SGSet3,IF(LEN(SGSet3)=7,LEN(SGSet3)-4,LEN(SGSet3)-5),1),MID(SGSet3,LEN(SGSet3)-6,2)))))=A49,IF(SGSet4="--",0,VALUE(IF(NumSGLUN=1,RIGHT(SGSet4,1),IF(LEN(SGSet4)&lt;9,MID(SGSet4,IF(LEN(SGSet4)=7,LEN(SGSet4)-4,LEN(SGSet4)-5),1),MID(SGSet4,LEN(SGSet4)-6,2)))))=A49,IF(SGSet5="--",0,VALUE(IF(NumSGLUN=1,RIGHT(SGSet5,1),IF(LEN(SGSet5)&lt;9,MID(SGSet5,IF(LEN(SGSet5)=7,LEN(SGSet5)-4,LEN(SGSet5)-5),1),MID(SGSet5,LEN(SGSet5)-6,2)))))=A49,IF(SGSet6="--",0,VALUE(IF(NumSGLUN=1,RIGHT(SGSet6,1),IF(LEN(SGSet6)&lt;9,MID(SGSet6,IF(LEN(SGSet6)=7,LEN(SGSet6)-4,LEN(SGSet6)-5),1),MID(SGSet6,LEN(SGSet6)-6,2)))))=A49,IF(SGSet7="--",0,VALUE(IF(NumSGLUN=1,RIGHT(SGSet7,1),IF(LEN(SGSet7)&lt;9,MID(SGSet7,IF(LEN(SGSet7)=7,LEN(SGSet7)-4,LEN(SGSet7)-5),1),MID(SGSet7,LEN(SGSet7)-6,2)))))=A49)=TRUE,"Full",IF(BackupFreq="Weekly Full / Daily Incremental","Incremental","Differential")))))</f>
        <v>Incremental</v>
      </c>
      <c r="C49" s="369" t="str">
        <f t="shared" si="2"/>
        <v>Incremental</v>
      </c>
      <c r="D49" s="142" t="str">
        <f t="shared" si="3"/>
        <v>Incremental</v>
      </c>
      <c r="E49" s="142" t="str">
        <f t="shared" si="4"/>
        <v>Incremental</v>
      </c>
      <c r="F49" s="369" t="str">
        <f t="shared" si="5"/>
        <v>Incremental</v>
      </c>
      <c r="G49" s="368" t="str">
        <f t="shared" si="6"/>
        <v>Incremental</v>
      </c>
      <c r="H49" s="368" t="str">
        <f t="shared" si="7"/>
        <v>Full</v>
      </c>
      <c r="I49" s="82"/>
      <c r="J49" s="90"/>
    </row>
    <row r="50" spans="1:10" ht="15">
      <c r="A50" s="270">
        <f>IF(SG&gt;=29,29,"--")</f>
        <v>29</v>
      </c>
      <c r="B50" s="369" t="str">
        <f>IF(A50="--","--",IF(BackupFreq="Daily Full","Full",IF(BackupMethod="Hardware VSS Backup/Restore",IF(IF(LEN('LUN Requirements'!G99)=3,VALUE(RIGHT('LUN Requirements'!G99,1)),VALUE(RIGHT('LUN Requirements'!G99,2)))=A50,"Full","Incremental/Differential"),IF(OR(IF(SGSet1="--",0,VALUE(IF(NumSGLUN=1,RIGHT(SGSet1,1),MID(SGSet1,IF(LEN(SGSet1)=7,LEN(SGSet1)-4,LEN(SGSet1)-6),1))))=A50,IF(SGSet2="--",0,VALUE(IF(NumSGLUN=1,RIGHT(SGSet2,1),IF(LEN(SGSet2)&lt;9,MID(SGSet2,IF(LEN(SGSet2)=7,LEN(SGSet2)-4,LEN(SGSet2)-5),1),MID(SGSet2,LEN(SGSet2)-5,2)))))=A50,IF(SGSet3="--",0,VALUE(IF(NumSGLUN=1,RIGHT(SGSet3,1),IF(LEN(SGSet3)&lt;9,MID(SGSet3,IF(LEN(SGSet3)=7,LEN(SGSet3)-4,LEN(SGSet3)-5),1),MID(SGSet3,LEN(SGSet3)-6,2)))))=A50,IF(SGSet4="--",0,VALUE(IF(NumSGLUN=1,RIGHT(SGSet4,1),IF(LEN(SGSet4)&lt;9,MID(SGSet4,IF(LEN(SGSet4)=7,LEN(SGSet4)-4,LEN(SGSet4)-5),1),MID(SGSet4,LEN(SGSet4)-6,2)))))=A50,IF(SGSet5="--",0,VALUE(IF(NumSGLUN=1,RIGHT(SGSet5,1),IF(LEN(SGSet5)&lt;9,MID(SGSet5,IF(LEN(SGSet5)=7,LEN(SGSet5)-4,LEN(SGSet5)-5),1),MID(SGSet5,LEN(SGSet5)-6,2)))))=A50,IF(SGSet6="--",0,VALUE(IF(NumSGLUN=1,RIGHT(SGSet6,1),IF(LEN(SGSet6)&lt;9,MID(SGSet6,IF(LEN(SGSet6)=7,LEN(SGSet6)-4,LEN(SGSet6)-5),1),MID(SGSet6,LEN(SGSet6)-6,2)))))=A50,IF(SGSet7="--",0,VALUE(IF(NumSGLUN=1,RIGHT(SGSet7,1),IF(LEN(SGSet7)&lt;9,MID(SGSet7,IF(LEN(SGSet7)=7,LEN(SGSet7)-4,LEN(SGSet7)-5),1),MID(SGSet7,LEN(SGSet7)-6,2)))))=A50)=TRUE,"Full",IF(BackupFreq="Weekly Full / Daily Incremental","Incremental","Differential")))))</f>
        <v>Full</v>
      </c>
      <c r="C50" s="142" t="str">
        <f t="shared" si="2"/>
        <v>Incremental</v>
      </c>
      <c r="D50" s="369" t="str">
        <f t="shared" si="3"/>
        <v>Incremental</v>
      </c>
      <c r="E50" s="368" t="str">
        <f t="shared" si="4"/>
        <v>Incremental</v>
      </c>
      <c r="F50" s="369" t="str">
        <f t="shared" si="5"/>
        <v>Incremental</v>
      </c>
      <c r="G50" s="368" t="str">
        <f t="shared" si="6"/>
        <v>Incremental</v>
      </c>
      <c r="H50" s="368" t="str">
        <f t="shared" si="7"/>
        <v>Incremental</v>
      </c>
      <c r="I50" s="82"/>
      <c r="J50" s="90"/>
    </row>
    <row r="51" spans="1:10" ht="15">
      <c r="A51" s="415">
        <f>IF(SG&gt;=30,30,"--")</f>
        <v>30</v>
      </c>
      <c r="B51" s="142" t="str">
        <f>IF(A51="--","--",IF(BackupFreq="Daily Full","Full",IF(AND(NumSGLUN=1,$B50="Full"),IF(BackupFreq="Weekly Full / Daily Incremental","Incremental","Differential"),IF(OR(IF(SGSet1="--",0,VALUE(IF(NumSGLUN=1,RIGHT(SGSet1,1),MID(SGSet1,IF(LEN(SGSet1)=7,LEN(SGSet1)-4,LEN(SGSet1)-6),1))))=A51,IF(SGSet2="--",0,VALUE(IF(NumSGLUN=1,RIGHT(SGSet2,1),IF(LEN(SGSet2)&lt;9,MID(SGSet2,IF(LEN(SGSet2)=7,LEN(SGSet2)-4,LEN(SGSet2)-5),1),MID(SGSet2,LEN(SGSet2)-5,2)))))=A51,IF(SGSet3="--",0,VALUE(IF(NumSGLUN=1,RIGHT(SGSet3,1),IF(LEN(SGSet3)&lt;9,MID(SGSet3,IF(LEN(SGSet3)=7,LEN(SGSet3)-4,LEN(SGSet3)-5),1),MID(SGSet3,LEN(SGSet3)-6,2)))))=A51,IF(SGSet4="--",0,VALUE(IF(NumSGLUN=1,RIGHT(SGSet4,1),IF(LEN(SGSet4)&lt;9,MID(SGSet4,IF(LEN(SGSet4)=7,LEN(SGSet4)-4,LEN(SGSet4)-5),1),MID(SGSet4,LEN(SGSet4)-6,2)))))=A51,IF(SGSet5="--",0,VALUE(IF(NumSGLUN=1,RIGHT(SGSet5,1),IF(LEN(SGSet5)&lt;9,MID(SGSet5,IF(LEN(SGSet5)=7,LEN(SGSet5)-4,LEN(SGSet5)-5),1),MID(SGSet5,LEN(SGSet5)-6,2)))))=A51,IF(SGSet6="--",0,VALUE(IF(NumSGLUN=1,RIGHT(SGSet6,1),IF(LEN(SGSet6)&lt;9,MID(SGSet6,IF(LEN(SGSet6)=7,LEN(SGSet6)-4,LEN(SGSet6)-5),1),MID(SGSet6,LEN(SGSet6)-6,2)))))=A51,IF(SGSet7="--",0,VALUE(IF(NumSGLUN=1,RIGHT(SGSet7,1),IF(LEN(SGSet7)&lt;9,MID(SGSet7,IF(LEN(SGSet7)=7,LEN(SGSet7)-4,LEN(SGSet7)-5),1),MID(SGSet7,LEN(SGSet7)-6,2)))))=A51)=TRUE,"Full",IF(BackupFreq="Weekly Full / Daily Incremental","Incremental","Differential")))))</f>
        <v>Incremental</v>
      </c>
      <c r="C51" s="369" t="str">
        <f t="shared" si="2"/>
        <v>Full</v>
      </c>
      <c r="D51" s="369" t="str">
        <f t="shared" si="3"/>
        <v>Incremental</v>
      </c>
      <c r="E51" s="368" t="str">
        <f t="shared" si="4"/>
        <v>Incremental</v>
      </c>
      <c r="F51" s="369" t="str">
        <f t="shared" si="5"/>
        <v>Incremental</v>
      </c>
      <c r="G51" s="369" t="str">
        <f t="shared" si="6"/>
        <v>Incremental</v>
      </c>
      <c r="H51" s="369" t="str">
        <f t="shared" si="7"/>
        <v>Incremental</v>
      </c>
      <c r="I51" s="82"/>
      <c r="J51" s="90"/>
    </row>
    <row r="52" spans="1:10" ht="15">
      <c r="A52" s="415">
        <f>IF(SG&gt;=31,31,"--")</f>
        <v>31</v>
      </c>
      <c r="B52" s="369" t="str">
        <f>IF(A52="--","--",IF(BackupFreq="Daily Full","Full",IF(AND(NumSGLUN=1,OR($B51="Incremental",$B51="Differential")),IF(BackupFreq="Weekly Full / Daily Incremental","Incremental","Differential"),IF(OR(IF(SGSet1="--",0,VALUE(IF(NumSGLUN=1,RIGHT(SGSet1,1),MID(SGSet1,IF(LEN(SGSet1)=7,LEN(SGSet1)-4,LEN(SGSet1)-6),1))))=A52,IF(SGSet2="--",0,VALUE(IF(NumSGLUN=1,RIGHT(SGSet2,1),IF(LEN(SGSet2)&lt;9,MID(SGSet2,IF(LEN(SGSet2)=7,LEN(SGSet2)-4,LEN(SGSet2)-5),1),MID(SGSet2,LEN(SGSet2)-5,2)))))=A52,IF(SGSet3="--",0,VALUE(IF(NumSGLUN=1,RIGHT(SGSet3,1),IF(LEN(SGSet3)&lt;9,MID(SGSet3,IF(LEN(SGSet3)=7,LEN(SGSet3)-4,LEN(SGSet3)-5),1),MID(SGSet3,LEN(SGSet3)-6,2)))))=A52,IF(SGSet4="--",0,VALUE(IF(NumSGLUN=1,RIGHT(SGSet4,1),IF(LEN(SGSet4)&lt;9,MID(SGSet4,IF(LEN(SGSet4)=7,LEN(SGSet4)-4,LEN(SGSet4)-5),1),MID(SGSet4,LEN(SGSet4)-6,2)))))=A52,IF(SGSet5="--",0,VALUE(IF(NumSGLUN=1,RIGHT(SGSet5,1),IF(LEN(SGSet5)&lt;9,MID(SGSet5,IF(LEN(SGSet5)=7,LEN(SGSet5)-4,LEN(SGSet5)-5),1),MID(SGSet5,LEN(SGSet5)-6,2)))))=A52,IF(SGSet6="--",0,VALUE(IF(NumSGLUN=1,RIGHT(SGSet6,1),IF(LEN(SGSet6)&lt;9,MID(SGSet6,IF(LEN(SGSet6)=7,LEN(SGSet6)-4,LEN(SGSet6)-5),1),MID(SGSet6,LEN(SGSet6)-6,2)))))=A52,IF(SGSet7="--",0,VALUE(IF(NumSGLUN=1,RIGHT(SGSet7,1),IF(LEN(SGSet7)&lt;9,MID(SGSet7,IF(LEN(SGSet7)=7,LEN(SGSet7)-4,LEN(SGSet7)-5),1),MID(SGSet7,LEN(SGSet7)-6,2)))))=A52)=TRUE,"Full",IF(BackupFreq="Weekly Full / Daily Incremental","Incremental","Differential")))))</f>
        <v>Incremental</v>
      </c>
      <c r="C52" s="369" t="str">
        <f t="shared" si="2"/>
        <v>Incremental</v>
      </c>
      <c r="D52" s="369" t="str">
        <f t="shared" si="3"/>
        <v>Full</v>
      </c>
      <c r="E52" s="368" t="str">
        <f t="shared" si="4"/>
        <v>Incremental</v>
      </c>
      <c r="F52" s="369" t="str">
        <f t="shared" si="5"/>
        <v>Incremental</v>
      </c>
      <c r="G52" s="369" t="str">
        <f t="shared" si="6"/>
        <v>Incremental</v>
      </c>
      <c r="H52" s="369" t="str">
        <f t="shared" si="7"/>
        <v>Incremental</v>
      </c>
      <c r="I52" s="82"/>
      <c r="J52" s="90"/>
    </row>
    <row r="53" spans="1:10" ht="15">
      <c r="A53" s="415">
        <f>IF(SG&gt;=32,32,"--")</f>
        <v>32</v>
      </c>
      <c r="B53" s="414" t="str">
        <f>IF(A53="--","--",IF(BackupFreq="Daily Full","Full",IF(AND(NumSGLUN=1,OR($B52="Incremental",$B52="Differential")),IF(BackupFreq="Weekly Full / Daily Incremental","Incremental","Differential"),IF(OR(IF(SGSet1="--",0,VALUE(IF(NumSGLUN=1,RIGHT(SGSet1,1),MID(SGSet1,IF(LEN(SGSet1)=7,LEN(SGSet1)-4,LEN(SGSet1)-6),1))))=A53,IF(SGSet2="--",0,VALUE(IF(NumSGLUN=1,RIGHT(SGSet2,1),IF(LEN(SGSet2)&lt;9,MID(SGSet2,IF(LEN(SGSet2)=7,LEN(SGSet2)-4,LEN(SGSet2)-5),1),MID(SGSet2,LEN(SGSet2)-5,2)))))=A53,IF(SGSet3="--",0,VALUE(IF(NumSGLUN=1,RIGHT(SGSet3,1),IF(LEN(SGSet3)&lt;9,MID(SGSet3,IF(LEN(SGSet3)=7,LEN(SGSet3)-4,LEN(SGSet3)-5),1),MID(SGSet3,LEN(SGSet3)-6,2)))))=A53,IF(SGSet4="--",0,VALUE(IF(NumSGLUN=1,RIGHT(SGSet4,1),IF(LEN(SGSet4)&lt;9,MID(SGSet4,IF(LEN(SGSet4)=7,LEN(SGSet4)-4,LEN(SGSet4)-5),1),MID(SGSet4,LEN(SGSet4)-6,2)))))=A53,IF(SGSet5="--",0,VALUE(IF(NumSGLUN=1,RIGHT(SGSet5,1),IF(LEN(SGSet5)&lt;9,MID(SGSet5,IF(LEN(SGSet5)=7,LEN(SGSet5)-4,LEN(SGSet5)-5),1),MID(SGSet5,LEN(SGSet5)-6,2)))))=A53,IF(SGSet6="--",0,VALUE(IF(NumSGLUN=1,RIGHT(SGSet6,1),IF(LEN(SGSet6)&lt;9,MID(SGSet6,IF(LEN(SGSet6)=7,LEN(SGSet6)-4,LEN(SGSet6)-5),1),MID(SGSet6,LEN(SGSet6)-6,2)))))=A53,IF(SGSet7="--",0,VALUE(IF(NumSGLUN=1,RIGHT(SGSet7,1),IF(LEN(SGSet7)&lt;9,MID(SGSet7,IF(LEN(SGSet7)=7,LEN(SGSet7)-4,LEN(SGSet7)-5),1),MID(SGSet7,LEN(SGSet7)-6,2)))))=A53)=TRUE,"Full",IF(BackupFreq="Weekly Full / Daily Incremental","Incremental","Differential")))))</f>
        <v>Incremental</v>
      </c>
      <c r="C53" s="142" t="str">
        <f t="shared" si="2"/>
        <v>Incremental</v>
      </c>
      <c r="D53" s="369" t="str">
        <f t="shared" si="3"/>
        <v>Incremental</v>
      </c>
      <c r="E53" s="369" t="str">
        <f t="shared" si="4"/>
        <v>Full</v>
      </c>
      <c r="F53" s="142" t="str">
        <f t="shared" si="5"/>
        <v>Incremental</v>
      </c>
      <c r="G53" s="369" t="str">
        <f t="shared" si="6"/>
        <v>Incremental</v>
      </c>
      <c r="H53" s="369" t="str">
        <f t="shared" si="7"/>
        <v>Incremental</v>
      </c>
      <c r="I53" s="82"/>
      <c r="J53" s="90"/>
    </row>
    <row r="54" spans="1:10" ht="15">
      <c r="A54" s="416">
        <f>IF(SG&gt;=33,33,"--")</f>
        <v>33</v>
      </c>
      <c r="B54" s="142" t="str">
        <f>IF(A54="--","--",IF(BackupFreq="Daily Full","Full",IF(AND(NumSGLUN=1,OR($B53="Incremental",$B53="Differential")),IF(BackupFreq="Weekly Full / Daily Incremental","Incremental","Differential"),IF(OR(IF(SGSet1="--",0,VALUE(IF(NumSGLUN=1,RIGHT(SGSet1,1),MID(SGSet1,IF(LEN(SGSet1)=7,LEN(SGSet1)-4,LEN(SGSet1)-6),1))))=A54,IF(SGSet2="--",0,VALUE(IF(NumSGLUN=1,RIGHT(SGSet2,1),IF(LEN(SGSet2)&lt;9,MID(SGSet2,IF(LEN(SGSet2)=7,LEN(SGSet2)-4,LEN(SGSet2)-5),1),MID(SGSet2,LEN(SGSet2)-5,2)))))=A54,IF(SGSet3="--",0,VALUE(IF(NumSGLUN=1,RIGHT(SGSet3,1),IF(LEN(SGSet3)&lt;9,MID(SGSet3,IF(LEN(SGSet3)=7,LEN(SGSet3)-4,LEN(SGSet3)-5),1),MID(SGSet3,LEN(SGSet3)-6,2)))))=A54,IF(SGSet4="--",0,VALUE(IF(NumSGLUN=1,RIGHT(SGSet4,1),IF(LEN(SGSet4)&lt;9,MID(SGSet4,IF(LEN(SGSet4)=7,LEN(SGSet4)-4,LEN(SGSet4)-5),1),MID(SGSet4,LEN(SGSet4)-6,2)))))=A54,IF(SGSet5="--",0,VALUE(IF(NumSGLUN=1,RIGHT(SGSet5,1),IF(LEN(SGSet5)&lt;9,MID(SGSet5,IF(LEN(SGSet5)=7,LEN(SGSet5)-4,LEN(SGSet5)-5),1),MID(SGSet5,LEN(SGSet5)-6,2)))))=A54,IF(SGSet6="--",0,VALUE(IF(NumSGLUN=1,RIGHT(SGSet6,1),IF(LEN(SGSet6)&lt;9,MID(SGSet6,IF(LEN(SGSet6)=7,LEN(SGSet6)-4,LEN(SGSet6)-5),1),MID(SGSet6,LEN(SGSet6)-6,2)))))=A54,IF(SGSet7="--",0,VALUE(IF(NumSGLUN=1,RIGHT(SGSet7,1),IF(LEN(SGSet7)&lt;9,MID(SGSet7,IF(LEN(SGSet7)=7,LEN(SGSet7)-4,LEN(SGSet7)-5),1),MID(SGSet7,LEN(SGSet7)-6,2)))))=A54)=TRUE,"Full",IF(BackupFreq="Weekly Full / Daily Incremental","Incremental","Differential")))))</f>
        <v>Incremental</v>
      </c>
      <c r="C54" s="368" t="str">
        <f t="shared" si="2"/>
        <v>Incremental</v>
      </c>
      <c r="D54" s="369" t="str">
        <f t="shared" si="3"/>
        <v>Incremental</v>
      </c>
      <c r="E54" s="142" t="str">
        <f t="shared" si="4"/>
        <v>Incremental</v>
      </c>
      <c r="F54" s="369" t="str">
        <f t="shared" si="5"/>
        <v>Full</v>
      </c>
      <c r="G54" s="142" t="str">
        <f t="shared" si="6"/>
        <v>Incremental</v>
      </c>
      <c r="H54" s="142" t="str">
        <f t="shared" si="7"/>
        <v>Incremental</v>
      </c>
      <c r="I54" s="82"/>
      <c r="J54" s="90"/>
    </row>
    <row r="55" spans="1:10" ht="15">
      <c r="A55" s="270">
        <f>IF(SG&gt;=34,34,"--")</f>
        <v>34</v>
      </c>
      <c r="B55" s="369" t="str">
        <f>IF(A55="--","--",IF(BackupFreq="Daily Full","Full",IF(AND(NumSGLUN=1,OR($B54="Incremental",$B54="Differential")),IF(BackupFreq="Weekly Full / Daily Incremental","Incremental","Differential"),IF(OR(IF(SGSet1="--",0,VALUE(IF(NumSGLUN=1,RIGHT(SGSet1,1),MID(SGSet1,IF(LEN(SGSet1)=7,LEN(SGSet1)-4,LEN(SGSet1)-6),1))))=A55,IF(SGSet2="--",0,VALUE(IF(NumSGLUN=1,RIGHT(SGSet2,1),IF(LEN(SGSet2)&lt;9,MID(SGSet2,IF(LEN(SGSet2)=7,LEN(SGSet2)-4,LEN(SGSet2)-5),1),MID(SGSet2,LEN(SGSet2)-5,2)))))=A55,IF(SGSet3="--",0,VALUE(IF(NumSGLUN=1,RIGHT(SGSet3,1),IF(LEN(SGSet3)&lt;9,MID(SGSet3,IF(LEN(SGSet3)=7,LEN(SGSet3)-4,LEN(SGSet3)-5),1),MID(SGSet3,LEN(SGSet3)-6,2)))))=A55,IF(SGSet4="--",0,VALUE(IF(NumSGLUN=1,RIGHT(SGSet4,1),IF(LEN(SGSet4)&lt;9,MID(SGSet4,IF(LEN(SGSet4)=7,LEN(SGSet4)-4,LEN(SGSet4)-5),1),MID(SGSet4,LEN(SGSet4)-6,2)))))=A55,IF(SGSet5="--",0,VALUE(IF(NumSGLUN=1,RIGHT(SGSet5,1),IF(LEN(SGSet5)&lt;9,MID(SGSet5,IF(LEN(SGSet5)=7,LEN(SGSet5)-4,LEN(SGSet5)-5),1),MID(SGSet5,LEN(SGSet5)-6,2)))))=A55,IF(SGSet6="--",0,VALUE(IF(NumSGLUN=1,RIGHT(SGSet6,1),IF(LEN(SGSet6)&lt;9,MID(SGSet6,IF(LEN(SGSet6)=7,LEN(SGSet6)-4,LEN(SGSet6)-5),1),MID(SGSet6,LEN(SGSet6)-6,2)))))=A55,IF(SGSet7="--",0,VALUE(IF(NumSGLUN=1,RIGHT(SGSet7,1),IF(LEN(SGSet7)&lt;9,MID(SGSet7,IF(LEN(SGSet7)=7,LEN(SGSet7)-4,LEN(SGSet7)-5),1),MID(SGSet7,LEN(SGSet7)-6,2)))))=A55)=TRUE,"Full",IF(BackupFreq="Weekly Full / Daily Incremental","Incremental","Differential")))))</f>
        <v>Incremental</v>
      </c>
      <c r="C55" s="368" t="str">
        <f t="shared" ref="C55:C71" si="8">IF($A55="--","--",IF(BackupFreq="Daily Full","Full",IF(AND($B54="Full",ROW(C55)&lt;&gt;ROW($B54)),"Full",IF(BackupFreq="Weekly Full / Daily Incremental","Incremental","Differential"))))</f>
        <v>Incremental</v>
      </c>
      <c r="D55" s="369" t="str">
        <f t="shared" ref="D55:D71" si="9">IF($A55="--","--",IF(BackupFreq="Daily Full","Full",IF(AND(C55="Full",ROW(D55)=ROW(C55)),IF(BackupFreq="Weekly Full / Daily Incremental","Incremental","Differential"),IF(AND($C54="Full",ROW(D55)&lt;&gt;ROW($C54)),"Full",IF(BackupFreq="Weekly Full / Daily Incremental","Incremental","Differential")))))</f>
        <v>Incremental</v>
      </c>
      <c r="E55" s="368" t="str">
        <f t="shared" ref="E55:E71" si="10">IF($A55="--","--",IF(BackupFreq="Daily Full","Full",IF(ISNA(MATCH("Full",A55:D55,0))=FALSE,IF(BackupFreq="Weekly Full / Daily Incremental","Incremental","Differential"),IF(AND(D55="Full",ROW(E55)=ROW(D55)),IF(BackupFreq="Weekly Full / Daily Incremental","Incremental","Differential"),IF(AND($D54="Full",ROW(E55)&lt;&gt;ROW($D54)),"Full",IF(BackupFreq="Weekly Full / Daily Incremental","Incremental","Differential"))))))</f>
        <v>Incremental</v>
      </c>
      <c r="F55" s="369" t="str">
        <f t="shared" ref="F55:F71" si="11">IF($A55="--","--",IF(BackupFreq="Daily Full","Full",IF(ISNA(MATCH("Full",B55:E55,0))=FALSE,IF(BackupFreq="Weekly Full / Daily Incremental","Incremental","Differential"),IF(AND(E55="Full",ROW(F55)=ROW(E55)),IF(BackupFreq="Weekly Full / Daily Incremental","Incremental","Differential"),IF(AND($E54="Full",ROW(F55)&lt;&gt;ROW($E54)),"Full",IF(BackupFreq="Weekly Full / Daily Incremental","Incremental","Differential"))))))</f>
        <v>Incremental</v>
      </c>
      <c r="G55" s="368" t="str">
        <f t="shared" ref="G55:G71" si="12">IF($A55="--","--",IF(BackupFreq="Daily Full","Full",IF(ISNA(MATCH("Full",B55:F55,0))=FALSE,IF(BackupFreq="Weekly Full / Daily Incremental","Incremental","Differential"),IF(AND(F55="Full",ROW(G55)=ROW(F55)),IF(BackupFreq="Weekly Full / Daily Incremental","Incremental","Differential"),IF(AND($F54="Full",ROW(G55)&lt;&gt;ROW($F54)),"Full",IF(BackupFreq="Weekly Full / Daily Incremental","Incremental","Differential"))))))</f>
        <v>Full</v>
      </c>
      <c r="H55" s="368" t="str">
        <f t="shared" ref="H55:H71" si="13">IF($A55="--","--",IF(BackupFreq="Daily Full","Full",IF(ISNA(MATCH("Full",B55:G55,0))=FALSE,IF(BackupFreq="Weekly Full / Daily Incremental","Incremental","Differential"),IF(AND(G55="Full",ROW(H55)=ROW(G55)),IF(BackupFreq="Weekly Full / Daily Incremental","Incremental","Differential"),IF(AND($G54="Full",ROW(H55)&lt;&gt;ROW($G54)),"Full",IF(BackupFreq="Weekly Full / Daily Incremental","Incremental","Differential"))))))</f>
        <v>Incremental</v>
      </c>
      <c r="I55" s="82"/>
      <c r="J55" s="90"/>
    </row>
    <row r="56" spans="1:10" ht="15">
      <c r="A56" s="416">
        <f>IF(SG&gt;=35,35,"--")</f>
        <v>35</v>
      </c>
      <c r="B56" s="369" t="str">
        <f>IF(A56="--","--",IF(BackupFreq="Daily Full","Full",IF(AND(NumSGLUN=1,OR($B55="Incremental",$B55="Differential")),IF(BackupFreq="Weekly Full / Daily Incremental","Incremental","Differential"),IF(OR(IF(SGSet1="--",0,VALUE(IF(NumSGLUN=1,RIGHT(SGSet1,1),MID(SGSet1,IF(LEN(SGSet1)=7,LEN(SGSet1)-4,LEN(SGSet1)-6),1))))=A56,IF(SGSet2="--",0,VALUE(IF(NumSGLUN=1,RIGHT(SGSet2,1),IF(LEN(SGSet2)&lt;9,MID(SGSet2,IF(LEN(SGSet2)=7,LEN(SGSet2)-4,LEN(SGSet2)-5),1),MID(SGSet2,LEN(SGSet2)-5,2)))))=A56,IF(SGSet3="--",0,VALUE(IF(NumSGLUN=1,RIGHT(SGSet3,1),IF(LEN(SGSet3)&lt;9,MID(SGSet3,IF(LEN(SGSet3)=7,LEN(SGSet3)-4,LEN(SGSet3)-5),1),MID(SGSet3,LEN(SGSet3)-6,2)))))=A56,IF(SGSet4="--",0,VALUE(IF(NumSGLUN=1,RIGHT(SGSet4,1),IF(LEN(SGSet4)&lt;9,MID(SGSet4,IF(LEN(SGSet4)=7,LEN(SGSet4)-4,LEN(SGSet4)-5),1),MID(SGSet4,LEN(SGSet4)-6,2)))))=A56,IF(SGSet5="--",0,VALUE(IF(NumSGLUN=1,RIGHT(SGSet5,1),IF(LEN(SGSet5)&lt;9,MID(SGSet5,IF(LEN(SGSet5)=7,LEN(SGSet5)-4,LEN(SGSet5)-5),1),MID(SGSet5,LEN(SGSet5)-6,2)))))=A56,IF(SGSet6="--",0,VALUE(IF(NumSGLUN=1,RIGHT(SGSet6,1),IF(LEN(SGSet6)&lt;9,MID(SGSet6,IF(LEN(SGSet6)=7,LEN(SGSet6)-4,LEN(SGSet6)-5),1),MID(SGSet6,LEN(SGSet6)-6,2)))))=A56,IF(SGSet7="--",0,VALUE(IF(NumSGLUN=1,RIGHT(SGSet7,1),IF(LEN(SGSet7)&lt;9,MID(SGSet7,IF(LEN(SGSet7)=7,LEN(SGSet7)-4,LEN(SGSet7)-5),1),MID(SGSet7,LEN(SGSet7)-6,2)))))=A56)=TRUE,"Full",IF(BackupFreq="Weekly Full / Daily Incremental","Incremental","Differential")))))</f>
        <v>Incremental</v>
      </c>
      <c r="C56" s="369" t="str">
        <f t="shared" si="8"/>
        <v>Incremental</v>
      </c>
      <c r="D56" s="369" t="str">
        <f t="shared" si="9"/>
        <v>Incremental</v>
      </c>
      <c r="E56" s="368" t="str">
        <f t="shared" si="10"/>
        <v>Incremental</v>
      </c>
      <c r="F56" s="369" t="str">
        <f t="shared" si="11"/>
        <v>Incremental</v>
      </c>
      <c r="G56" s="368" t="str">
        <f t="shared" si="12"/>
        <v>Incremental</v>
      </c>
      <c r="H56" s="368" t="str">
        <f t="shared" si="13"/>
        <v>Full</v>
      </c>
      <c r="I56" s="82"/>
      <c r="J56" s="90"/>
    </row>
    <row r="57" spans="1:10" ht="15">
      <c r="A57" s="416">
        <f>IF(SG&gt;=36,36,"--")</f>
        <v>36</v>
      </c>
      <c r="B57" s="414" t="str">
        <f>IF(A57="--","--",IF(BackupFreq="Daily Full","Full",IF(BackupMethod="Hardware VSS Backup/Restore",IF(IF(LEN('LUN Requirements'!G106)=3,VALUE(RIGHT('LUN Requirements'!G106,1)),VALUE(RIGHT('LUN Requirements'!G106,2)))=A57,"Full","Incremental/Differential"),IF(OR(IF(SGSet1="--",0,VALUE(IF(NumSGLUN=1,RIGHT(SGSet1,1),MID(SGSet1,IF(LEN(SGSet1)=7,LEN(SGSet1)-4,LEN(SGSet1)-6),1))))=A57,IF(SGSet2="--",0,VALUE(IF(NumSGLUN=1,RIGHT(SGSet2,1),IF(LEN(SGSet2)&lt;9,MID(SGSet2,IF(LEN(SGSet2)=7,LEN(SGSet2)-4,LEN(SGSet2)-5),1),MID(SGSet2,LEN(SGSet2)-5,2)))))=A57,IF(SGSet3="--",0,VALUE(IF(NumSGLUN=1,RIGHT(SGSet3,1),IF(LEN(SGSet3)&lt;9,MID(SGSet3,IF(LEN(SGSet3)=7,LEN(SGSet3)-4,LEN(SGSet3)-5),1),MID(SGSet3,LEN(SGSet3)-6,2)))))=A57,IF(SGSet4="--",0,VALUE(IF(NumSGLUN=1,RIGHT(SGSet4,1),IF(LEN(SGSet4)&lt;9,MID(SGSet4,IF(LEN(SGSet4)=7,LEN(SGSet4)-4,LEN(SGSet4)-5),1),MID(SGSet4,LEN(SGSet4)-6,2)))))=A57,IF(SGSet5="--",0,VALUE(IF(NumSGLUN=1,RIGHT(SGSet5,1),IF(LEN(SGSet5)&lt;9,MID(SGSet5,IF(LEN(SGSet5)=7,LEN(SGSet5)-4,LEN(SGSet5)-5),1),MID(SGSet5,LEN(SGSet5)-6,2)))))=A57,IF(SGSet6="--",0,VALUE(IF(NumSGLUN=1,RIGHT(SGSet6,1),IF(LEN(SGSet6)&lt;9,MID(SGSet6,IF(LEN(SGSet6)=7,LEN(SGSet6)-4,LEN(SGSet6)-5),1),MID(SGSet6,LEN(SGSet6)-6,2)))))=A57,IF(SGSet7="--",0,VALUE(IF(NumSGLUN=1,RIGHT(SGSet7,1),IF(LEN(SGSet7)&lt;9,MID(SGSet7,IF(LEN(SGSet7)=7,LEN(SGSet7)-4,LEN(SGSet7)-5),1),MID(SGSet7,LEN(SGSet7)-6,2)))))=A57)=TRUE,"Full",IF(BackupFreq="Weekly Full / Daily Incremental","Incremental","Differential")))))</f>
        <v>Full</v>
      </c>
      <c r="C57" s="369" t="str">
        <f t="shared" si="8"/>
        <v>Incremental</v>
      </c>
      <c r="D57" s="414" t="str">
        <f t="shared" si="9"/>
        <v>Incremental</v>
      </c>
      <c r="E57" s="368" t="str">
        <f t="shared" si="10"/>
        <v>Incremental</v>
      </c>
      <c r="F57" s="414" t="str">
        <f t="shared" si="11"/>
        <v>Incremental</v>
      </c>
      <c r="G57" s="369" t="str">
        <f t="shared" si="12"/>
        <v>Incremental</v>
      </c>
      <c r="H57" s="369" t="str">
        <f t="shared" si="13"/>
        <v>Incremental</v>
      </c>
      <c r="I57" s="82"/>
      <c r="J57" s="90"/>
    </row>
    <row r="58" spans="1:10" ht="15">
      <c r="A58" s="270">
        <f>IF(SG&gt;=37,37,"--")</f>
        <v>37</v>
      </c>
      <c r="B58" s="414" t="str">
        <f>IF(A58="--","--",IF(BackupFreq="Daily Full","Full",IF(AND(NumSGLUN=1,$B57="Full"),IF(BackupFreq="Weekly Full / Daily Incremental","Incremental","Differential"),IF(OR(IF(SGSet1="--",0,VALUE(IF(NumSGLUN=1,RIGHT(SGSet1,1),MID(SGSet1,IF(LEN(SGSet1)=7,LEN(SGSet1)-4,LEN(SGSet1)-6),1))))=A58,IF(SGSet2="--",0,VALUE(IF(NumSGLUN=1,RIGHT(SGSet2,1),IF(LEN(SGSet2)&lt;9,MID(SGSet2,IF(LEN(SGSet2)=7,LEN(SGSet2)-4,LEN(SGSet2)-5),1),MID(SGSet2,LEN(SGSet2)-5,2)))))=A58,IF(SGSet3="--",0,VALUE(IF(NumSGLUN=1,RIGHT(SGSet3,1),IF(LEN(SGSet3)&lt;9,MID(SGSet3,IF(LEN(SGSet3)=7,LEN(SGSet3)-4,LEN(SGSet3)-5),1),MID(SGSet3,LEN(SGSet3)-6,2)))))=A58,IF(SGSet4="--",0,VALUE(IF(NumSGLUN=1,RIGHT(SGSet4,1),IF(LEN(SGSet4)&lt;9,MID(SGSet4,IF(LEN(SGSet4)=7,LEN(SGSet4)-4,LEN(SGSet4)-5),1),MID(SGSet4,LEN(SGSet4)-6,2)))))=A58,IF(SGSet5="--",0,VALUE(IF(NumSGLUN=1,RIGHT(SGSet5,1),IF(LEN(SGSet5)&lt;9,MID(SGSet5,IF(LEN(SGSet5)=7,LEN(SGSet5)-4,LEN(SGSet5)-5),1),MID(SGSet5,LEN(SGSet5)-6,2)))))=A58,IF(SGSet6="--",0,VALUE(IF(NumSGLUN=1,RIGHT(SGSet6,1),IF(LEN(SGSet6)&lt;9,MID(SGSet6,IF(LEN(SGSet6)=7,LEN(SGSet6)-4,LEN(SGSet6)-5),1),MID(SGSet6,LEN(SGSet6)-6,2)))))=A58,IF(SGSet7="--",0,VALUE(IF(NumSGLUN=1,RIGHT(SGSet7,1),IF(LEN(SGSet7)&lt;9,MID(SGSet7,IF(LEN(SGSet7)=7,LEN(SGSet7)-4,LEN(SGSet7)-5),1),MID(SGSet7,LEN(SGSet7)-6,2)))))=A58)=TRUE,"Full",IF(BackupFreq="Weekly Full / Daily Incremental","Incremental","Differential")))))</f>
        <v>Incremental</v>
      </c>
      <c r="C58" s="142" t="str">
        <f t="shared" si="8"/>
        <v>Full</v>
      </c>
      <c r="D58" s="142" t="str">
        <f t="shared" si="9"/>
        <v>Incremental</v>
      </c>
      <c r="E58" s="368" t="str">
        <f t="shared" si="10"/>
        <v>Incremental</v>
      </c>
      <c r="F58" s="142" t="str">
        <f t="shared" si="11"/>
        <v>Incremental</v>
      </c>
      <c r="G58" s="369" t="str">
        <f t="shared" si="12"/>
        <v>Incremental</v>
      </c>
      <c r="H58" s="369" t="str">
        <f t="shared" si="13"/>
        <v>Incremental</v>
      </c>
      <c r="I58" s="82"/>
      <c r="J58" s="90"/>
    </row>
    <row r="59" spans="1:10" ht="15">
      <c r="A59" s="416">
        <f>IF(SG&gt;=38,38,"--")</f>
        <v>38</v>
      </c>
      <c r="B59" s="414" t="str">
        <f>IF(A59="--","--",IF(BackupFreq="Daily Full","Full",IF(AND(NumSGLUN=1,OR($B58="Incremental",$B58="Differential")),IF(BackupFreq="Weekly Full / Daily Incremental","Incremental","Differential"),IF(OR(IF(SGSet1="--",0,VALUE(IF(NumSGLUN=1,RIGHT(SGSet1,1),MID(SGSet1,IF(LEN(SGSet1)=7,LEN(SGSet1)-4,LEN(SGSet1)-6),1))))=A59,IF(SGSet2="--",0,VALUE(IF(NumSGLUN=1,RIGHT(SGSet2,1),IF(LEN(SGSet2)&lt;9,MID(SGSet2,IF(LEN(SGSet2)=7,LEN(SGSet2)-4,LEN(SGSet2)-5),1),MID(SGSet2,LEN(SGSet2)-5,2)))))=A59,IF(SGSet3="--",0,VALUE(IF(NumSGLUN=1,RIGHT(SGSet3,1),IF(LEN(SGSet3)&lt;9,MID(SGSet3,IF(LEN(SGSet3)=7,LEN(SGSet3)-4,LEN(SGSet3)-5),1),MID(SGSet3,LEN(SGSet3)-6,2)))))=A59,IF(SGSet4="--",0,VALUE(IF(NumSGLUN=1,RIGHT(SGSet4,1),IF(LEN(SGSet4)&lt;9,MID(SGSet4,IF(LEN(SGSet4)=7,LEN(SGSet4)-4,LEN(SGSet4)-5),1),MID(SGSet4,LEN(SGSet4)-6,2)))))=A59,IF(SGSet5="--",0,VALUE(IF(NumSGLUN=1,RIGHT(SGSet5,1),IF(LEN(SGSet5)&lt;9,MID(SGSet5,IF(LEN(SGSet5)=7,LEN(SGSet5)-4,LEN(SGSet5)-5),1),MID(SGSet5,LEN(SGSet5)-6,2)))))=A59,IF(SGSet6="--",0,VALUE(IF(NumSGLUN=1,RIGHT(SGSet6,1),IF(LEN(SGSet6)&lt;9,MID(SGSet6,IF(LEN(SGSet6)=7,LEN(SGSet6)-4,LEN(SGSet6)-5),1),MID(SGSet6,LEN(SGSet6)-6,2)))))=A59,IF(SGSet7="--",0,VALUE(IF(NumSGLUN=1,RIGHT(SGSet7,1),IF(LEN(SGSet7)&lt;9,MID(SGSet7,IF(LEN(SGSet7)=7,LEN(SGSet7)-4,LEN(SGSet7)-5),1),MID(SGSet7,LEN(SGSet7)-6,2)))))=A59)=TRUE,"Full",IF(BackupFreq="Weekly Full / Daily Incremental","Incremental","Differential")))))</f>
        <v>Incremental</v>
      </c>
      <c r="C59" s="369" t="str">
        <f t="shared" si="8"/>
        <v>Incremental</v>
      </c>
      <c r="D59" s="369" t="str">
        <f t="shared" si="9"/>
        <v>Full</v>
      </c>
      <c r="E59" s="369" t="str">
        <f t="shared" si="10"/>
        <v>Incremental</v>
      </c>
      <c r="F59" s="369" t="str">
        <f t="shared" si="11"/>
        <v>Incremental</v>
      </c>
      <c r="G59" s="369" t="str">
        <f t="shared" si="12"/>
        <v>Incremental</v>
      </c>
      <c r="H59" s="369" t="str">
        <f t="shared" si="13"/>
        <v>Incremental</v>
      </c>
      <c r="I59" s="82"/>
      <c r="J59" s="90"/>
    </row>
    <row r="60" spans="1:10" ht="15">
      <c r="A60" s="270">
        <f>IF(SG&gt;=39,39,"--")</f>
        <v>39</v>
      </c>
      <c r="B60" s="414" t="str">
        <f>IF(A60="--","--",IF(BackupFreq="Daily Full","Full",IF(AND(NumSGLUN=1,OR($B59="Incremental",$B59="Differential")),IF(BackupFreq="Weekly Full / Daily Incremental","Incremental","Differential"),IF(OR(IF(SGSet1="--",0,VALUE(IF(NumSGLUN=1,RIGHT(SGSet1,1),MID(SGSet1,IF(LEN(SGSet1)=7,LEN(SGSet1)-4,LEN(SGSet1)-6),1))))=A60,IF(SGSet2="--",0,VALUE(IF(NumSGLUN=1,RIGHT(SGSet2,1),IF(LEN(SGSet2)&lt;9,MID(SGSet2,IF(LEN(SGSet2)=7,LEN(SGSet2)-4,LEN(SGSet2)-5),1),MID(SGSet2,LEN(SGSet2)-5,2)))))=A60,IF(SGSet3="--",0,VALUE(IF(NumSGLUN=1,RIGHT(SGSet3,1),IF(LEN(SGSet3)&lt;9,MID(SGSet3,IF(LEN(SGSet3)=7,LEN(SGSet3)-4,LEN(SGSet3)-5),1),MID(SGSet3,LEN(SGSet3)-6,2)))))=A60,IF(SGSet4="--",0,VALUE(IF(NumSGLUN=1,RIGHT(SGSet4,1),IF(LEN(SGSet4)&lt;9,MID(SGSet4,IF(LEN(SGSet4)=7,LEN(SGSet4)-4,LEN(SGSet4)-5),1),MID(SGSet4,LEN(SGSet4)-6,2)))))=A60,IF(SGSet5="--",0,VALUE(IF(NumSGLUN=1,RIGHT(SGSet5,1),IF(LEN(SGSet5)&lt;9,MID(SGSet5,IF(LEN(SGSet5)=7,LEN(SGSet5)-4,LEN(SGSet5)-5),1),MID(SGSet5,LEN(SGSet5)-6,2)))))=A60,IF(SGSet6="--",0,VALUE(IF(NumSGLUN=1,RIGHT(SGSet6,1),IF(LEN(SGSet6)&lt;9,MID(SGSet6,IF(LEN(SGSet6)=7,LEN(SGSet6)-4,LEN(SGSet6)-5),1),MID(SGSet6,LEN(SGSet6)-6,2)))))=A60,IF(SGSet7="--",0,VALUE(IF(NumSGLUN=1,RIGHT(SGSet7,1),IF(LEN(SGSet7)&lt;9,MID(SGSet7,IF(LEN(SGSet7)=7,LEN(SGSet7)-4,LEN(SGSet7)-5),1),MID(SGSet7,LEN(SGSet7)-6,2)))))=A60)=TRUE,"Full",IF(BackupFreq="Weekly Full / Daily Incremental","Incremental","Differential")))))</f>
        <v>Incremental</v>
      </c>
      <c r="C60" s="142" t="str">
        <f t="shared" si="8"/>
        <v>Incremental</v>
      </c>
      <c r="D60" s="369" t="str">
        <f t="shared" si="9"/>
        <v>Incremental</v>
      </c>
      <c r="E60" s="142" t="str">
        <f t="shared" si="10"/>
        <v>Full</v>
      </c>
      <c r="F60" s="369" t="str">
        <f t="shared" si="11"/>
        <v>Incremental</v>
      </c>
      <c r="G60" s="142" t="str">
        <f t="shared" si="12"/>
        <v>Incremental</v>
      </c>
      <c r="H60" s="142" t="str">
        <f t="shared" si="13"/>
        <v>Incremental</v>
      </c>
      <c r="I60" s="82"/>
      <c r="J60" s="90"/>
    </row>
    <row r="61" spans="1:10" ht="15">
      <c r="A61" s="416">
        <f>IF(SG&gt;=40,40,"--")</f>
        <v>40</v>
      </c>
      <c r="B61" s="142" t="str">
        <f>IF(A61="--","--",IF(BackupFreq="Daily Full","Full",IF(AND(NumSGLUN=1,OR($B60="Incremental",$B60="Differential")),IF(BackupFreq="Weekly Full / Daily Incremental","Incremental","Differential"),IF(OR(IF(SGSet1="--",0,VALUE(IF(NumSGLUN=1,RIGHT(SGSet1,1),MID(SGSet1,IF(LEN(SGSet1)=7,LEN(SGSet1)-4,LEN(SGSet1)-6),1))))=A61,IF(SGSet2="--",0,VALUE(IF(NumSGLUN=1,RIGHT(SGSet2,1),IF(LEN(SGSet2)&lt;9,MID(SGSet2,IF(LEN(SGSet2)=7,LEN(SGSet2)-4,LEN(SGSet2)-5),1),MID(SGSet2,LEN(SGSet2)-5,2)))))=A61,IF(SGSet3="--",0,VALUE(IF(NumSGLUN=1,RIGHT(SGSet3,1),IF(LEN(SGSet3)&lt;9,MID(SGSet3,IF(LEN(SGSet3)=7,LEN(SGSet3)-4,LEN(SGSet3)-5),1),MID(SGSet3,LEN(SGSet3)-6,2)))))=A61,IF(SGSet4="--",0,VALUE(IF(NumSGLUN=1,RIGHT(SGSet4,1),IF(LEN(SGSet4)&lt;9,MID(SGSet4,IF(LEN(SGSet4)=7,LEN(SGSet4)-4,LEN(SGSet4)-5),1),MID(SGSet4,LEN(SGSet4)-6,2)))))=A61,IF(SGSet5="--",0,VALUE(IF(NumSGLUN=1,RIGHT(SGSet5,1),IF(LEN(SGSet5)&lt;9,MID(SGSet5,IF(LEN(SGSet5)=7,LEN(SGSet5)-4,LEN(SGSet5)-5),1),MID(SGSet5,LEN(SGSet5)-6,2)))))=A61,IF(SGSet6="--",0,VALUE(IF(NumSGLUN=1,RIGHT(SGSet6,1),IF(LEN(SGSet6)&lt;9,MID(SGSet6,IF(LEN(SGSet6)=7,LEN(SGSet6)-4,LEN(SGSet6)-5),1),MID(SGSet6,LEN(SGSet6)-6,2)))))=A61,IF(SGSet7="--",0,VALUE(IF(NumSGLUN=1,RIGHT(SGSet7,1),IF(LEN(SGSet7)&lt;9,MID(SGSet7,IF(LEN(SGSet7)=7,LEN(SGSet7)-4,LEN(SGSet7)-5),1),MID(SGSet7,LEN(SGSet7)-6,2)))))=A61)=TRUE,"Full",IF(BackupFreq="Weekly Full / Daily Incremental","Incremental","Differential")))))</f>
        <v>Incremental</v>
      </c>
      <c r="C61" s="369" t="str">
        <f t="shared" si="8"/>
        <v>Incremental</v>
      </c>
      <c r="D61" s="369" t="str">
        <f t="shared" si="9"/>
        <v>Incremental</v>
      </c>
      <c r="E61" s="368" t="str">
        <f t="shared" si="10"/>
        <v>Incremental</v>
      </c>
      <c r="F61" s="414" t="str">
        <f t="shared" si="11"/>
        <v>Full</v>
      </c>
      <c r="G61" s="368" t="str">
        <f t="shared" si="12"/>
        <v>Incremental</v>
      </c>
      <c r="H61" s="368" t="str">
        <f t="shared" si="13"/>
        <v>Incremental</v>
      </c>
      <c r="I61" s="82"/>
      <c r="J61" s="90"/>
    </row>
    <row r="62" spans="1:10" ht="15">
      <c r="A62" s="416">
        <f>IF(SG&gt;=41,41,"--")</f>
        <v>41</v>
      </c>
      <c r="B62" s="369" t="str">
        <f>IF(A62="--","--",IF(BackupFreq="Daily Full","Full",IF(AND(NumSGLUN=1,OR($B61="Incremental",$B61="Differential")),IF(BackupFreq="Weekly Full / Daily Incremental","Incremental","Differential"),IF(OR(IF(SGSet1="--",0,VALUE(IF(NumSGLUN=1,RIGHT(SGSet1,1),MID(SGSet1,IF(LEN(SGSet1)=7,LEN(SGSet1)-4,LEN(SGSet1)-6),1))))=A62,IF(SGSet2="--",0,VALUE(IF(NumSGLUN=1,RIGHT(SGSet2,1),IF(LEN(SGSet2)&lt;9,MID(SGSet2,IF(LEN(SGSet2)=7,LEN(SGSet2)-4,LEN(SGSet2)-5),1),MID(SGSet2,LEN(SGSet2)-5,2)))))=A62,IF(SGSet3="--",0,VALUE(IF(NumSGLUN=1,RIGHT(SGSet3,1),IF(LEN(SGSet3)&lt;9,MID(SGSet3,IF(LEN(SGSet3)=7,LEN(SGSet3)-4,LEN(SGSet3)-5),1),MID(SGSet3,LEN(SGSet3)-6,2)))))=A62,IF(SGSet4="--",0,VALUE(IF(NumSGLUN=1,RIGHT(SGSet4,1),IF(LEN(SGSet4)&lt;9,MID(SGSet4,IF(LEN(SGSet4)=7,LEN(SGSet4)-4,LEN(SGSet4)-5),1),MID(SGSet4,LEN(SGSet4)-6,2)))))=A62,IF(SGSet5="--",0,VALUE(IF(NumSGLUN=1,RIGHT(SGSet5,1),IF(LEN(SGSet5)&lt;9,MID(SGSet5,IF(LEN(SGSet5)=7,LEN(SGSet5)-4,LEN(SGSet5)-5),1),MID(SGSet5,LEN(SGSet5)-6,2)))))=A62,IF(SGSet6="--",0,VALUE(IF(NumSGLUN=1,RIGHT(SGSet6,1),IF(LEN(SGSet6)&lt;9,MID(SGSet6,IF(LEN(SGSet6)=7,LEN(SGSet6)-4,LEN(SGSet6)-5),1),MID(SGSet6,LEN(SGSet6)-6,2)))))=A62,IF(SGSet7="--",0,VALUE(IF(NumSGLUN=1,RIGHT(SGSet7,1),IF(LEN(SGSet7)&lt;9,MID(SGSet7,IF(LEN(SGSet7)=7,LEN(SGSet7)-4,LEN(SGSet7)-5),1),MID(SGSet7,LEN(SGSet7)-6,2)))))=A62)=TRUE,"Full",IF(BackupFreq="Weekly Full / Daily Incremental","Incremental","Differential")))))</f>
        <v>Incremental</v>
      </c>
      <c r="C62" s="142" t="str">
        <f t="shared" si="8"/>
        <v>Incremental</v>
      </c>
      <c r="D62" s="369" t="str">
        <f t="shared" si="9"/>
        <v>Incremental</v>
      </c>
      <c r="E62" s="368" t="str">
        <f t="shared" si="10"/>
        <v>Incremental</v>
      </c>
      <c r="F62" s="142" t="str">
        <f t="shared" si="11"/>
        <v>Incremental</v>
      </c>
      <c r="G62" s="368" t="str">
        <f t="shared" si="12"/>
        <v>Full</v>
      </c>
      <c r="H62" s="368" t="str">
        <f t="shared" si="13"/>
        <v>Incremental</v>
      </c>
      <c r="I62" s="82"/>
      <c r="J62" s="90"/>
    </row>
    <row r="63" spans="1:10" ht="15">
      <c r="A63" s="416">
        <f>IF(SG&gt;=42,42,"--")</f>
        <v>42</v>
      </c>
      <c r="B63" s="142" t="str">
        <f>IF(A63="--","--",IF(BackupFreq="Daily Full","Full",IF(AND(NumSGLUN=1,OR($B62="Incremental",$B62="Differential")),IF(BackupFreq="Weekly Full / Daily Incremental","Incremental","Differential"),IF(OR(IF(SGSet1="--",0,VALUE(IF(NumSGLUN=1,RIGHT(SGSet1,1),MID(SGSet1,IF(LEN(SGSet1)=7,LEN(SGSet1)-4,LEN(SGSet1)-6),1))))=A63,IF(SGSet2="--",0,VALUE(IF(NumSGLUN=1,RIGHT(SGSet2,1),IF(LEN(SGSet2)&lt;9,MID(SGSet2,IF(LEN(SGSet2)=7,LEN(SGSet2)-4,LEN(SGSet2)-5),1),MID(SGSet2,LEN(SGSet2)-5,2)))))=A63,IF(SGSet3="--",0,VALUE(IF(NumSGLUN=1,RIGHT(SGSet3,1),IF(LEN(SGSet3)&lt;9,MID(SGSet3,IF(LEN(SGSet3)=7,LEN(SGSet3)-4,LEN(SGSet3)-5),1),MID(SGSet3,LEN(SGSet3)-6,2)))))=A63,IF(SGSet4="--",0,VALUE(IF(NumSGLUN=1,RIGHT(SGSet4,1),IF(LEN(SGSet4)&lt;9,MID(SGSet4,IF(LEN(SGSet4)=7,LEN(SGSet4)-4,LEN(SGSet4)-5),1),MID(SGSet4,LEN(SGSet4)-6,2)))))=A63,IF(SGSet5="--",0,VALUE(IF(NumSGLUN=1,RIGHT(SGSet5,1),IF(LEN(SGSet5)&lt;9,MID(SGSet5,IF(LEN(SGSet5)=7,LEN(SGSet5)-4,LEN(SGSet5)-5),1),MID(SGSet5,LEN(SGSet5)-6,2)))))=A63,IF(SGSet6="--",0,VALUE(IF(NumSGLUN=1,RIGHT(SGSet6,1),IF(LEN(SGSet6)&lt;9,MID(SGSet6,IF(LEN(SGSet6)=7,LEN(SGSet6)-4,LEN(SGSet6)-5),1),MID(SGSet6,LEN(SGSet6)-6,2)))))=A63,IF(SGSet7="--",0,VALUE(IF(NumSGLUN=1,RIGHT(SGSet7,1),IF(LEN(SGSet7)&lt;9,MID(SGSet7,IF(LEN(SGSet7)=7,LEN(SGSet7)-4,LEN(SGSet7)-5),1),MID(SGSet7,LEN(SGSet7)-6,2)))))=A63)=TRUE,"Full",IF(BackupFreq="Weekly Full / Daily Incremental","Incremental","Differential")))))</f>
        <v>Incremental</v>
      </c>
      <c r="C63" s="369" t="str">
        <f t="shared" si="8"/>
        <v>Incremental</v>
      </c>
      <c r="D63" s="369" t="str">
        <f t="shared" si="9"/>
        <v>Incremental</v>
      </c>
      <c r="E63" s="368" t="str">
        <f t="shared" si="10"/>
        <v>Incremental</v>
      </c>
      <c r="F63" s="369" t="str">
        <f t="shared" si="11"/>
        <v>Incremental</v>
      </c>
      <c r="G63" s="369" t="str">
        <f t="shared" si="12"/>
        <v>Incremental</v>
      </c>
      <c r="H63" s="369" t="str">
        <f t="shared" si="13"/>
        <v>Full</v>
      </c>
      <c r="I63" s="82"/>
      <c r="J63" s="90"/>
    </row>
    <row r="64" spans="1:10" ht="15">
      <c r="A64" s="416" t="str">
        <f>IF(SG&gt;=43,43,"--")</f>
        <v>--</v>
      </c>
      <c r="B64" s="369" t="str">
        <f>IF(A64="--","--",IF(BackupFreq="Daily Full","Full",IF(BackupMethod="Hardware VSS Backup/Restore",IF(IF(LEN('LUN Requirements'!G113)=3,VALUE(RIGHT('LUN Requirements'!G113,1)),VALUE(RIGHT('LUN Requirements'!G113,2)))=A64,"Full","Incremental/Differential"),IF(OR(IF(SGSet1="--",0,VALUE(IF(NumSGLUN=1,RIGHT(SGSet1,1),MID(SGSet1,IF(LEN(SGSet1)=7,LEN(SGSet1)-4,LEN(SGSet1)-6),1))))=A64,IF(SGSet2="--",0,VALUE(IF(NumSGLUN=1,RIGHT(SGSet2,1),IF(LEN(SGSet2)&lt;9,MID(SGSet2,IF(LEN(SGSet2)=7,LEN(SGSet2)-4,LEN(SGSet2)-5),1),MID(SGSet2,LEN(SGSet2)-5,2)))))=A64,IF(SGSet3="--",0,VALUE(IF(NumSGLUN=1,RIGHT(SGSet3,1),IF(LEN(SGSet3)&lt;9,MID(SGSet3,IF(LEN(SGSet3)=7,LEN(SGSet3)-4,LEN(SGSet3)-5),1),MID(SGSet3,LEN(SGSet3)-6,2)))))=A64,IF(SGSet4="--",0,VALUE(IF(NumSGLUN=1,RIGHT(SGSet4,1),IF(LEN(SGSet4)&lt;9,MID(SGSet4,IF(LEN(SGSet4)=7,LEN(SGSet4)-4,LEN(SGSet4)-5),1),MID(SGSet4,LEN(SGSet4)-6,2)))))=A64,IF(SGSet5="--",0,VALUE(IF(NumSGLUN=1,RIGHT(SGSet5,1),IF(LEN(SGSet5)&lt;9,MID(SGSet5,IF(LEN(SGSet5)=7,LEN(SGSet5)-4,LEN(SGSet5)-5),1),MID(SGSet5,LEN(SGSet5)-6,2)))))=A64,IF(SGSet6="--",0,VALUE(IF(NumSGLUN=1,RIGHT(SGSet6,1),IF(LEN(SGSet6)&lt;9,MID(SGSet6,IF(LEN(SGSet6)=7,LEN(SGSet6)-4,LEN(SGSet6)-5),1),MID(SGSet6,LEN(SGSet6)-6,2)))))=A64,IF(SGSet7="--",0,VALUE(IF(NumSGLUN=1,RIGHT(SGSet7,1),IF(LEN(SGSet7)&lt;9,MID(SGSet7,IF(LEN(SGSet7)=7,LEN(SGSet7)-4,LEN(SGSet7)-5),1),MID(SGSet7,LEN(SGSet7)-6,2)))))=A64)=TRUE,"Full",IF(BackupFreq="Weekly Full / Daily Incremental","Incremental","Differential")))))</f>
        <v>--</v>
      </c>
      <c r="C64" s="142" t="str">
        <f t="shared" si="8"/>
        <v>--</v>
      </c>
      <c r="D64" s="369" t="str">
        <f t="shared" si="9"/>
        <v>--</v>
      </c>
      <c r="E64" s="368" t="str">
        <f t="shared" si="10"/>
        <v>--</v>
      </c>
      <c r="F64" s="369" t="str">
        <f t="shared" si="11"/>
        <v>--</v>
      </c>
      <c r="G64" s="369" t="str">
        <f t="shared" si="12"/>
        <v>--</v>
      </c>
      <c r="H64" s="369" t="str">
        <f t="shared" si="13"/>
        <v>--</v>
      </c>
      <c r="I64" s="82"/>
      <c r="J64" s="90"/>
    </row>
    <row r="65" spans="1:10" ht="15">
      <c r="A65" s="416" t="str">
        <f>IF(SG&gt;=44,44,"--")</f>
        <v>--</v>
      </c>
      <c r="B65" s="142" t="str">
        <f>IF(A65="--","--",IF(BackupFreq="Daily Full","Full",IF(AND(NumSGLUN=1,$B64="Full"),IF(BackupFreq="Weekly Full / Daily Incremental","Incremental","Differential"),IF(OR(IF(SGSet1="--",0,VALUE(IF(NumSGLUN=1,RIGHT(SGSet1,1),MID(SGSet1,IF(LEN(SGSet1)=7,LEN(SGSet1)-4,LEN(SGSet1)-6),1))))=A65,IF(SGSet2="--",0,VALUE(IF(NumSGLUN=1,RIGHT(SGSet2,1),IF(LEN(SGSet2)&lt;9,MID(SGSet2,IF(LEN(SGSet2)=7,LEN(SGSet2)-4,LEN(SGSet2)-5),1),MID(SGSet2,LEN(SGSet2)-5,2)))))=A65,IF(SGSet3="--",0,VALUE(IF(NumSGLUN=1,RIGHT(SGSet3,1),IF(LEN(SGSet3)&lt;9,MID(SGSet3,IF(LEN(SGSet3)=7,LEN(SGSet3)-4,LEN(SGSet3)-5),1),MID(SGSet3,LEN(SGSet3)-6,2)))))=A65,IF(SGSet4="--",0,VALUE(IF(NumSGLUN=1,RIGHT(SGSet4,1),IF(LEN(SGSet4)&lt;9,MID(SGSet4,IF(LEN(SGSet4)=7,LEN(SGSet4)-4,LEN(SGSet4)-5),1),MID(SGSet4,LEN(SGSet4)-6,2)))))=A65,IF(SGSet5="--",0,VALUE(IF(NumSGLUN=1,RIGHT(SGSet5,1),IF(LEN(SGSet5)&lt;9,MID(SGSet5,IF(LEN(SGSet5)=7,LEN(SGSet5)-4,LEN(SGSet5)-5),1),MID(SGSet5,LEN(SGSet5)-6,2)))))=A65,IF(SGSet6="--",0,VALUE(IF(NumSGLUN=1,RIGHT(SGSet6,1),IF(LEN(SGSet6)&lt;9,MID(SGSet6,IF(LEN(SGSet6)=7,LEN(SGSet6)-4,LEN(SGSet6)-5),1),MID(SGSet6,LEN(SGSet6)-6,2)))))=A65,IF(SGSet7="--",0,VALUE(IF(NumSGLUN=1,RIGHT(SGSet7,1),IF(LEN(SGSet7)&lt;9,MID(SGSet7,IF(LEN(SGSet7)=7,LEN(SGSet7)-4,LEN(SGSet7)-5),1),MID(SGSet7,LEN(SGSet7)-6,2)))))=A65)=TRUE,"Full",IF(BackupFreq="Weekly Full / Daily Incremental","Incremental","Differential")))))</f>
        <v>--</v>
      </c>
      <c r="C65" s="368" t="str">
        <f t="shared" si="8"/>
        <v>--</v>
      </c>
      <c r="D65" s="414" t="str">
        <f t="shared" si="9"/>
        <v>--</v>
      </c>
      <c r="E65" s="368" t="str">
        <f t="shared" si="10"/>
        <v>--</v>
      </c>
      <c r="F65" s="369" t="str">
        <f t="shared" si="11"/>
        <v>--</v>
      </c>
      <c r="G65" s="369" t="str">
        <f t="shared" si="12"/>
        <v>--</v>
      </c>
      <c r="H65" s="369" t="str">
        <f t="shared" si="13"/>
        <v>--</v>
      </c>
      <c r="I65" s="82"/>
      <c r="J65" s="90"/>
    </row>
    <row r="66" spans="1:10" ht="15">
      <c r="A66" s="270" t="str">
        <f>IF(SG&gt;=45,45,"--")</f>
        <v>--</v>
      </c>
      <c r="B66" s="369" t="str">
        <f>IF(A66="--","--",IF(BackupFreq="Daily Full","Full",IF(AND(NumSGLUN=1,OR($B65="Incremental",$B65="Differential")),IF(BackupFreq="Weekly Full / Daily Incremental","Incremental","Differential"),IF(OR(IF(SGSet1="--",0,VALUE(IF(NumSGLUN=1,RIGHT(SGSet1,1),MID(SGSet1,IF(LEN(SGSet1)=7,LEN(SGSet1)-4,LEN(SGSet1)-6),1))))=A66,IF(SGSet2="--",0,VALUE(IF(NumSGLUN=1,RIGHT(SGSet2,1),IF(LEN(SGSet2)&lt;9,MID(SGSet2,IF(LEN(SGSet2)=7,LEN(SGSet2)-4,LEN(SGSet2)-5),1),MID(SGSet2,LEN(SGSet2)-5,2)))))=A66,IF(SGSet3="--",0,VALUE(IF(NumSGLUN=1,RIGHT(SGSet3,1),IF(LEN(SGSet3)&lt;9,MID(SGSet3,IF(LEN(SGSet3)=7,LEN(SGSet3)-4,LEN(SGSet3)-5),1),MID(SGSet3,LEN(SGSet3)-6,2)))))=A66,IF(SGSet4="--",0,VALUE(IF(NumSGLUN=1,RIGHT(SGSet4,1),IF(LEN(SGSet4)&lt;9,MID(SGSet4,IF(LEN(SGSet4)=7,LEN(SGSet4)-4,LEN(SGSet4)-5),1),MID(SGSet4,LEN(SGSet4)-6,2)))))=A66,IF(SGSet5="--",0,VALUE(IF(NumSGLUN=1,RIGHT(SGSet5,1),IF(LEN(SGSet5)&lt;9,MID(SGSet5,IF(LEN(SGSet5)=7,LEN(SGSet5)-4,LEN(SGSet5)-5),1),MID(SGSet5,LEN(SGSet5)-6,2)))))=A66,IF(SGSet6="--",0,VALUE(IF(NumSGLUN=1,RIGHT(SGSet6,1),IF(LEN(SGSet6)&lt;9,MID(SGSet6,IF(LEN(SGSet6)=7,LEN(SGSet6)-4,LEN(SGSet6)-5),1),MID(SGSet6,LEN(SGSet6)-6,2)))))=A66,IF(SGSet7="--",0,VALUE(IF(NumSGLUN=1,RIGHT(SGSet7,1),IF(LEN(SGSet7)&lt;9,MID(SGSet7,IF(LEN(SGSet7)=7,LEN(SGSet7)-4,LEN(SGSet7)-5),1),MID(SGSet7,LEN(SGSet7)-6,2)))))=A66)=TRUE,"Full",IF(BackupFreq="Weekly Full / Daily Incremental","Incremental","Differential")))))</f>
        <v>--</v>
      </c>
      <c r="C66" s="369" t="str">
        <f t="shared" si="8"/>
        <v>--</v>
      </c>
      <c r="D66" s="142" t="str">
        <f t="shared" si="9"/>
        <v>--</v>
      </c>
      <c r="E66" s="368" t="str">
        <f t="shared" si="10"/>
        <v>--</v>
      </c>
      <c r="F66" s="369" t="str">
        <f t="shared" si="11"/>
        <v>--</v>
      </c>
      <c r="G66" s="142" t="str">
        <f t="shared" si="12"/>
        <v>--</v>
      </c>
      <c r="H66" s="142" t="str">
        <f t="shared" si="13"/>
        <v>--</v>
      </c>
      <c r="I66" s="82"/>
      <c r="J66" s="90"/>
    </row>
    <row r="67" spans="1:10" ht="15">
      <c r="A67" s="415" t="str">
        <f>IF(SG&gt;=46,46,"--")</f>
        <v>--</v>
      </c>
      <c r="B67" s="369" t="str">
        <f>IF(A67="--","--",IF(BackupFreq="Daily Full","Full",IF(AND(NumSGLUN=1,OR($B66="Incremental",$B66="Differential")),IF(BackupFreq="Weekly Full / Daily Incremental","Incremental","Differential"),IF(OR(IF(SGSet1="--",0,VALUE(IF(NumSGLUN=1,RIGHT(SGSet1,1),MID(SGSet1,IF(LEN(SGSet1)=7,LEN(SGSet1)-4,LEN(SGSet1)-6),1))))=A67,IF(SGSet2="--",0,VALUE(IF(NumSGLUN=1,RIGHT(SGSet2,1),IF(LEN(SGSet2)&lt;9,MID(SGSet2,IF(LEN(SGSet2)=7,LEN(SGSet2)-4,LEN(SGSet2)-5),1),MID(SGSet2,LEN(SGSet2)-5,2)))))=A67,IF(SGSet3="--",0,VALUE(IF(NumSGLUN=1,RIGHT(SGSet3,1),IF(LEN(SGSet3)&lt;9,MID(SGSet3,IF(LEN(SGSet3)=7,LEN(SGSet3)-4,LEN(SGSet3)-5),1),MID(SGSet3,LEN(SGSet3)-6,2)))))=A67,IF(SGSet4="--",0,VALUE(IF(NumSGLUN=1,RIGHT(SGSet4,1),IF(LEN(SGSet4)&lt;9,MID(SGSet4,IF(LEN(SGSet4)=7,LEN(SGSet4)-4,LEN(SGSet4)-5),1),MID(SGSet4,LEN(SGSet4)-6,2)))))=A67,IF(SGSet5="--",0,VALUE(IF(NumSGLUN=1,RIGHT(SGSet5,1),IF(LEN(SGSet5)&lt;9,MID(SGSet5,IF(LEN(SGSet5)=7,LEN(SGSet5)-4,LEN(SGSet5)-5),1),MID(SGSet5,LEN(SGSet5)-6,2)))))=A67,IF(SGSet6="--",0,VALUE(IF(NumSGLUN=1,RIGHT(SGSet6,1),IF(LEN(SGSet6)&lt;9,MID(SGSet6,IF(LEN(SGSet6)=7,LEN(SGSet6)-4,LEN(SGSet6)-5),1),MID(SGSet6,LEN(SGSet6)-6,2)))))=A67,IF(SGSet7="--",0,VALUE(IF(NumSGLUN=1,RIGHT(SGSet7,1),IF(LEN(SGSet7)&lt;9,MID(SGSet7,IF(LEN(SGSet7)=7,LEN(SGSet7)-4,LEN(SGSet7)-5),1),MID(SGSet7,LEN(SGSet7)-6,2)))))=A67)=TRUE,"Full",IF(BackupFreq="Weekly Full / Daily Incremental","Incremental","Differential")))))</f>
        <v>--</v>
      </c>
      <c r="C67" s="369" t="str">
        <f t="shared" si="8"/>
        <v>--</v>
      </c>
      <c r="D67" s="369" t="str">
        <f t="shared" si="9"/>
        <v>--</v>
      </c>
      <c r="E67" s="369" t="str">
        <f t="shared" si="10"/>
        <v>--</v>
      </c>
      <c r="F67" s="142" t="str">
        <f t="shared" si="11"/>
        <v>--</v>
      </c>
      <c r="G67" s="368" t="str">
        <f t="shared" si="12"/>
        <v>--</v>
      </c>
      <c r="H67" s="368" t="str">
        <f t="shared" si="13"/>
        <v>--</v>
      </c>
      <c r="I67" s="82"/>
      <c r="J67" s="90"/>
    </row>
    <row r="68" spans="1:10" ht="15">
      <c r="A68" s="416" t="str">
        <f>IF(SG&gt;=47,47,"--")</f>
        <v>--</v>
      </c>
      <c r="B68" s="142" t="str">
        <f>IF(A68="--","--",IF(BackupFreq="Daily Full","Full",IF(AND(NumSGLUN=1,OR($B67="Incremental",$B67="Differential")),IF(BackupFreq="Weekly Full / Daily Incremental","Incremental","Differential"),IF(OR(IF(SGSet1="--",0,VALUE(IF(NumSGLUN=1,RIGHT(SGSet1,1),MID(SGSet1,IF(LEN(SGSet1)=7,LEN(SGSet1)-4,LEN(SGSet1)-6),1))))=A68,IF(SGSet2="--",0,VALUE(IF(NumSGLUN=1,RIGHT(SGSet2,1),IF(LEN(SGSet2)&lt;9,MID(SGSet2,IF(LEN(SGSet2)=7,LEN(SGSet2)-4,LEN(SGSet2)-5),1),MID(SGSet2,LEN(SGSet2)-5,2)))))=A68,IF(SGSet3="--",0,VALUE(IF(NumSGLUN=1,RIGHT(SGSet3,1),IF(LEN(SGSet3)&lt;9,MID(SGSet3,IF(LEN(SGSet3)=7,LEN(SGSet3)-4,LEN(SGSet3)-5),1),MID(SGSet3,LEN(SGSet3)-6,2)))))=A68,IF(SGSet4="--",0,VALUE(IF(NumSGLUN=1,RIGHT(SGSet4,1),IF(LEN(SGSet4)&lt;9,MID(SGSet4,IF(LEN(SGSet4)=7,LEN(SGSet4)-4,LEN(SGSet4)-5),1),MID(SGSet4,LEN(SGSet4)-6,2)))))=A68,IF(SGSet5="--",0,VALUE(IF(NumSGLUN=1,RIGHT(SGSet5,1),IF(LEN(SGSet5)&lt;9,MID(SGSet5,IF(LEN(SGSet5)=7,LEN(SGSet5)-4,LEN(SGSet5)-5),1),MID(SGSet5,LEN(SGSet5)-6,2)))))=A68,IF(SGSet6="--",0,VALUE(IF(NumSGLUN=1,RIGHT(SGSet6,1),IF(LEN(SGSet6)&lt;9,MID(SGSet6,IF(LEN(SGSet6)=7,LEN(SGSet6)-4,LEN(SGSet6)-5),1),MID(SGSet6,LEN(SGSet6)-6,2)))))=A68,IF(SGSet7="--",0,VALUE(IF(NumSGLUN=1,RIGHT(SGSet7,1),IF(LEN(SGSet7)&lt;9,MID(SGSet7,IF(LEN(SGSet7)=7,LEN(SGSet7)-4,LEN(SGSet7)-5),1),MID(SGSet7,LEN(SGSet7)-6,2)))))=A68)=TRUE,"Full",IF(BackupFreq="Weekly Full / Daily Incremental","Incremental","Differential")))))</f>
        <v>--</v>
      </c>
      <c r="C68" s="142" t="str">
        <f t="shared" si="8"/>
        <v>--</v>
      </c>
      <c r="D68" s="142" t="str">
        <f t="shared" si="9"/>
        <v>--</v>
      </c>
      <c r="E68" s="142" t="str">
        <f t="shared" si="10"/>
        <v>--</v>
      </c>
      <c r="F68" s="369" t="str">
        <f t="shared" si="11"/>
        <v>--</v>
      </c>
      <c r="G68" s="368" t="str">
        <f t="shared" si="12"/>
        <v>--</v>
      </c>
      <c r="H68" s="368" t="str">
        <f t="shared" si="13"/>
        <v>--</v>
      </c>
      <c r="I68" s="82"/>
      <c r="J68" s="90"/>
    </row>
    <row r="69" spans="1:10" ht="15">
      <c r="A69" s="416" t="str">
        <f>IF(SG&gt;=48,48,"--")</f>
        <v>--</v>
      </c>
      <c r="B69" s="369" t="str">
        <f>IF(A69="--","--",IF(BackupFreq="Daily Full","Full",IF(AND(NumSGLUN=1,OR($B68="Incremental",$B68="Differential")),IF(BackupFreq="Weekly Full / Daily Incremental","Incremental","Differential"),IF(OR(IF(SGSet1="--",0,VALUE(IF(NumSGLUN=1,RIGHT(SGSet1,1),MID(SGSet1,IF(LEN(SGSet1)=7,LEN(SGSet1)-4,LEN(SGSet1)-6),1))))=A69,IF(SGSet2="--",0,VALUE(IF(NumSGLUN=1,RIGHT(SGSet2,1),IF(LEN(SGSet2)&lt;9,MID(SGSet2,IF(LEN(SGSet2)=7,LEN(SGSet2)-4,LEN(SGSet2)-5),1),MID(SGSet2,LEN(SGSet2)-5,2)))))=A69,IF(SGSet3="--",0,VALUE(IF(NumSGLUN=1,RIGHT(SGSet3,1),IF(LEN(SGSet3)&lt;9,MID(SGSet3,IF(LEN(SGSet3)=7,LEN(SGSet3)-4,LEN(SGSet3)-5),1),MID(SGSet3,LEN(SGSet3)-6,2)))))=A69,IF(SGSet4="--",0,VALUE(IF(NumSGLUN=1,RIGHT(SGSet4,1),IF(LEN(SGSet4)&lt;9,MID(SGSet4,IF(LEN(SGSet4)=7,LEN(SGSet4)-4,LEN(SGSet4)-5),1),MID(SGSet4,LEN(SGSet4)-6,2)))))=A69,IF(SGSet5="--",0,VALUE(IF(NumSGLUN=1,RIGHT(SGSet5,1),IF(LEN(SGSet5)&lt;9,MID(SGSet5,IF(LEN(SGSet5)=7,LEN(SGSet5)-4,LEN(SGSet5)-5),1),MID(SGSet5,LEN(SGSet5)-6,2)))))=A69,IF(SGSet6="--",0,VALUE(IF(NumSGLUN=1,RIGHT(SGSet6,1),IF(LEN(SGSet6)&lt;9,MID(SGSet6,IF(LEN(SGSet6)=7,LEN(SGSet6)-4,LEN(SGSet6)-5),1),MID(SGSet6,LEN(SGSet6)-6,2)))))=A69,IF(SGSet7="--",0,VALUE(IF(NumSGLUN=1,RIGHT(SGSet7,1),IF(LEN(SGSet7)&lt;9,MID(SGSet7,IF(LEN(SGSet7)=7,LEN(SGSet7)-4,LEN(SGSet7)-5),1),MID(SGSet7,LEN(SGSet7)-6,2)))))=A69)=TRUE,"Full",IF(BackupFreq="Weekly Full / Daily Incremental","Incremental","Differential")))))</f>
        <v>--</v>
      </c>
      <c r="C69" s="368" t="str">
        <f t="shared" si="8"/>
        <v>--</v>
      </c>
      <c r="D69" s="369" t="str">
        <f t="shared" si="9"/>
        <v>--</v>
      </c>
      <c r="E69" s="368" t="str">
        <f t="shared" si="10"/>
        <v>--</v>
      </c>
      <c r="F69" s="369" t="str">
        <f t="shared" si="11"/>
        <v>--</v>
      </c>
      <c r="G69" s="369" t="str">
        <f t="shared" si="12"/>
        <v>--</v>
      </c>
      <c r="H69" s="369" t="str">
        <f t="shared" si="13"/>
        <v>--</v>
      </c>
      <c r="I69" s="82"/>
      <c r="J69" s="90"/>
    </row>
    <row r="70" spans="1:10" ht="15">
      <c r="A70" s="270" t="str">
        <f>IF(SG&gt;=49,49,"--")</f>
        <v>--</v>
      </c>
      <c r="B70" s="368" t="str">
        <f>IF(A70="--","--",IF(BackupFreq="Daily Full","Full",IF(AND(NumSGLUN=1,OR($B69="Incremental",$B69="Differential")),IF(BackupFreq="Weekly Full / Daily Incremental","Incremental","Differential"),IF(OR(IF(SGSet1="--",0,VALUE(IF(NumSGLUN=1,RIGHT(SGSet1,1),MID(SGSet1,IF(LEN(SGSet1)=7,LEN(SGSet1)-4,LEN(SGSet1)-6),1))))=A70,IF(SGSet2="--",0,VALUE(IF(NumSGLUN=1,RIGHT(SGSet2,1),IF(LEN(SGSet2)&lt;9,MID(SGSet2,IF(LEN(SGSet2)=7,LEN(SGSet2)-4,LEN(SGSet2)-5),1),MID(SGSet2,LEN(SGSet2)-5,2)))))=A70,IF(SGSet3="--",0,VALUE(IF(NumSGLUN=1,RIGHT(SGSet3,1),IF(LEN(SGSet3)&lt;9,MID(SGSet3,IF(LEN(SGSet3)=7,LEN(SGSet3)-4,LEN(SGSet3)-5),1),MID(SGSet3,LEN(SGSet3)-6,2)))))=A70,IF(SGSet4="--",0,VALUE(IF(NumSGLUN=1,RIGHT(SGSet4,1),IF(LEN(SGSet4)&lt;9,MID(SGSet4,IF(LEN(SGSet4)=7,LEN(SGSet4)-4,LEN(SGSet4)-5),1),MID(SGSet4,LEN(SGSet4)-6,2)))))=A70,IF(SGSet5="--",0,VALUE(IF(NumSGLUN=1,RIGHT(SGSet5,1),IF(LEN(SGSet5)&lt;9,MID(SGSet5,IF(LEN(SGSet5)=7,LEN(SGSet5)-4,LEN(SGSet5)-5),1),MID(SGSet5,LEN(SGSet5)-6,2)))))=A70,IF(SGSet6="--",0,VALUE(IF(NumSGLUN=1,RIGHT(SGSet6,1),IF(LEN(SGSet6)&lt;9,MID(SGSet6,IF(LEN(SGSet6)=7,LEN(SGSet6)-4,LEN(SGSet6)-5),1),MID(SGSet6,LEN(SGSet6)-6,2)))))=A70,IF(SGSet7="--",0,VALUE(IF(NumSGLUN=1,RIGHT(SGSet7,1),IF(LEN(SGSet7)&lt;9,MID(SGSet7,IF(LEN(SGSet7)=7,LEN(SGSet7)-4,LEN(SGSet7)-5),1),MID(SGSet7,LEN(SGSet7)-6,2)))))=A70)=TRUE,"Full",IF(BackupFreq="Weekly Full / Daily Incremental","Incremental","Differential")))))</f>
        <v>--</v>
      </c>
      <c r="C70" s="369" t="str">
        <f t="shared" si="8"/>
        <v>--</v>
      </c>
      <c r="D70" s="369" t="str">
        <f t="shared" si="9"/>
        <v>--</v>
      </c>
      <c r="E70" s="369" t="str">
        <f t="shared" si="10"/>
        <v>--</v>
      </c>
      <c r="F70" s="142" t="str">
        <f t="shared" si="11"/>
        <v>--</v>
      </c>
      <c r="G70" s="369" t="str">
        <f t="shared" si="12"/>
        <v>--</v>
      </c>
      <c r="H70" s="369" t="str">
        <f t="shared" si="13"/>
        <v>--</v>
      </c>
      <c r="I70" s="82"/>
      <c r="J70" s="90"/>
    </row>
    <row r="71" spans="1:10" ht="15.75" thickBot="1">
      <c r="A71" s="465" t="str">
        <f>IF(SG&gt;=50,50,"--")</f>
        <v>--</v>
      </c>
      <c r="B71" s="417" t="str">
        <f>IF(A71="--","--",IF(BackupFreq="Daily Full","Full",IF(BackupMethod="Hardware VSS Backup/Restore",IF(IF(LEN('LUN Requirements'!G120)=3,VALUE(RIGHT('LUN Requirements'!G120,1)),VALUE(RIGHT('LUN Requirements'!G120,2)))=A71,"Full","Incremental/Differential"),IF(OR(IF(SGSet1="--",0,VALUE(IF(NumSGLUN=1,RIGHT(SGSet1,1),MID(SGSet1,IF(LEN(SGSet1)=7,LEN(SGSet1)-4,LEN(SGSet1)-6),1))))=A71,IF(SGSet2="--",0,VALUE(IF(NumSGLUN=1,RIGHT(SGSet2,1),IF(LEN(SGSet2)&lt;9,MID(SGSet2,IF(LEN(SGSet2)=7,LEN(SGSet2)-4,LEN(SGSet2)-5),1),MID(SGSet2,LEN(SGSet2)-5,2)))))=A71,IF(SGSet3="--",0,VALUE(IF(NumSGLUN=1,RIGHT(SGSet3,1),IF(LEN(SGSet3)&lt;9,MID(SGSet3,IF(LEN(SGSet3)=7,LEN(SGSet3)-4,LEN(SGSet3)-5),1),MID(SGSet3,LEN(SGSet3)-6,2)))))=A71,IF(SGSet4="--",0,VALUE(IF(NumSGLUN=1,RIGHT(SGSet4,1),IF(LEN(SGSet4)&lt;9,MID(SGSet4,IF(LEN(SGSet4)=7,LEN(SGSet4)-4,LEN(SGSet4)-5),1),MID(SGSet4,LEN(SGSet4)-6,2)))))=A71,IF(SGSet5="--",0,VALUE(IF(NumSGLUN=1,RIGHT(SGSet5,1),IF(LEN(SGSet5)&lt;9,MID(SGSet5,IF(LEN(SGSet5)=7,LEN(SGSet5)-4,LEN(SGSet5)-5),1),MID(SGSet5,LEN(SGSet5)-6,2)))))=A71,IF(SGSet6="--",0,VALUE(IF(NumSGLUN=1,RIGHT(SGSet6,1),IF(LEN(SGSet6)&lt;9,MID(SGSet6,IF(LEN(SGSet6)=7,LEN(SGSet6)-4,LEN(SGSet6)-5),1),MID(SGSet6,LEN(SGSet6)-6,2)))))=A71,IF(SGSet7="--",0,VALUE(IF(NumSGLUN=1,RIGHT(SGSet7,1),IF(LEN(SGSet7)&lt;9,MID(SGSet7,IF(LEN(SGSet7)=7,LEN(SGSet7)-4,LEN(SGSet7)-5),1),MID(SGSet7,LEN(SGSet7)-6,2)))))=A71)=TRUE,"Full",IF(BackupFreq="Weekly Full / Daily Incremental","Incremental","Differential")))))</f>
        <v>--</v>
      </c>
      <c r="C71" s="279" t="str">
        <f t="shared" si="8"/>
        <v>--</v>
      </c>
      <c r="D71" s="279" t="str">
        <f t="shared" si="9"/>
        <v>--</v>
      </c>
      <c r="E71" s="279" t="str">
        <f t="shared" si="10"/>
        <v>--</v>
      </c>
      <c r="F71" s="417" t="str">
        <f t="shared" si="11"/>
        <v>--</v>
      </c>
      <c r="G71" s="279" t="str">
        <f t="shared" si="12"/>
        <v>--</v>
      </c>
      <c r="H71" s="279" t="str">
        <f t="shared" si="13"/>
        <v>--</v>
      </c>
      <c r="I71" s="153"/>
      <c r="J71" s="83"/>
    </row>
    <row r="72" spans="1:10">
      <c r="B72" s="141"/>
      <c r="H72" s="91"/>
    </row>
  </sheetData>
  <mergeCells count="20">
    <mergeCell ref="B18:D18"/>
    <mergeCell ref="B16:D16"/>
    <mergeCell ref="B17:D17"/>
    <mergeCell ref="A15:D15"/>
    <mergeCell ref="A20:H20"/>
    <mergeCell ref="A9:J9"/>
    <mergeCell ref="A1:J1"/>
    <mergeCell ref="A3:J3"/>
    <mergeCell ref="A6:C6"/>
    <mergeCell ref="A7:C7"/>
    <mergeCell ref="A5:D5"/>
    <mergeCell ref="G5:J5"/>
    <mergeCell ref="G6:I6"/>
    <mergeCell ref="G7:I7"/>
    <mergeCell ref="F12:I12"/>
    <mergeCell ref="F13:I13"/>
    <mergeCell ref="A13:C13"/>
    <mergeCell ref="A12:C12"/>
    <mergeCell ref="A11:D11"/>
    <mergeCell ref="F11:J11"/>
  </mergeCells>
  <conditionalFormatting sqref="B22:H71">
    <cfRule type="expression" dxfId="108" priority="1" stopIfTrue="1">
      <formula>AND(IF(B22="Full",TRUE),IF(BackupFreq&lt;&gt;"Daily Full",TRUE))</formula>
    </cfRule>
  </conditionalFormatting>
  <pageMargins left="0.7" right="0.7" top="0.75" bottom="0.75" header="0.3" footer="0.3"/>
  <pageSetup scale="69" orientation="portrait" r:id="rId1"/>
  <legacyDrawing r:id="rId2"/>
</worksheet>
</file>

<file path=xl/worksheets/sheet5.xml><?xml version="1.0" encoding="utf-8"?>
<worksheet xmlns="http://schemas.openxmlformats.org/spreadsheetml/2006/main" xmlns:r="http://schemas.openxmlformats.org/officeDocument/2006/relationships">
  <dimension ref="A1:AD145"/>
  <sheetViews>
    <sheetView showGridLines="0" showRowColHeaders="0" zoomScale="85" zoomScaleNormal="85" workbookViewId="0">
      <selection sqref="A1:AA1"/>
    </sheetView>
  </sheetViews>
  <sheetFormatPr defaultRowHeight="12.75" outlineLevelRow="2"/>
  <cols>
    <col min="1" max="1" width="7" bestFit="1" customWidth="1"/>
    <col min="2" max="2" width="23" customWidth="1"/>
    <col min="3" max="3" width="25.28515625" bestFit="1" customWidth="1"/>
    <col min="4" max="4" width="7.28515625" bestFit="1" customWidth="1"/>
    <col min="5" max="5" width="8.28515625" bestFit="1" customWidth="1"/>
    <col min="6" max="6" width="7.28515625" bestFit="1" customWidth="1"/>
    <col min="7" max="7" width="15.85546875" customWidth="1"/>
    <col min="8" max="8" width="7.140625" customWidth="1"/>
    <col min="9" max="9" width="9.42578125" bestFit="1" customWidth="1"/>
    <col min="10" max="10" width="8.28515625" bestFit="1" customWidth="1"/>
    <col min="11" max="11" width="7.85546875" customWidth="1"/>
    <col min="12" max="16" width="6" bestFit="1" customWidth="1"/>
    <col min="17" max="18" width="4.85546875" bestFit="1" customWidth="1"/>
    <col min="19" max="27" width="6" bestFit="1" customWidth="1"/>
  </cols>
  <sheetData>
    <row r="1" spans="1:27" s="74" customFormat="1">
      <c r="A1" s="920" t="s">
        <v>2</v>
      </c>
      <c r="B1" s="921"/>
      <c r="C1" s="921"/>
      <c r="D1" s="921"/>
      <c r="E1" s="921"/>
      <c r="F1" s="921"/>
      <c r="G1" s="921"/>
      <c r="H1" s="921"/>
      <c r="I1" s="921"/>
      <c r="J1" s="921"/>
      <c r="K1" s="921"/>
      <c r="L1" s="921"/>
      <c r="M1" s="921"/>
      <c r="N1" s="921"/>
      <c r="O1" s="921"/>
      <c r="P1" s="921"/>
      <c r="Q1" s="921"/>
      <c r="R1" s="921"/>
      <c r="S1" s="921"/>
      <c r="T1" s="921"/>
      <c r="U1" s="921"/>
      <c r="V1" s="921"/>
      <c r="W1" s="921"/>
      <c r="X1" s="921"/>
      <c r="Y1" s="921"/>
      <c r="Z1" s="921"/>
      <c r="AA1" s="867"/>
    </row>
    <row r="2" spans="1:27" s="74" customFormat="1">
      <c r="A2" s="921" t="s">
        <v>516</v>
      </c>
      <c r="B2" s="921"/>
      <c r="C2" s="921"/>
      <c r="D2" s="921"/>
      <c r="E2" s="921"/>
      <c r="F2" s="921"/>
      <c r="G2" s="921"/>
      <c r="H2" s="921"/>
      <c r="I2" s="579"/>
      <c r="J2" s="579"/>
      <c r="K2" s="579"/>
      <c r="L2" s="579"/>
      <c r="M2" s="579"/>
      <c r="N2" s="579"/>
      <c r="O2" s="579"/>
      <c r="P2" s="579"/>
      <c r="Q2" s="579"/>
      <c r="R2" s="579"/>
      <c r="S2" s="579"/>
      <c r="T2" s="579"/>
      <c r="U2" s="579"/>
      <c r="V2" s="579"/>
      <c r="W2" s="579"/>
      <c r="X2" s="579"/>
      <c r="Y2" s="579"/>
      <c r="Z2" s="579"/>
      <c r="AA2" s="578"/>
    </row>
    <row r="3" spans="1:27" s="74" customFormat="1" ht="13.5" thickBot="1">
      <c r="A3" s="749"/>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29"/>
    </row>
    <row r="4" spans="1:27" s="74" customFormat="1" ht="16.5" thickBot="1">
      <c r="A4" s="908" t="s">
        <v>252</v>
      </c>
      <c r="B4" s="908"/>
      <c r="C4" s="908"/>
      <c r="D4" s="908"/>
      <c r="E4" s="908"/>
      <c r="F4" s="908"/>
      <c r="G4" s="908"/>
      <c r="H4" s="908"/>
      <c r="I4" s="908"/>
      <c r="J4" s="908"/>
      <c r="K4" s="908"/>
      <c r="L4" s="908"/>
      <c r="M4" s="908"/>
      <c r="N4" s="908"/>
      <c r="O4" s="908"/>
      <c r="P4" s="908"/>
      <c r="Q4" s="908"/>
      <c r="R4" s="908"/>
      <c r="S4" s="908"/>
      <c r="T4" s="908"/>
      <c r="U4" s="908"/>
      <c r="V4" s="908"/>
      <c r="W4" s="908"/>
      <c r="X4" s="908"/>
      <c r="Y4" s="908"/>
      <c r="Z4" s="908"/>
      <c r="AA4" s="925"/>
    </row>
    <row r="5" spans="1:27" ht="13.5" hidden="1" outlineLevel="1" thickBot="1">
      <c r="A5" s="753"/>
      <c r="AA5" s="489"/>
    </row>
    <row r="6" spans="1:27" s="487" customFormat="1" ht="16.5" hidden="1" outlineLevel="1" thickBot="1">
      <c r="A6" s="1042" t="s">
        <v>432</v>
      </c>
      <c r="B6" s="1042"/>
      <c r="C6" s="1042"/>
      <c r="D6" s="1042"/>
      <c r="E6" s="1042"/>
      <c r="F6" s="1043"/>
      <c r="AA6" s="488"/>
    </row>
    <row r="7" spans="1:27" s="487" customFormat="1" ht="15.75" hidden="1" outlineLevel="1" thickBot="1">
      <c r="A7" s="1044" t="s">
        <v>462</v>
      </c>
      <c r="B7" s="1044"/>
      <c r="C7" s="940"/>
      <c r="D7" s="1061">
        <f>IF(OR(HAOption="CCR",numSCRTarget&lt;&gt;0),VLOOKUP(NetLinkType,tblNetworkLink,2,FALSE)*(NetLinkLatency/1000),"--")</f>
        <v>50000000</v>
      </c>
      <c r="E7" s="1062"/>
      <c r="F7" s="1063"/>
      <c r="G7" s="1"/>
      <c r="H7" s="1"/>
      <c r="I7" s="1"/>
      <c r="J7" s="1"/>
      <c r="K7" s="1"/>
      <c r="L7" s="1"/>
      <c r="M7" s="1"/>
      <c r="N7" s="1"/>
      <c r="O7" s="1"/>
      <c r="P7" s="1"/>
      <c r="Q7" s="1"/>
      <c r="R7" s="1"/>
      <c r="S7" s="1"/>
      <c r="T7" s="1"/>
      <c r="U7" s="1"/>
      <c r="V7" s="1"/>
      <c r="W7" s="1"/>
      <c r="X7" s="1"/>
      <c r="Y7" s="1"/>
      <c r="Z7" s="1"/>
      <c r="AA7" s="488"/>
    </row>
    <row r="8" spans="1:27" s="110" customFormat="1" ht="16.5" hidden="1" outlineLevel="1" thickBot="1">
      <c r="A8" s="795"/>
      <c r="B8" s="503"/>
      <c r="C8" s="503"/>
      <c r="D8" s="503"/>
      <c r="E8" s="503"/>
      <c r="F8" s="503"/>
      <c r="G8" s="197"/>
      <c r="H8" s="197"/>
      <c r="I8" s="197"/>
      <c r="J8" s="197"/>
      <c r="K8" s="197"/>
      <c r="L8" s="197"/>
      <c r="M8" s="197"/>
      <c r="N8" s="197"/>
      <c r="O8" s="197"/>
      <c r="P8" s="197"/>
      <c r="Q8" s="197"/>
      <c r="R8" s="197"/>
      <c r="S8" s="197"/>
      <c r="T8" s="197"/>
      <c r="U8" s="197"/>
      <c r="V8" s="197"/>
      <c r="W8" s="197"/>
      <c r="X8" s="197"/>
      <c r="Y8" s="197"/>
      <c r="Z8" s="197"/>
      <c r="AA8" s="217"/>
    </row>
    <row r="9" spans="1:27" s="110" customFormat="1" ht="16.5" hidden="1" outlineLevel="1" thickBot="1">
      <c r="A9" s="1042" t="s">
        <v>281</v>
      </c>
      <c r="B9" s="1042"/>
      <c r="C9" s="1042"/>
      <c r="D9" s="1042"/>
      <c r="E9" s="1042"/>
      <c r="F9" s="1043"/>
      <c r="G9" s="225"/>
      <c r="H9" s="225"/>
      <c r="I9" s="225"/>
      <c r="J9" s="225"/>
      <c r="K9" s="197"/>
      <c r="L9" s="197"/>
      <c r="M9" s="197"/>
      <c r="N9" s="197"/>
      <c r="O9" s="197"/>
      <c r="P9" s="197"/>
      <c r="Q9" s="197"/>
      <c r="R9" s="197"/>
      <c r="S9" s="197"/>
      <c r="T9" s="197"/>
      <c r="U9" s="197"/>
      <c r="V9" s="197"/>
      <c r="W9" s="197"/>
      <c r="X9" s="197"/>
      <c r="Y9" s="197"/>
      <c r="Z9" s="197"/>
      <c r="AA9" s="217"/>
    </row>
    <row r="10" spans="1:27" s="110" customFormat="1" ht="16.5" hidden="1" outlineLevel="1" thickBot="1">
      <c r="A10" s="1044" t="s">
        <v>448</v>
      </c>
      <c r="B10" s="1044"/>
      <c r="C10" s="1044"/>
      <c r="D10" s="1045">
        <f>IF(HAOption="CCR",(LARGE(tblLogReplication,1)*(CalcNumUserTLogs+NumMoveMBXTLogs)*NumMBXServers*8)/3600,"--")</f>
        <v>40.416211555044548</v>
      </c>
      <c r="E10" s="1046"/>
      <c r="F10" s="1047"/>
      <c r="G10" s="226"/>
      <c r="H10" s="227"/>
      <c r="I10" s="227"/>
      <c r="J10" s="227"/>
      <c r="K10" s="197"/>
      <c r="L10" s="197"/>
      <c r="M10" s="197"/>
      <c r="N10" s="197"/>
      <c r="O10" s="197"/>
      <c r="P10" s="197"/>
      <c r="Q10" s="197"/>
      <c r="R10" s="197"/>
      <c r="S10" s="197"/>
      <c r="T10" s="197"/>
      <c r="U10" s="197"/>
      <c r="V10" s="197"/>
      <c r="W10" s="197"/>
      <c r="X10" s="197"/>
      <c r="Y10" s="197"/>
      <c r="Z10" s="197"/>
      <c r="AA10" s="217"/>
    </row>
    <row r="11" spans="1:27" s="74" customFormat="1" ht="13.5" hidden="1" outlineLevel="1" thickBot="1">
      <c r="A11" s="796"/>
      <c r="B11" s="92"/>
      <c r="C11" s="92"/>
      <c r="D11" s="92"/>
      <c r="E11" s="92"/>
      <c r="F11" s="92"/>
      <c r="G11" s="224"/>
      <c r="H11" s="224"/>
      <c r="I11" s="224"/>
      <c r="J11" s="224"/>
      <c r="K11" s="224"/>
      <c r="L11" s="224"/>
      <c r="M11" s="98"/>
      <c r="N11" s="98"/>
      <c r="O11" s="98"/>
      <c r="P11" s="98"/>
      <c r="Q11" s="98"/>
      <c r="R11" s="98"/>
      <c r="S11" s="98"/>
      <c r="T11" s="98"/>
      <c r="U11" s="98"/>
      <c r="V11" s="98"/>
      <c r="W11" s="98"/>
      <c r="X11" s="98"/>
      <c r="Y11" s="98"/>
      <c r="Z11" s="98"/>
      <c r="AA11" s="83"/>
    </row>
    <row r="12" spans="1:27" s="74" customFormat="1" ht="15.75" hidden="1" outlineLevel="1">
      <c r="A12" s="1035" t="s">
        <v>250</v>
      </c>
      <c r="B12" s="1037" t="s">
        <v>264</v>
      </c>
      <c r="C12" s="1037" t="s">
        <v>254</v>
      </c>
      <c r="D12" s="1033" t="s">
        <v>260</v>
      </c>
      <c r="E12" s="1034"/>
      <c r="F12" s="1034"/>
      <c r="G12" s="1034"/>
      <c r="H12" s="1034"/>
      <c r="I12" s="1034"/>
      <c r="J12" s="1034"/>
      <c r="K12" s="1034"/>
      <c r="L12" s="1034"/>
      <c r="M12" s="1034"/>
      <c r="N12" s="1034"/>
      <c r="O12" s="1034"/>
      <c r="P12" s="1034"/>
      <c r="Q12" s="1034"/>
      <c r="R12" s="1034"/>
      <c r="S12" s="1034"/>
      <c r="T12" s="1034"/>
      <c r="U12" s="1034"/>
      <c r="V12" s="1034"/>
      <c r="W12" s="1034"/>
      <c r="X12" s="1034"/>
      <c r="Y12" s="1034"/>
      <c r="Z12" s="1034"/>
      <c r="AA12" s="1035"/>
    </row>
    <row r="13" spans="1:27" s="74" customFormat="1" ht="36" hidden="1" customHeight="1" outlineLevel="1" thickBot="1">
      <c r="A13" s="1036"/>
      <c r="B13" s="1038"/>
      <c r="C13" s="1038"/>
      <c r="D13" s="185">
        <v>1</v>
      </c>
      <c r="E13" s="186">
        <v>2</v>
      </c>
      <c r="F13" s="186">
        <v>3</v>
      </c>
      <c r="G13" s="186">
        <v>4</v>
      </c>
      <c r="H13" s="186">
        <v>5</v>
      </c>
      <c r="I13" s="186">
        <v>6</v>
      </c>
      <c r="J13" s="186">
        <v>7</v>
      </c>
      <c r="K13" s="186">
        <v>8</v>
      </c>
      <c r="L13" s="186">
        <v>9</v>
      </c>
      <c r="M13" s="186">
        <v>10</v>
      </c>
      <c r="N13" s="186">
        <v>11</v>
      </c>
      <c r="O13" s="186">
        <v>12</v>
      </c>
      <c r="P13" s="186">
        <v>13</v>
      </c>
      <c r="Q13" s="186">
        <v>14</v>
      </c>
      <c r="R13" s="186">
        <v>15</v>
      </c>
      <c r="S13" s="186">
        <v>16</v>
      </c>
      <c r="T13" s="186">
        <v>17</v>
      </c>
      <c r="U13" s="186">
        <v>18</v>
      </c>
      <c r="V13" s="186">
        <v>19</v>
      </c>
      <c r="W13" s="186">
        <v>20</v>
      </c>
      <c r="X13" s="186">
        <v>21</v>
      </c>
      <c r="Y13" s="186">
        <v>22</v>
      </c>
      <c r="Z13" s="186">
        <v>23</v>
      </c>
      <c r="AA13" s="187">
        <v>24</v>
      </c>
    </row>
    <row r="14" spans="1:27" s="74" customFormat="1" ht="14.25" hidden="1" customHeight="1" outlineLevel="2">
      <c r="A14" s="797">
        <f>A38</f>
        <v>1</v>
      </c>
      <c r="B14" s="523">
        <f>B38</f>
        <v>2.3641851106639834E-2</v>
      </c>
      <c r="C14" s="188">
        <f>C38</f>
        <v>4383.6044840471386</v>
      </c>
      <c r="D14" s="218"/>
      <c r="E14" s="219"/>
      <c r="F14" s="219"/>
      <c r="G14" s="219"/>
      <c r="H14" s="219"/>
      <c r="I14" s="219"/>
      <c r="J14" s="219"/>
      <c r="K14" s="219"/>
      <c r="L14" s="219"/>
      <c r="M14" s="219"/>
      <c r="N14" s="219"/>
      <c r="O14" s="219"/>
      <c r="P14" s="219"/>
      <c r="Q14" s="219"/>
      <c r="R14" s="219"/>
      <c r="S14" s="219"/>
      <c r="T14" s="219"/>
      <c r="U14" s="219"/>
      <c r="V14" s="219"/>
      <c r="W14" s="219"/>
      <c r="X14" s="219"/>
      <c r="Y14" s="219"/>
      <c r="Z14" s="219"/>
      <c r="AA14" s="220"/>
    </row>
    <row r="15" spans="1:27" s="74" customFormat="1" ht="14.25" hidden="1" customHeight="1" outlineLevel="2">
      <c r="A15" s="219">
        <f t="shared" ref="A15:C15" si="0">A39</f>
        <v>2</v>
      </c>
      <c r="B15" s="523">
        <f t="shared" si="0"/>
        <v>1.5090543259557342E-2</v>
      </c>
      <c r="C15" s="188">
        <f t="shared" si="0"/>
        <v>2798.0454153492378</v>
      </c>
      <c r="D15" s="218"/>
      <c r="E15" s="219"/>
      <c r="F15" s="219"/>
      <c r="G15" s="219"/>
      <c r="H15" s="219"/>
      <c r="I15" s="219"/>
      <c r="J15" s="219"/>
      <c r="K15" s="219"/>
      <c r="L15" s="219"/>
      <c r="M15" s="219"/>
      <c r="N15" s="219"/>
      <c r="O15" s="219"/>
      <c r="P15" s="219"/>
      <c r="Q15" s="219"/>
      <c r="R15" s="219"/>
      <c r="S15" s="219"/>
      <c r="T15" s="219"/>
      <c r="U15" s="219"/>
      <c r="V15" s="219"/>
      <c r="W15" s="219"/>
      <c r="X15" s="219"/>
      <c r="Y15" s="219"/>
      <c r="Z15" s="219"/>
      <c r="AA15" s="220"/>
    </row>
    <row r="16" spans="1:27" s="74" customFormat="1" ht="14.25" hidden="1" customHeight="1" outlineLevel="2">
      <c r="A16" s="219">
        <f t="shared" ref="A16:C16" si="1">A40</f>
        <v>3</v>
      </c>
      <c r="B16" s="523">
        <f t="shared" si="1"/>
        <v>3.3199195171026152E-2</v>
      </c>
      <c r="C16" s="188">
        <f t="shared" si="1"/>
        <v>6155.6999137683224</v>
      </c>
      <c r="D16" s="218"/>
      <c r="E16" s="219"/>
      <c r="F16" s="219"/>
      <c r="G16" s="219"/>
      <c r="H16" s="219"/>
      <c r="I16" s="219"/>
      <c r="J16" s="219"/>
      <c r="K16" s="219"/>
      <c r="L16" s="219"/>
      <c r="M16" s="219"/>
      <c r="N16" s="219"/>
      <c r="O16" s="219"/>
      <c r="P16" s="219"/>
      <c r="Q16" s="219"/>
      <c r="R16" s="219"/>
      <c r="S16" s="219"/>
      <c r="T16" s="219"/>
      <c r="U16" s="219"/>
      <c r="V16" s="219"/>
      <c r="W16" s="219"/>
      <c r="X16" s="219"/>
      <c r="Y16" s="219"/>
      <c r="Z16" s="219"/>
      <c r="AA16" s="220"/>
    </row>
    <row r="17" spans="1:27" s="74" customFormat="1" ht="14.25" hidden="1" customHeight="1" outlineLevel="2">
      <c r="A17" s="219">
        <f t="shared" ref="A17:C17" si="2">A41</f>
        <v>4</v>
      </c>
      <c r="B17" s="523">
        <f t="shared" si="2"/>
        <v>2.7665995975855121E-2</v>
      </c>
      <c r="C17" s="188">
        <f t="shared" si="2"/>
        <v>5129.7499281402679</v>
      </c>
      <c r="D17" s="218"/>
      <c r="E17" s="219"/>
      <c r="F17" s="219"/>
      <c r="G17" s="219"/>
      <c r="H17" s="219"/>
      <c r="I17" s="219"/>
      <c r="J17" s="219"/>
      <c r="K17" s="219"/>
      <c r="L17" s="219"/>
      <c r="M17" s="219"/>
      <c r="N17" s="219"/>
      <c r="O17" s="219"/>
      <c r="P17" s="219"/>
      <c r="Q17" s="219"/>
      <c r="R17" s="219"/>
      <c r="S17" s="219"/>
      <c r="T17" s="219"/>
      <c r="U17" s="219"/>
      <c r="V17" s="219"/>
      <c r="W17" s="219"/>
      <c r="X17" s="219"/>
      <c r="Y17" s="219"/>
      <c r="Z17" s="219"/>
      <c r="AA17" s="220"/>
    </row>
    <row r="18" spans="1:27" s="74" customFormat="1" ht="14.25" hidden="1" customHeight="1" outlineLevel="2">
      <c r="A18" s="219">
        <f t="shared" ref="A18:C18" si="3">A42</f>
        <v>5</v>
      </c>
      <c r="B18" s="523">
        <f t="shared" si="3"/>
        <v>4.1247484909456733E-2</v>
      </c>
      <c r="C18" s="188">
        <f t="shared" si="3"/>
        <v>7647.9908019545828</v>
      </c>
      <c r="D18" s="218"/>
      <c r="E18" s="219"/>
      <c r="F18" s="219"/>
      <c r="G18" s="219"/>
      <c r="H18" s="219"/>
      <c r="I18" s="219"/>
      <c r="J18" s="219"/>
      <c r="K18" s="219"/>
      <c r="L18" s="219"/>
      <c r="M18" s="219"/>
      <c r="N18" s="219"/>
      <c r="O18" s="219"/>
      <c r="P18" s="219"/>
      <c r="Q18" s="219"/>
      <c r="R18" s="219"/>
      <c r="S18" s="219"/>
      <c r="T18" s="219"/>
      <c r="U18" s="219"/>
      <c r="V18" s="219"/>
      <c r="W18" s="219"/>
      <c r="X18" s="219"/>
      <c r="Y18" s="219"/>
      <c r="Z18" s="219"/>
      <c r="AA18" s="220"/>
    </row>
    <row r="19" spans="1:27" s="74" customFormat="1" ht="14.25" hidden="1" customHeight="1" outlineLevel="2">
      <c r="A19" s="219">
        <f t="shared" ref="A19:C19" si="4">A43</f>
        <v>6</v>
      </c>
      <c r="B19" s="523">
        <f t="shared" si="4"/>
        <v>5.8853118712273639E-2</v>
      </c>
      <c r="C19" s="188">
        <f t="shared" si="4"/>
        <v>10912.377119862027</v>
      </c>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20"/>
    </row>
    <row r="20" spans="1:27" s="74" customFormat="1" ht="14.25" hidden="1" customHeight="1" outlineLevel="2">
      <c r="A20" s="219">
        <f t="shared" ref="A20:C20" si="5">A44</f>
        <v>7</v>
      </c>
      <c r="B20" s="523">
        <f t="shared" si="5"/>
        <v>4.7786720321931576E-2</v>
      </c>
      <c r="C20" s="188">
        <f t="shared" si="5"/>
        <v>8860.477148605918</v>
      </c>
      <c r="D20" s="218"/>
      <c r="E20" s="219"/>
      <c r="F20" s="219"/>
      <c r="G20" s="219"/>
      <c r="H20" s="219"/>
      <c r="I20" s="219"/>
      <c r="J20" s="219"/>
      <c r="K20" s="219"/>
      <c r="L20" s="219"/>
      <c r="M20" s="219"/>
      <c r="N20" s="219"/>
      <c r="O20" s="219"/>
      <c r="P20" s="219"/>
      <c r="Q20" s="219"/>
      <c r="R20" s="219"/>
      <c r="S20" s="219"/>
      <c r="T20" s="219"/>
      <c r="U20" s="219"/>
      <c r="V20" s="219"/>
      <c r="W20" s="219"/>
      <c r="X20" s="219"/>
      <c r="Y20" s="219"/>
      <c r="Z20" s="219"/>
      <c r="AA20" s="220"/>
    </row>
    <row r="21" spans="1:27" s="74" customFormat="1" ht="14.25" hidden="1" customHeight="1" outlineLevel="2">
      <c r="A21" s="219">
        <f t="shared" ref="A21:C21" si="6">A45</f>
        <v>8</v>
      </c>
      <c r="B21" s="523">
        <f t="shared" si="6"/>
        <v>4.3259557344064378E-2</v>
      </c>
      <c r="C21" s="188">
        <f t="shared" si="6"/>
        <v>8021.0635240011479</v>
      </c>
      <c r="D21" s="218"/>
      <c r="E21" s="219"/>
      <c r="F21" s="219"/>
      <c r="G21" s="219"/>
      <c r="H21" s="219"/>
      <c r="I21" s="219"/>
      <c r="J21" s="219"/>
      <c r="K21" s="219"/>
      <c r="L21" s="219"/>
      <c r="M21" s="219"/>
      <c r="N21" s="219"/>
      <c r="O21" s="219"/>
      <c r="P21" s="219"/>
      <c r="Q21" s="219"/>
      <c r="R21" s="219"/>
      <c r="S21" s="219"/>
      <c r="T21" s="219"/>
      <c r="U21" s="219"/>
      <c r="V21" s="219"/>
      <c r="W21" s="219"/>
      <c r="X21" s="219"/>
      <c r="Y21" s="219"/>
      <c r="Z21" s="219"/>
      <c r="AA21" s="220"/>
    </row>
    <row r="22" spans="1:27" s="74" customFormat="1" ht="14.25" hidden="1" customHeight="1" outlineLevel="2">
      <c r="A22" s="219">
        <f t="shared" ref="A22:C22" si="7">A46</f>
        <v>9</v>
      </c>
      <c r="B22" s="523">
        <f t="shared" si="7"/>
        <v>6.1368209255533178E-2</v>
      </c>
      <c r="C22" s="188">
        <f t="shared" si="7"/>
        <v>11378.718022420231</v>
      </c>
      <c r="D22" s="218"/>
      <c r="E22" s="219"/>
      <c r="F22" s="219"/>
      <c r="G22" s="219"/>
      <c r="H22" s="219"/>
      <c r="I22" s="219"/>
      <c r="J22" s="219"/>
      <c r="K22" s="219"/>
      <c r="L22" s="219"/>
      <c r="M22" s="219"/>
      <c r="N22" s="219"/>
      <c r="O22" s="219"/>
      <c r="P22" s="219"/>
      <c r="Q22" s="219"/>
      <c r="R22" s="219"/>
      <c r="S22" s="219"/>
      <c r="T22" s="219"/>
      <c r="U22" s="219"/>
      <c r="V22" s="219"/>
      <c r="W22" s="219"/>
      <c r="X22" s="219"/>
      <c r="Y22" s="219"/>
      <c r="Z22" s="219"/>
      <c r="AA22" s="220"/>
    </row>
    <row r="23" spans="1:27" s="74" customFormat="1" ht="14.25" hidden="1" customHeight="1" outlineLevel="2">
      <c r="A23" s="219">
        <f t="shared" ref="A23:C23" si="8">A47</f>
        <v>10</v>
      </c>
      <c r="B23" s="523">
        <f t="shared" si="8"/>
        <v>9.8088531187122741E-2</v>
      </c>
      <c r="C23" s="188">
        <f t="shared" si="8"/>
        <v>18187.295199770047</v>
      </c>
      <c r="D23" s="218"/>
      <c r="E23" s="219"/>
      <c r="F23" s="219"/>
      <c r="G23" s="219"/>
      <c r="H23" s="219"/>
      <c r="I23" s="219"/>
      <c r="J23" s="219"/>
      <c r="K23" s="219"/>
      <c r="L23" s="219"/>
      <c r="M23" s="219"/>
      <c r="N23" s="219"/>
      <c r="O23" s="219"/>
      <c r="P23" s="219"/>
      <c r="Q23" s="219"/>
      <c r="R23" s="219"/>
      <c r="S23" s="219"/>
      <c r="T23" s="219"/>
      <c r="U23" s="219"/>
      <c r="V23" s="219"/>
      <c r="W23" s="219"/>
      <c r="X23" s="219"/>
      <c r="Y23" s="219"/>
      <c r="Z23" s="219"/>
      <c r="AA23" s="220"/>
    </row>
    <row r="24" spans="1:27" s="74" customFormat="1" ht="14.25" hidden="1" customHeight="1" outlineLevel="2">
      <c r="A24" s="219">
        <f t="shared" ref="A24:C24" si="9">A48</f>
        <v>11</v>
      </c>
      <c r="B24" s="523">
        <f t="shared" si="9"/>
        <v>7.4446680080482885E-2</v>
      </c>
      <c r="C24" s="188">
        <f t="shared" si="9"/>
        <v>13803.690715722905</v>
      </c>
      <c r="D24" s="218"/>
      <c r="E24" s="219"/>
      <c r="F24" s="219"/>
      <c r="G24" s="219"/>
      <c r="H24" s="219"/>
      <c r="I24" s="219"/>
      <c r="J24" s="219"/>
      <c r="K24" s="219"/>
      <c r="L24" s="219"/>
      <c r="M24" s="219"/>
      <c r="N24" s="219"/>
      <c r="O24" s="219"/>
      <c r="P24" s="219"/>
      <c r="Q24" s="219"/>
      <c r="R24" s="219"/>
      <c r="S24" s="219"/>
      <c r="T24" s="219"/>
      <c r="U24" s="219"/>
      <c r="V24" s="219"/>
      <c r="W24" s="219"/>
      <c r="X24" s="219"/>
      <c r="Y24" s="219"/>
      <c r="Z24" s="219"/>
      <c r="AA24" s="220"/>
    </row>
    <row r="25" spans="1:27" s="74" customFormat="1" ht="14.25" hidden="1" customHeight="1" outlineLevel="2">
      <c r="A25" s="219">
        <f t="shared" ref="A25:C25" si="10">A49</f>
        <v>12</v>
      </c>
      <c r="B25" s="523">
        <f t="shared" si="10"/>
        <v>6.740442655935612E-2</v>
      </c>
      <c r="C25" s="188">
        <f t="shared" si="10"/>
        <v>12497.936188559926</v>
      </c>
      <c r="D25" s="218"/>
      <c r="E25" s="219"/>
      <c r="F25" s="219"/>
      <c r="G25" s="219"/>
      <c r="H25" s="219"/>
      <c r="I25" s="219"/>
      <c r="J25" s="219"/>
      <c r="K25" s="219"/>
      <c r="L25" s="219"/>
      <c r="M25" s="219"/>
      <c r="N25" s="219"/>
      <c r="O25" s="219"/>
      <c r="P25" s="219"/>
      <c r="Q25" s="219"/>
      <c r="R25" s="219"/>
      <c r="S25" s="219"/>
      <c r="T25" s="219"/>
      <c r="U25" s="219"/>
      <c r="V25" s="219"/>
      <c r="W25" s="219"/>
      <c r="X25" s="219"/>
      <c r="Y25" s="219"/>
      <c r="Z25" s="219"/>
      <c r="AA25" s="220"/>
    </row>
    <row r="26" spans="1:27" s="74" customFormat="1" ht="14.25" hidden="1" customHeight="1" outlineLevel="2">
      <c r="A26" s="219">
        <f t="shared" ref="A26:C26" si="11">A50</f>
        <v>13</v>
      </c>
      <c r="B26" s="523">
        <f t="shared" si="11"/>
        <v>7.092555331991951E-2</v>
      </c>
      <c r="C26" s="188">
        <f t="shared" si="11"/>
        <v>13150.813452141418</v>
      </c>
      <c r="D26" s="218"/>
      <c r="E26" s="219"/>
      <c r="F26" s="219"/>
      <c r="G26" s="219"/>
      <c r="H26" s="219"/>
      <c r="I26" s="219"/>
      <c r="J26" s="219"/>
      <c r="K26" s="219"/>
      <c r="L26" s="219"/>
      <c r="M26" s="219"/>
      <c r="N26" s="219"/>
      <c r="O26" s="219"/>
      <c r="P26" s="219"/>
      <c r="Q26" s="219"/>
      <c r="R26" s="219"/>
      <c r="S26" s="219"/>
      <c r="T26" s="219"/>
      <c r="U26" s="219"/>
      <c r="V26" s="219"/>
      <c r="W26" s="219"/>
      <c r="X26" s="219"/>
      <c r="Y26" s="219"/>
      <c r="Z26" s="219"/>
      <c r="AA26" s="220"/>
    </row>
    <row r="27" spans="1:27" s="74" customFormat="1" ht="14.25" hidden="1" customHeight="1" outlineLevel="2">
      <c r="A27" s="219">
        <f t="shared" ref="A27:C27" si="12">A51</f>
        <v>14</v>
      </c>
      <c r="B27" s="523">
        <f t="shared" si="12"/>
        <v>5.4325955734406434E-2</v>
      </c>
      <c r="C27" s="188">
        <f t="shared" si="12"/>
        <v>10072.963495257256</v>
      </c>
      <c r="D27" s="218"/>
      <c r="E27" s="219"/>
      <c r="F27" s="219"/>
      <c r="G27" s="219"/>
      <c r="H27" s="219"/>
      <c r="I27" s="219"/>
      <c r="J27" s="219"/>
      <c r="K27" s="219"/>
      <c r="L27" s="219"/>
      <c r="M27" s="219"/>
      <c r="N27" s="219"/>
      <c r="O27" s="219"/>
      <c r="P27" s="219"/>
      <c r="Q27" s="219"/>
      <c r="R27" s="219"/>
      <c r="S27" s="219"/>
      <c r="T27" s="219"/>
      <c r="U27" s="219"/>
      <c r="V27" s="219"/>
      <c r="W27" s="219"/>
      <c r="X27" s="219"/>
      <c r="Y27" s="219"/>
      <c r="Z27" s="219"/>
      <c r="AA27" s="220"/>
    </row>
    <row r="28" spans="1:27" s="74" customFormat="1" ht="14.25" hidden="1" customHeight="1" outlineLevel="2">
      <c r="A28" s="219">
        <f t="shared" ref="A28:C28" si="13">A52</f>
        <v>15</v>
      </c>
      <c r="B28" s="523">
        <f t="shared" si="13"/>
        <v>6.2877263581488915E-2</v>
      </c>
      <c r="C28" s="188">
        <f t="shared" si="13"/>
        <v>11658.522563955155</v>
      </c>
      <c r="D28" s="218"/>
      <c r="E28" s="219"/>
      <c r="F28" s="219"/>
      <c r="G28" s="219"/>
      <c r="H28" s="219"/>
      <c r="I28" s="219"/>
      <c r="J28" s="219"/>
      <c r="K28" s="219"/>
      <c r="L28" s="219"/>
      <c r="M28" s="219"/>
      <c r="N28" s="219"/>
      <c r="O28" s="219"/>
      <c r="P28" s="219"/>
      <c r="Q28" s="219"/>
      <c r="R28" s="219"/>
      <c r="S28" s="219"/>
      <c r="T28" s="219"/>
      <c r="U28" s="219"/>
      <c r="V28" s="219"/>
      <c r="W28" s="219"/>
      <c r="X28" s="219"/>
      <c r="Y28" s="219"/>
      <c r="Z28" s="219"/>
      <c r="AA28" s="220"/>
    </row>
    <row r="29" spans="1:27" s="74" customFormat="1" ht="14.25" hidden="1" customHeight="1" outlineLevel="2">
      <c r="A29" s="219">
        <f t="shared" ref="A29:C29" si="14">A53</f>
        <v>16</v>
      </c>
      <c r="B29" s="523">
        <f t="shared" si="14"/>
        <v>4.1247484909456733E-2</v>
      </c>
      <c r="C29" s="188">
        <f t="shared" si="14"/>
        <v>7647.9908019545828</v>
      </c>
      <c r="D29" s="218"/>
      <c r="E29" s="219"/>
      <c r="F29" s="219"/>
      <c r="G29" s="219"/>
      <c r="H29" s="219"/>
      <c r="I29" s="219"/>
      <c r="J29" s="219"/>
      <c r="K29" s="219"/>
      <c r="L29" s="219"/>
      <c r="M29" s="219"/>
      <c r="N29" s="219"/>
      <c r="O29" s="219"/>
      <c r="P29" s="219"/>
      <c r="Q29" s="219"/>
      <c r="R29" s="219"/>
      <c r="S29" s="219"/>
      <c r="T29" s="219"/>
      <c r="U29" s="219"/>
      <c r="V29" s="219"/>
      <c r="W29" s="219"/>
      <c r="X29" s="219"/>
      <c r="Y29" s="219"/>
      <c r="Z29" s="219"/>
      <c r="AA29" s="220"/>
    </row>
    <row r="30" spans="1:27" s="74" customFormat="1" ht="14.25" hidden="1" customHeight="1" outlineLevel="2">
      <c r="A30" s="219">
        <f t="shared" ref="A30:C30" si="15">A54</f>
        <v>17</v>
      </c>
      <c r="B30" s="523">
        <f t="shared" si="15"/>
        <v>2.313883299798792E-2</v>
      </c>
      <c r="C30" s="188">
        <f t="shared" si="15"/>
        <v>4290.3363035354969</v>
      </c>
      <c r="D30" s="218"/>
      <c r="E30" s="219"/>
      <c r="F30" s="219"/>
      <c r="G30" s="219"/>
      <c r="H30" s="219"/>
      <c r="I30" s="219"/>
      <c r="J30" s="219"/>
      <c r="K30" s="219"/>
      <c r="L30" s="219"/>
      <c r="M30" s="219"/>
      <c r="N30" s="219"/>
      <c r="O30" s="219"/>
      <c r="P30" s="219"/>
      <c r="Q30" s="219"/>
      <c r="R30" s="219"/>
      <c r="S30" s="219"/>
      <c r="T30" s="219"/>
      <c r="U30" s="219"/>
      <c r="V30" s="219"/>
      <c r="W30" s="219"/>
      <c r="X30" s="219"/>
      <c r="Y30" s="219"/>
      <c r="Z30" s="219"/>
      <c r="AA30" s="220"/>
    </row>
    <row r="31" spans="1:27" s="74" customFormat="1" ht="14.25" hidden="1" customHeight="1" outlineLevel="2">
      <c r="A31" s="219">
        <f t="shared" ref="A31:C31" si="16">A55</f>
        <v>18</v>
      </c>
      <c r="B31" s="523">
        <f t="shared" si="16"/>
        <v>2.2132796780684097E-2</v>
      </c>
      <c r="C31" s="188">
        <f t="shared" si="16"/>
        <v>4103.7999425122143</v>
      </c>
      <c r="D31" s="218"/>
      <c r="E31" s="219"/>
      <c r="F31" s="219"/>
      <c r="G31" s="219"/>
      <c r="H31" s="219"/>
      <c r="I31" s="219"/>
      <c r="J31" s="219"/>
      <c r="K31" s="219"/>
      <c r="L31" s="219"/>
      <c r="M31" s="219"/>
      <c r="N31" s="219"/>
      <c r="O31" s="219"/>
      <c r="P31" s="219"/>
      <c r="Q31" s="219"/>
      <c r="R31" s="219"/>
      <c r="S31" s="219"/>
      <c r="T31" s="219"/>
      <c r="U31" s="219"/>
      <c r="V31" s="219"/>
      <c r="W31" s="219"/>
      <c r="X31" s="219"/>
      <c r="Y31" s="219"/>
      <c r="Z31" s="219"/>
      <c r="AA31" s="220"/>
    </row>
    <row r="32" spans="1:27" s="74" customFormat="1" ht="14.25" hidden="1" customHeight="1" outlineLevel="2">
      <c r="A32" s="219">
        <f t="shared" ref="A32:C32" si="17">A56</f>
        <v>19</v>
      </c>
      <c r="B32" s="523">
        <f t="shared" si="17"/>
        <v>1.8611670020120721E-2</v>
      </c>
      <c r="C32" s="188">
        <f t="shared" si="17"/>
        <v>3450.9226789307263</v>
      </c>
      <c r="D32" s="218"/>
      <c r="E32" s="219"/>
      <c r="F32" s="219"/>
      <c r="G32" s="219"/>
      <c r="H32" s="219"/>
      <c r="I32" s="219"/>
      <c r="J32" s="219"/>
      <c r="K32" s="219"/>
      <c r="L32" s="219"/>
      <c r="M32" s="219"/>
      <c r="N32" s="219"/>
      <c r="O32" s="219"/>
      <c r="P32" s="219"/>
      <c r="Q32" s="219"/>
      <c r="R32" s="219"/>
      <c r="S32" s="219"/>
      <c r="T32" s="219"/>
      <c r="U32" s="219"/>
      <c r="V32" s="219"/>
      <c r="W32" s="219"/>
      <c r="X32" s="219"/>
      <c r="Y32" s="219"/>
      <c r="Z32" s="219"/>
      <c r="AA32" s="220"/>
    </row>
    <row r="33" spans="1:27" s="74" customFormat="1" ht="14.25" hidden="1" customHeight="1" outlineLevel="2">
      <c r="A33" s="219">
        <f t="shared" ref="A33:C33" si="18">A57</f>
        <v>20</v>
      </c>
      <c r="B33" s="523">
        <f t="shared" si="18"/>
        <v>1.6096579476861165E-2</v>
      </c>
      <c r="C33" s="188">
        <f t="shared" si="18"/>
        <v>2984.5817763725204</v>
      </c>
      <c r="D33" s="218"/>
      <c r="E33" s="219"/>
      <c r="F33" s="219"/>
      <c r="G33" s="219"/>
      <c r="H33" s="219"/>
      <c r="I33" s="219"/>
      <c r="J33" s="219"/>
      <c r="K33" s="219"/>
      <c r="L33" s="219"/>
      <c r="M33" s="219"/>
      <c r="N33" s="219"/>
      <c r="O33" s="219"/>
      <c r="P33" s="219"/>
      <c r="Q33" s="219"/>
      <c r="R33" s="219"/>
      <c r="S33" s="219"/>
      <c r="T33" s="219"/>
      <c r="U33" s="219"/>
      <c r="V33" s="219"/>
      <c r="W33" s="219"/>
      <c r="X33" s="219"/>
      <c r="Y33" s="219"/>
      <c r="Z33" s="219"/>
      <c r="AA33" s="220"/>
    </row>
    <row r="34" spans="1:27" s="74" customFormat="1" ht="14.25" hidden="1" customHeight="1" outlineLevel="2">
      <c r="A34" s="219">
        <f t="shared" ref="A34:C34" si="19">A58</f>
        <v>21</v>
      </c>
      <c r="B34" s="523">
        <f t="shared" si="19"/>
        <v>4.8792756539235399E-2</v>
      </c>
      <c r="C34" s="188">
        <f t="shared" si="19"/>
        <v>9047.0135096291997</v>
      </c>
      <c r="D34" s="218"/>
      <c r="E34" s="219"/>
      <c r="F34" s="219"/>
      <c r="G34" s="219"/>
      <c r="H34" s="219"/>
      <c r="I34" s="219"/>
      <c r="J34" s="219"/>
      <c r="K34" s="219"/>
      <c r="L34" s="219"/>
      <c r="M34" s="219"/>
      <c r="N34" s="219"/>
      <c r="O34" s="219"/>
      <c r="P34" s="219"/>
      <c r="Q34" s="219"/>
      <c r="R34" s="219"/>
      <c r="S34" s="219"/>
      <c r="T34" s="219"/>
      <c r="U34" s="219"/>
      <c r="V34" s="219"/>
      <c r="W34" s="219"/>
      <c r="X34" s="219"/>
      <c r="Y34" s="219"/>
      <c r="Z34" s="219"/>
      <c r="AA34" s="220"/>
    </row>
    <row r="35" spans="1:27" s="74" customFormat="1" ht="14.25" hidden="1" customHeight="1" outlineLevel="2">
      <c r="A35" s="219">
        <f t="shared" ref="A35:C35" si="20">A59</f>
        <v>22</v>
      </c>
      <c r="B35" s="523">
        <f t="shared" si="20"/>
        <v>2.3641851106639834E-2</v>
      </c>
      <c r="C35" s="188">
        <f t="shared" si="20"/>
        <v>4383.6044840471386</v>
      </c>
      <c r="D35" s="218"/>
      <c r="E35" s="219"/>
      <c r="F35" s="219"/>
      <c r="G35" s="219"/>
      <c r="H35" s="219"/>
      <c r="I35" s="219"/>
      <c r="J35" s="219"/>
      <c r="K35" s="219"/>
      <c r="L35" s="219"/>
      <c r="M35" s="219"/>
      <c r="N35" s="219"/>
      <c r="O35" s="219"/>
      <c r="P35" s="219"/>
      <c r="Q35" s="219"/>
      <c r="R35" s="219"/>
      <c r="S35" s="219"/>
      <c r="T35" s="219"/>
      <c r="U35" s="219"/>
      <c r="V35" s="219"/>
      <c r="W35" s="219"/>
      <c r="X35" s="219"/>
      <c r="Y35" s="219"/>
      <c r="Z35" s="219"/>
      <c r="AA35" s="220"/>
    </row>
    <row r="36" spans="1:27" s="74" customFormat="1" ht="14.25" hidden="1" customHeight="1" outlineLevel="2">
      <c r="A36" s="219">
        <f t="shared" ref="A36:C36" si="21">A60</f>
        <v>23</v>
      </c>
      <c r="B36" s="523">
        <f t="shared" si="21"/>
        <v>1.5090543259557342E-2</v>
      </c>
      <c r="C36" s="188">
        <f t="shared" si="21"/>
        <v>2798.0454153492378</v>
      </c>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20"/>
    </row>
    <row r="37" spans="1:27" s="74" customFormat="1" ht="15" hidden="1" customHeight="1" outlineLevel="2" thickBot="1">
      <c r="A37" s="222">
        <f t="shared" ref="A37:C37" si="22">A61</f>
        <v>24</v>
      </c>
      <c r="B37" s="524">
        <f t="shared" si="22"/>
        <v>1.1066398390342048E-2</v>
      </c>
      <c r="C37" s="191">
        <f t="shared" si="22"/>
        <v>2051.8999712561072</v>
      </c>
      <c r="D37" s="221"/>
      <c r="E37" s="222"/>
      <c r="F37" s="222"/>
      <c r="G37" s="222"/>
      <c r="H37" s="222"/>
      <c r="I37" s="222"/>
      <c r="J37" s="222"/>
      <c r="K37" s="222"/>
      <c r="L37" s="222"/>
      <c r="M37" s="222"/>
      <c r="N37" s="222"/>
      <c r="O37" s="222"/>
      <c r="P37" s="222"/>
      <c r="Q37" s="222"/>
      <c r="R37" s="222"/>
      <c r="S37" s="222"/>
      <c r="T37" s="222"/>
      <c r="U37" s="222"/>
      <c r="V37" s="222"/>
      <c r="W37" s="222"/>
      <c r="X37" s="222"/>
      <c r="Y37" s="222"/>
      <c r="Z37" s="222"/>
      <c r="AA37" s="223"/>
    </row>
    <row r="38" spans="1:27" s="74" customFormat="1" ht="14.25" hidden="1" customHeight="1" outlineLevel="1" collapsed="1">
      <c r="A38" s="219">
        <v>1</v>
      </c>
      <c r="B38" s="523">
        <f>LogH1/SUM(LogH1:LogH24)</f>
        <v>2.3641851106639834E-2</v>
      </c>
      <c r="C38" s="188">
        <f t="shared" ref="C38:C61" si="23">B38*(CalcNumUserTLogs+NumMoveMBXTLogs)*NumMBXServers</f>
        <v>4383.6044840471386</v>
      </c>
      <c r="D38" s="189">
        <f>((AVERAGE($C38))*8)/3600</f>
        <v>9.7413432978825298</v>
      </c>
      <c r="E38" s="420">
        <f>((AVERAGE($C37:$C38))*8)/3600</f>
        <v>7.1505605058924955</v>
      </c>
      <c r="F38" s="420">
        <f>((AVERAGE($C36:$C38))*8)/3600</f>
        <v>6.8396665708536917</v>
      </c>
      <c r="G38" s="420">
        <f>((AVERAGE($C34:$C38))*8)/3600</f>
        <v>10.072963495257254</v>
      </c>
      <c r="H38" s="420">
        <f>((AVERAGE($C34:$C38))*8)/3600</f>
        <v>10.072963495257254</v>
      </c>
      <c r="I38" s="420">
        <f>((AVERAGE($C33:$C38))*8)/3600</f>
        <v>9.4995369039634596</v>
      </c>
      <c r="J38" s="420">
        <f>((AVERAGE($C32:$C38))*8)/3600</f>
        <v>9.2379912125816084</v>
      </c>
      <c r="K38" s="420">
        <f>((AVERAGE($C31:$C38))*8)/3600</f>
        <v>9.2231867394845217</v>
      </c>
      <c r="L38" s="420">
        <f>((AVERAGE($C30:$C38))*8)/3600</f>
        <v>9.2577305100443894</v>
      </c>
      <c r="M38" s="420">
        <f>((AVERAGE($C29:$C38))*8)/3600</f>
        <v>10.031510970585412</v>
      </c>
      <c r="N38" s="420">
        <f>((AVERAGE($C28:$C38))*8)/3600</f>
        <v>11.474812511432225</v>
      </c>
      <c r="O38" s="420">
        <f>((AVERAGE($C27:$C38))*8)/3600</f>
        <v>12.383941745712365</v>
      </c>
      <c r="P38" s="420">
        <f>((AVERAGE($C26:$C38))*8)/3600</f>
        <v>13.679333141707387</v>
      </c>
      <c r="Q38" s="420">
        <f>((AVERAGE($C25:$C38))*8)/3600</f>
        <v>14.686037312309228</v>
      </c>
      <c r="R38" s="420">
        <f>((AVERAGE($C24:$C38))*8)/3600</f>
        <v>15.751959375299409</v>
      </c>
      <c r="S38" s="420">
        <f>((AVERAGE($C23:$C38))*8)/3600</f>
        <v>17.29347513653348</v>
      </c>
      <c r="T38" s="420">
        <f>((AVERAGE($C22:$C38))*8)/3600</f>
        <v>17.763626013785792</v>
      </c>
      <c r="U38" s="420">
        <f>((AVERAGE($C21:$C38))*8)/3600</f>
        <v>17.767012657958325</v>
      </c>
      <c r="V38" s="420">
        <f>((AVERAGE($C20:$C38))*8)/3600</f>
        <v>17.868219845388111</v>
      </c>
      <c r="W38" s="420">
        <f>((AVERAGE($C19:$C38))*8)/3600</f>
        <v>18.187295199770041</v>
      </c>
      <c r="X38" s="420">
        <f>((AVERAGE($C18:$C38))*8)/3600</f>
        <v>18.130544719564543</v>
      </c>
      <c r="Y38" s="420">
        <f>((AVERAGE($C17:$C38))*8)/3600</f>
        <v>17.824585608891436</v>
      </c>
      <c r="Z38" s="420">
        <f>((AVERAGE($C16:$C38))*8)/3600</f>
        <v>17.644357240752999</v>
      </c>
      <c r="AA38" s="422">
        <f>((AVERAGE($C15:$C38))*8)/3600</f>
        <v>17.168253968253961</v>
      </c>
    </row>
    <row r="39" spans="1:27" s="74" customFormat="1" ht="15" hidden="1" outlineLevel="1">
      <c r="A39" s="798">
        <v>2</v>
      </c>
      <c r="B39" s="525">
        <f>LogH2/SUM(LogH1:LogH24)</f>
        <v>1.5090543259557342E-2</v>
      </c>
      <c r="C39" s="188">
        <f t="shared" si="23"/>
        <v>2798.0454153492378</v>
      </c>
      <c r="D39" s="418">
        <f t="shared" ref="D39:D61" si="24">((AVERAGE($C39))*8)/3600</f>
        <v>6.2178787007760841</v>
      </c>
      <c r="E39" s="419">
        <f t="shared" ref="E39:E61" si="25">((AVERAGE($C38:$C39))*8)/3600</f>
        <v>7.9796109993293065</v>
      </c>
      <c r="F39" s="419">
        <f t="shared" ref="F39:F61" si="26">((AVERAGE($C37:$C39))*8)/3600</f>
        <v>6.8396665708536917</v>
      </c>
      <c r="G39" s="419">
        <f t="shared" ref="G39:H39" si="27">((AVERAGE($C35:$C39))*8)/3600</f>
        <v>7.2956443422439383</v>
      </c>
      <c r="H39" s="419">
        <f t="shared" si="27"/>
        <v>7.2956443422439383</v>
      </c>
      <c r="I39" s="419">
        <f t="shared" ref="I39:I61" si="28">((AVERAGE($C34:$C39))*8)/3600</f>
        <v>9.430449362843726</v>
      </c>
      <c r="J39" s="419">
        <f t="shared" ref="J39:J61" si="29">((AVERAGE($C33:$C39))*8)/3600</f>
        <v>9.0307285892224058</v>
      </c>
      <c r="K39" s="419">
        <f t="shared" ref="K39:K61" si="30">((AVERAGE($C32:$C39))*8)/3600</f>
        <v>8.8604771486059182</v>
      </c>
      <c r="L39" s="419">
        <f t="shared" ref="L39:L61" si="31">((AVERAGE($C31:$C39))*8)/3600</f>
        <v>8.8892636240724734</v>
      </c>
      <c r="M39" s="419">
        <f t="shared" ref="M39:M61" si="32">((AVERAGE($C30:$C39))*8)/3600</f>
        <v>8.9537453291175595</v>
      </c>
      <c r="N39" s="419">
        <f t="shared" ref="N39:N61" si="33">((AVERAGE($C29:$C39))*8)/3600</f>
        <v>9.6848171278754744</v>
      </c>
      <c r="O39" s="419">
        <f t="shared" ref="O39:O61" si="34">((AVERAGE($C28:$C39))*8)/3600</f>
        <v>11.036734693877547</v>
      </c>
      <c r="P39" s="419">
        <f t="shared" ref="P39:P61" si="35">((AVERAGE($C27:$C39))*8)/3600</f>
        <v>11.909629203794189</v>
      </c>
      <c r="Q39" s="419">
        <f t="shared" ref="Q39:Q61" si="36">((AVERAGE($C26:$C39))*8)/3600</f>
        <v>13.146372110212294</v>
      </c>
      <c r="R39" s="419">
        <f t="shared" ref="R39:R61" si="37">((AVERAGE($C25:$C39))*8)/3600</f>
        <v>14.121493404873684</v>
      </c>
      <c r="S39" s="419">
        <f t="shared" ref="S39:S61" si="38">((AVERAGE($C24:$C39))*8)/3600</f>
        <v>15.156079333141701</v>
      </c>
      <c r="T39" s="419">
        <f t="shared" ref="T39:T61" si="39">((AVERAGE($C23:$C39))*8)/3600</f>
        <v>16.641969463841868</v>
      </c>
      <c r="U39" s="419">
        <f t="shared" ref="U39:U61" si="40">((AVERAGE($C22:$C39))*8)/3600</f>
        <v>17.122195607507475</v>
      </c>
      <c r="V39" s="419">
        <f t="shared" ref="V39:V61" si="41">((AVERAGE($C21:$C39))*8)/3600</f>
        <v>17.159163502317156</v>
      </c>
      <c r="W39" s="419">
        <f t="shared" ref="W39:W61" si="42">((AVERAGE($C20:$C39))*8)/3600</f>
        <v>17.285702788157511</v>
      </c>
      <c r="X39" s="419">
        <f t="shared" ref="X39:X61" si="43">((AVERAGE($C19:$C39))*8)/3600</f>
        <v>17.617322985532233</v>
      </c>
      <c r="Y39" s="419">
        <f t="shared" ref="Y39:Y61" si="44">((AVERAGE($C18:$C39))*8)/3600</f>
        <v>17.589059900528706</v>
      </c>
      <c r="Z39" s="419">
        <f t="shared" ref="Z39:Z61" si="45">((AVERAGE($C17:$C39))*8)/3600</f>
        <v>17.319946178103812</v>
      </c>
      <c r="AA39" s="190">
        <f t="shared" ref="AA39:AA61" si="46">((AVERAGE($C16:$C39))*8)/3600</f>
        <v>17.168253968253961</v>
      </c>
    </row>
    <row r="40" spans="1:27" s="74" customFormat="1" ht="15" hidden="1" outlineLevel="1">
      <c r="A40" s="798">
        <v>3</v>
      </c>
      <c r="B40" s="525">
        <f>LogH3/SUM(LogH1:LogH24)</f>
        <v>3.3199195171026152E-2</v>
      </c>
      <c r="C40" s="188">
        <f t="shared" si="23"/>
        <v>6155.6999137683224</v>
      </c>
      <c r="D40" s="418">
        <f t="shared" si="24"/>
        <v>13.679333141707383</v>
      </c>
      <c r="E40" s="419">
        <f t="shared" si="25"/>
        <v>9.9486059212417342</v>
      </c>
      <c r="F40" s="419">
        <f t="shared" si="26"/>
        <v>9.8795183801220006</v>
      </c>
      <c r="G40" s="419">
        <f t="shared" ref="G40:H40" si="47">((AVERAGE($C36:$C40))*8)/3600</f>
        <v>8.0832423110089078</v>
      </c>
      <c r="H40" s="419">
        <f t="shared" si="47"/>
        <v>8.0832423110089078</v>
      </c>
      <c r="I40" s="419">
        <f t="shared" si="28"/>
        <v>8.3595924754878457</v>
      </c>
      <c r="J40" s="419">
        <f t="shared" si="29"/>
        <v>10.037432759824247</v>
      </c>
      <c r="K40" s="419">
        <f t="shared" si="30"/>
        <v>9.6118041582830287</v>
      </c>
      <c r="L40" s="419">
        <f t="shared" si="31"/>
        <v>9.3959055922838584</v>
      </c>
      <c r="M40" s="419">
        <f t="shared" si="32"/>
        <v>9.3682705758359646</v>
      </c>
      <c r="N40" s="419">
        <f t="shared" si="33"/>
        <v>9.3833442211711802</v>
      </c>
      <c r="O40" s="419">
        <f t="shared" si="34"/>
        <v>10.017693462361468</v>
      </c>
      <c r="P40" s="419">
        <f t="shared" si="35"/>
        <v>11.240011497556765</v>
      </c>
      <c r="Q40" s="419">
        <f t="shared" si="36"/>
        <v>12.036036627930846</v>
      </c>
      <c r="R40" s="419">
        <f t="shared" si="37"/>
        <v>13.181902845645297</v>
      </c>
      <c r="S40" s="419">
        <f t="shared" si="38"/>
        <v>14.093858388425788</v>
      </c>
      <c r="T40" s="419">
        <f t="shared" si="39"/>
        <v>15.069211910116152</v>
      </c>
      <c r="U40" s="419">
        <f t="shared" si="40"/>
        <v>16.477378557056618</v>
      </c>
      <c r="V40" s="419">
        <f t="shared" si="41"/>
        <v>16.940992319833789</v>
      </c>
      <c r="W40" s="419">
        <f t="shared" si="42"/>
        <v>16.985171984286669</v>
      </c>
      <c r="X40" s="419">
        <f t="shared" si="43"/>
        <v>17.113970900231315</v>
      </c>
      <c r="Y40" s="419">
        <f t="shared" si="44"/>
        <v>17.438323447176561</v>
      </c>
      <c r="Z40" s="419">
        <f t="shared" si="45"/>
        <v>17.419071780579952</v>
      </c>
      <c r="AA40" s="421">
        <f t="shared" si="46"/>
        <v>17.168253968253961</v>
      </c>
    </row>
    <row r="41" spans="1:27" s="74" customFormat="1" ht="15" hidden="1" outlineLevel="1">
      <c r="A41" s="798">
        <v>4</v>
      </c>
      <c r="B41" s="525">
        <f>LogH4/SUM(LogH1:LogH24)</f>
        <v>2.7665995975855121E-2</v>
      </c>
      <c r="C41" s="188">
        <f t="shared" si="23"/>
        <v>5129.7499281402679</v>
      </c>
      <c r="D41" s="418">
        <f t="shared" si="24"/>
        <v>11.39944428475615</v>
      </c>
      <c r="E41" s="419">
        <f t="shared" si="25"/>
        <v>12.539388713231768</v>
      </c>
      <c r="F41" s="419">
        <f t="shared" si="26"/>
        <v>10.432218709079875</v>
      </c>
      <c r="G41" s="419">
        <f t="shared" ref="G41:H41" si="48">((AVERAGE($C37:$C41))*8)/3600</f>
        <v>9.1195554278049205</v>
      </c>
      <c r="H41" s="419">
        <f t="shared" si="48"/>
        <v>9.1195554278049205</v>
      </c>
      <c r="I41" s="419">
        <f t="shared" si="28"/>
        <v>8.6359426399667818</v>
      </c>
      <c r="J41" s="419">
        <f t="shared" si="29"/>
        <v>8.7938570196690318</v>
      </c>
      <c r="K41" s="419">
        <f t="shared" si="30"/>
        <v>10.207684200440736</v>
      </c>
      <c r="L41" s="419">
        <f t="shared" si="31"/>
        <v>9.8104308390022634</v>
      </c>
      <c r="M41" s="419">
        <f t="shared" si="32"/>
        <v>9.5962594615310888</v>
      </c>
      <c r="N41" s="419">
        <f t="shared" si="33"/>
        <v>9.5529227311923446</v>
      </c>
      <c r="O41" s="419">
        <f t="shared" si="34"/>
        <v>9.5513525598032611</v>
      </c>
      <c r="P41" s="419">
        <f t="shared" si="35"/>
        <v>10.123981987161059</v>
      </c>
      <c r="Q41" s="419">
        <f t="shared" si="36"/>
        <v>11.251399553785292</v>
      </c>
      <c r="R41" s="419">
        <f t="shared" si="37"/>
        <v>11.993597138385867</v>
      </c>
      <c r="S41" s="419">
        <f t="shared" si="38"/>
        <v>13.070499185589727</v>
      </c>
      <c r="T41" s="419">
        <f t="shared" si="39"/>
        <v>13.935363441151104</v>
      </c>
      <c r="U41" s="419">
        <f t="shared" si="40"/>
        <v>14.865335930929486</v>
      </c>
      <c r="V41" s="419">
        <f t="shared" si="41"/>
        <v>16.210118858514488</v>
      </c>
      <c r="W41" s="419">
        <f t="shared" si="42"/>
        <v>16.663914918079904</v>
      </c>
      <c r="X41" s="419">
        <f t="shared" si="43"/>
        <v>16.719184950975691</v>
      </c>
      <c r="Y41" s="419">
        <f t="shared" si="44"/>
        <v>16.854219690436988</v>
      </c>
      <c r="Z41" s="419">
        <f t="shared" si="45"/>
        <v>17.175763483593062</v>
      </c>
      <c r="AA41" s="421">
        <f t="shared" si="46"/>
        <v>17.168253968253961</v>
      </c>
    </row>
    <row r="42" spans="1:27" s="74" customFormat="1" ht="15" hidden="1" outlineLevel="1">
      <c r="A42" s="798">
        <v>5</v>
      </c>
      <c r="B42" s="525">
        <f>LogH5/SUM(LogH1:LogH24)</f>
        <v>4.1247484909456733E-2</v>
      </c>
      <c r="C42" s="188">
        <f t="shared" si="23"/>
        <v>7647.9908019545828</v>
      </c>
      <c r="D42" s="418">
        <f t="shared" si="24"/>
        <v>16.995535115454629</v>
      </c>
      <c r="E42" s="419">
        <f t="shared" si="25"/>
        <v>14.19748970010539</v>
      </c>
      <c r="F42" s="419">
        <f t="shared" si="26"/>
        <v>14.024770847306055</v>
      </c>
      <c r="G42" s="419">
        <f t="shared" ref="G42:H42" si="49">((AVERAGE($C38:$C42))*8)/3600</f>
        <v>11.606706908115354</v>
      </c>
      <c r="H42" s="419">
        <f t="shared" si="49"/>
        <v>11.606706908115354</v>
      </c>
      <c r="I42" s="419">
        <f t="shared" si="28"/>
        <v>10.432218709079871</v>
      </c>
      <c r="J42" s="419">
        <f t="shared" si="29"/>
        <v>9.8301701364650462</v>
      </c>
      <c r="K42" s="419">
        <f t="shared" si="30"/>
        <v>9.8190667816422312</v>
      </c>
      <c r="L42" s="419">
        <f t="shared" si="31"/>
        <v>10.961889857664502</v>
      </c>
      <c r="M42" s="419">
        <f t="shared" si="32"/>
        <v>10.528941266647502</v>
      </c>
      <c r="N42" s="419">
        <f t="shared" si="33"/>
        <v>10.268920884615047</v>
      </c>
      <c r="O42" s="419">
        <f t="shared" si="34"/>
        <v>10.173140429880869</v>
      </c>
      <c r="P42" s="419">
        <f t="shared" si="35"/>
        <v>10.123981987161059</v>
      </c>
      <c r="Q42" s="419">
        <f t="shared" si="36"/>
        <v>10.6148072106106</v>
      </c>
      <c r="R42" s="419">
        <f t="shared" si="37"/>
        <v>11.634341924563248</v>
      </c>
      <c r="S42" s="419">
        <f t="shared" si="38"/>
        <v>12.306218261952663</v>
      </c>
      <c r="T42" s="419">
        <f t="shared" si="39"/>
        <v>13.301383652052367</v>
      </c>
      <c r="U42" s="419">
        <f t="shared" si="40"/>
        <v>14.105372978612412</v>
      </c>
      <c r="V42" s="419">
        <f t="shared" si="41"/>
        <v>14.97745167748344</v>
      </c>
      <c r="W42" s="419">
        <f t="shared" si="42"/>
        <v>16.249389671361495</v>
      </c>
      <c r="X42" s="419">
        <f t="shared" si="43"/>
        <v>16.679706356050129</v>
      </c>
      <c r="Y42" s="419">
        <f t="shared" si="44"/>
        <v>16.73174632208837</v>
      </c>
      <c r="Z42" s="419">
        <f t="shared" si="45"/>
        <v>16.8603638393508</v>
      </c>
      <c r="AA42" s="421">
        <f t="shared" si="46"/>
        <v>17.168253968253961</v>
      </c>
    </row>
    <row r="43" spans="1:27" s="74" customFormat="1" ht="15" hidden="1" outlineLevel="1">
      <c r="A43" s="798">
        <v>6</v>
      </c>
      <c r="B43" s="525">
        <f>LogH6/SUM(LogH1:LogH24)</f>
        <v>5.8853118712273639E-2</v>
      </c>
      <c r="C43" s="188">
        <f t="shared" si="23"/>
        <v>10912.377119862027</v>
      </c>
      <c r="D43" s="418">
        <f t="shared" si="24"/>
        <v>24.249726933026725</v>
      </c>
      <c r="E43" s="419">
        <f t="shared" si="25"/>
        <v>20.622631024240679</v>
      </c>
      <c r="F43" s="419">
        <f t="shared" si="26"/>
        <v>17.548235444412501</v>
      </c>
      <c r="G43" s="419">
        <f t="shared" ref="G43:H43" si="50">((AVERAGE($C39:$C43))*8)/3600</f>
        <v>14.508383635144197</v>
      </c>
      <c r="H43" s="419">
        <f t="shared" si="50"/>
        <v>14.508383635144197</v>
      </c>
      <c r="I43" s="419">
        <f t="shared" si="28"/>
        <v>13.713876912267249</v>
      </c>
      <c r="J43" s="419">
        <f t="shared" si="29"/>
        <v>12.406148455357993</v>
      </c>
      <c r="K43" s="419">
        <f t="shared" si="30"/>
        <v>11.632614736035256</v>
      </c>
      <c r="L43" s="419">
        <f t="shared" si="31"/>
        <v>11.4224734651294</v>
      </c>
      <c r="M43" s="419">
        <f t="shared" si="32"/>
        <v>12.290673565200725</v>
      </c>
      <c r="N43" s="419">
        <f t="shared" si="33"/>
        <v>11.776285418136522</v>
      </c>
      <c r="O43" s="419">
        <f t="shared" si="34"/>
        <v>11.43398805531602</v>
      </c>
      <c r="P43" s="419">
        <f t="shared" si="35"/>
        <v>11.255954776276702</v>
      </c>
      <c r="Q43" s="419">
        <f t="shared" si="36"/>
        <v>11.132963769008606</v>
      </c>
      <c r="R43" s="419">
        <f t="shared" si="37"/>
        <v>11.523801858771675</v>
      </c>
      <c r="S43" s="419">
        <f t="shared" si="38"/>
        <v>12.422803487592216</v>
      </c>
      <c r="T43" s="419">
        <f t="shared" si="39"/>
        <v>13.008777595545254</v>
      </c>
      <c r="U43" s="419">
        <f t="shared" si="40"/>
        <v>13.909624945439832</v>
      </c>
      <c r="V43" s="419">
        <f t="shared" si="41"/>
        <v>14.639286344634218</v>
      </c>
      <c r="W43" s="419">
        <f t="shared" si="42"/>
        <v>15.441065440260605</v>
      </c>
      <c r="X43" s="419">
        <f t="shared" si="43"/>
        <v>16.630358112393171</v>
      </c>
      <c r="Y43" s="419">
        <f t="shared" si="44"/>
        <v>17.02379820045816</v>
      </c>
      <c r="Z43" s="419">
        <f t="shared" si="45"/>
        <v>17.058615044303082</v>
      </c>
      <c r="AA43" s="423">
        <f t="shared" si="46"/>
        <v>17.168253968253964</v>
      </c>
    </row>
    <row r="44" spans="1:27" s="74" customFormat="1" ht="15" hidden="1" outlineLevel="1">
      <c r="A44" s="798">
        <v>7</v>
      </c>
      <c r="B44" s="525">
        <f>LogH7/SUM(LogH1:LogH24)</f>
        <v>4.7786720321931576E-2</v>
      </c>
      <c r="C44" s="188">
        <f t="shared" si="23"/>
        <v>8860.477148605918</v>
      </c>
      <c r="D44" s="418">
        <f t="shared" si="24"/>
        <v>19.689949219124262</v>
      </c>
      <c r="E44" s="419">
        <f t="shared" si="25"/>
        <v>21.969838076075494</v>
      </c>
      <c r="F44" s="419">
        <f t="shared" si="26"/>
        <v>20.311737089201873</v>
      </c>
      <c r="G44" s="419">
        <f t="shared" ref="G44:H44" si="51">((AVERAGE($C40:$C44))*8)/3600</f>
        <v>17.202797738813832</v>
      </c>
      <c r="H44" s="419">
        <f t="shared" si="51"/>
        <v>17.202797738813832</v>
      </c>
      <c r="I44" s="419">
        <f t="shared" si="28"/>
        <v>15.371977899140873</v>
      </c>
      <c r="J44" s="419">
        <f t="shared" si="29"/>
        <v>14.567601527532538</v>
      </c>
      <c r="K44" s="419">
        <f t="shared" si="30"/>
        <v>13.316623550828778</v>
      </c>
      <c r="L44" s="419">
        <f t="shared" si="31"/>
        <v>12.527874123045144</v>
      </c>
      <c r="M44" s="419">
        <f t="shared" si="32"/>
        <v>12.249221040528884</v>
      </c>
      <c r="N44" s="419">
        <f t="shared" si="33"/>
        <v>12.963334988284682</v>
      </c>
      <c r="O44" s="419">
        <f t="shared" si="34"/>
        <v>12.435757401552166</v>
      </c>
      <c r="P44" s="419">
        <f t="shared" si="35"/>
        <v>12.069061990993578</v>
      </c>
      <c r="Q44" s="419">
        <f t="shared" si="36"/>
        <v>11.858382950765815</v>
      </c>
      <c r="R44" s="419">
        <f t="shared" si="37"/>
        <v>11.703429465682982</v>
      </c>
      <c r="S44" s="419">
        <f t="shared" si="38"/>
        <v>12.03418606879371</v>
      </c>
      <c r="T44" s="419">
        <f t="shared" si="39"/>
        <v>12.850282648270571</v>
      </c>
      <c r="U44" s="419">
        <f t="shared" si="40"/>
        <v>13.379953796855201</v>
      </c>
      <c r="V44" s="419">
        <f t="shared" si="41"/>
        <v>14.213852538791645</v>
      </c>
      <c r="W44" s="419">
        <f t="shared" si="42"/>
        <v>14.89181948835872</v>
      </c>
      <c r="X44" s="419">
        <f t="shared" si="43"/>
        <v>15.643393239254111</v>
      </c>
      <c r="Y44" s="419">
        <f t="shared" si="44"/>
        <v>16.769430435426404</v>
      </c>
      <c r="Z44" s="419">
        <f t="shared" si="45"/>
        <v>17.139717809965379</v>
      </c>
      <c r="AA44" s="423">
        <f t="shared" si="46"/>
        <v>17.168253968253964</v>
      </c>
    </row>
    <row r="45" spans="1:27" s="74" customFormat="1" ht="15" hidden="1" outlineLevel="1">
      <c r="A45" s="798">
        <v>8</v>
      </c>
      <c r="B45" s="525">
        <f>LogH8/SUM(LogH1:LogH24)</f>
        <v>4.3259557344064378E-2</v>
      </c>
      <c r="C45" s="188">
        <f t="shared" si="23"/>
        <v>8021.0635240011479</v>
      </c>
      <c r="D45" s="418">
        <f t="shared" si="24"/>
        <v>17.824585608891439</v>
      </c>
      <c r="E45" s="419">
        <f t="shared" si="25"/>
        <v>18.757267414007849</v>
      </c>
      <c r="F45" s="419">
        <f t="shared" si="26"/>
        <v>20.588087253680808</v>
      </c>
      <c r="G45" s="419">
        <f t="shared" ref="G45:H45" si="52">((AVERAGE($C41:$C45))*8)/3600</f>
        <v>18.031848232250642</v>
      </c>
      <c r="H45" s="419">
        <f t="shared" si="52"/>
        <v>18.031848232250642</v>
      </c>
      <c r="I45" s="419">
        <f t="shared" si="28"/>
        <v>17.306429050493431</v>
      </c>
      <c r="J45" s="419">
        <f t="shared" si="29"/>
        <v>15.722350429105239</v>
      </c>
      <c r="K45" s="419">
        <f t="shared" si="30"/>
        <v>14.9747245377024</v>
      </c>
      <c r="L45" s="419">
        <f t="shared" si="31"/>
        <v>13.817508223946851</v>
      </c>
      <c r="M45" s="419">
        <f t="shared" si="32"/>
        <v>13.057545271629776</v>
      </c>
      <c r="N45" s="419">
        <f t="shared" si="33"/>
        <v>12.75607236492548</v>
      </c>
      <c r="O45" s="419">
        <f t="shared" si="34"/>
        <v>13.368439206668578</v>
      </c>
      <c r="P45" s="419">
        <f t="shared" si="35"/>
        <v>12.850282648270571</v>
      </c>
      <c r="Q45" s="419">
        <f t="shared" si="36"/>
        <v>12.480170820843425</v>
      </c>
      <c r="R45" s="419">
        <f t="shared" si="37"/>
        <v>12.256129794640856</v>
      </c>
      <c r="S45" s="419">
        <f t="shared" si="38"/>
        <v>12.086001724633512</v>
      </c>
      <c r="T45" s="419">
        <f t="shared" si="39"/>
        <v>12.374797806446519</v>
      </c>
      <c r="U45" s="419">
        <f t="shared" si="40"/>
        <v>13.126632812749508</v>
      </c>
      <c r="V45" s="419">
        <f t="shared" si="41"/>
        <v>13.61388178696237</v>
      </c>
      <c r="W45" s="419">
        <f t="shared" si="42"/>
        <v>14.394389192296634</v>
      </c>
      <c r="X45" s="419">
        <f t="shared" si="43"/>
        <v>15.031475017907898</v>
      </c>
      <c r="Y45" s="419">
        <f t="shared" si="44"/>
        <v>15.742538346964901</v>
      </c>
      <c r="Z45" s="419">
        <f t="shared" si="45"/>
        <v>16.815306747316189</v>
      </c>
      <c r="AA45" s="423">
        <f t="shared" si="46"/>
        <v>17.168253968253968</v>
      </c>
    </row>
    <row r="46" spans="1:27" s="74" customFormat="1" ht="15" hidden="1" outlineLevel="1">
      <c r="A46" s="798">
        <v>9</v>
      </c>
      <c r="B46" s="525">
        <f>LogH9/SUM(LogH1:LogH24)</f>
        <v>6.1368209255533178E-2</v>
      </c>
      <c r="C46" s="188">
        <f t="shared" si="23"/>
        <v>11378.718022420231</v>
      </c>
      <c r="D46" s="418">
        <f t="shared" si="24"/>
        <v>25.286040049822734</v>
      </c>
      <c r="E46" s="419">
        <f t="shared" si="25"/>
        <v>21.555312829357089</v>
      </c>
      <c r="F46" s="419">
        <f t="shared" si="26"/>
        <v>20.933524959279477</v>
      </c>
      <c r="G46" s="419">
        <f t="shared" ref="G46:H46" si="53">((AVERAGE($C42:$C46))*8)/3600</f>
        <v>20.809167385263962</v>
      </c>
      <c r="H46" s="419">
        <f t="shared" si="53"/>
        <v>20.809167385263962</v>
      </c>
      <c r="I46" s="419">
        <f t="shared" si="28"/>
        <v>19.240880201845993</v>
      </c>
      <c r="J46" s="419">
        <f t="shared" si="29"/>
        <v>18.446373478969047</v>
      </c>
      <c r="K46" s="419">
        <f t="shared" si="30"/>
        <v>16.917811631694928</v>
      </c>
      <c r="L46" s="419">
        <f t="shared" si="31"/>
        <v>16.120426261271326</v>
      </c>
      <c r="M46" s="419">
        <f t="shared" si="32"/>
        <v>14.964361406534438</v>
      </c>
      <c r="N46" s="419">
        <f t="shared" si="33"/>
        <v>14.169226615101863</v>
      </c>
      <c r="O46" s="419">
        <f t="shared" si="34"/>
        <v>13.80023633866692</v>
      </c>
      <c r="P46" s="419">
        <f t="shared" si="35"/>
        <v>14.285177733065051</v>
      </c>
      <c r="Q46" s="419">
        <f t="shared" si="36"/>
        <v>13.738551034095726</v>
      </c>
      <c r="R46" s="419">
        <f t="shared" si="37"/>
        <v>13.333895436108712</v>
      </c>
      <c r="S46" s="419">
        <f t="shared" si="38"/>
        <v>13.070499185589725</v>
      </c>
      <c r="T46" s="419">
        <f t="shared" si="39"/>
        <v>12.862474567291702</v>
      </c>
      <c r="U46" s="419">
        <f t="shared" si="40"/>
        <v>13.092089042189643</v>
      </c>
      <c r="V46" s="419">
        <f t="shared" si="41"/>
        <v>13.766601614700731</v>
      </c>
      <c r="W46" s="419">
        <f t="shared" si="42"/>
        <v>14.19748970010539</v>
      </c>
      <c r="X46" s="419">
        <f t="shared" si="43"/>
        <v>14.91303923313121</v>
      </c>
      <c r="Y46" s="419">
        <f t="shared" si="44"/>
        <v>15.497591610267662</v>
      </c>
      <c r="Z46" s="419">
        <f t="shared" si="45"/>
        <v>16.157473203610895</v>
      </c>
      <c r="AA46" s="190">
        <f t="shared" si="46"/>
        <v>17.168253968253961</v>
      </c>
    </row>
    <row r="47" spans="1:27" s="74" customFormat="1" ht="15" hidden="1" outlineLevel="1">
      <c r="A47" s="798">
        <v>10</v>
      </c>
      <c r="B47" s="525">
        <f>LogH10/SUM(LogH1:LogH24)</f>
        <v>9.8088531187122741E-2</v>
      </c>
      <c r="C47" s="188">
        <f t="shared" si="23"/>
        <v>18187.295199770047</v>
      </c>
      <c r="D47" s="418">
        <f t="shared" si="24"/>
        <v>40.416211555044548</v>
      </c>
      <c r="E47" s="419">
        <f t="shared" si="25"/>
        <v>32.851125802433643</v>
      </c>
      <c r="F47" s="419">
        <f t="shared" si="26"/>
        <v>27.842279071252904</v>
      </c>
      <c r="G47" s="419">
        <f t="shared" ref="G47:H47" si="54">((AVERAGE($C43:$C47))*8)/3600</f>
        <v>25.493302673181937</v>
      </c>
      <c r="H47" s="419">
        <f t="shared" si="54"/>
        <v>25.493302673181937</v>
      </c>
      <c r="I47" s="419">
        <f t="shared" si="28"/>
        <v>24.07700808022739</v>
      </c>
      <c r="J47" s="419">
        <f t="shared" si="29"/>
        <v>22.265927538017213</v>
      </c>
      <c r="K47" s="419">
        <f t="shared" si="30"/>
        <v>21.192603238478487</v>
      </c>
      <c r="L47" s="419">
        <f t="shared" si="31"/>
        <v>19.528744956511549</v>
      </c>
      <c r="M47" s="419">
        <f t="shared" si="32"/>
        <v>18.550004790648646</v>
      </c>
      <c r="N47" s="419">
        <f t="shared" si="33"/>
        <v>17.278165965489901</v>
      </c>
      <c r="O47" s="419">
        <f t="shared" si="34"/>
        <v>16.356475360097086</v>
      </c>
      <c r="P47" s="419">
        <f t="shared" si="35"/>
        <v>15.847619047619045</v>
      </c>
      <c r="Q47" s="419">
        <f t="shared" si="36"/>
        <v>16.151680148920729</v>
      </c>
      <c r="R47" s="419">
        <f t="shared" si="37"/>
        <v>15.517061735492314</v>
      </c>
      <c r="S47" s="419">
        <f t="shared" si="38"/>
        <v>15.026540193542202</v>
      </c>
      <c r="T47" s="419">
        <f t="shared" si="39"/>
        <v>14.679070501440007</v>
      </c>
      <c r="U47" s="419">
        <f t="shared" si="40"/>
        <v>14.393237733277969</v>
      </c>
      <c r="V47" s="419">
        <f t="shared" si="41"/>
        <v>14.530200753392531</v>
      </c>
      <c r="W47" s="419">
        <f t="shared" si="42"/>
        <v>15.099082111717923</v>
      </c>
      <c r="X47" s="419">
        <f t="shared" si="43"/>
        <v>15.446000264626303</v>
      </c>
      <c r="Y47" s="419">
        <f t="shared" si="44"/>
        <v>16.072274338672724</v>
      </c>
      <c r="Z47" s="419">
        <f t="shared" si="45"/>
        <v>16.581009868736224</v>
      </c>
      <c r="AA47" s="421">
        <f t="shared" si="46"/>
        <v>17.168253968253964</v>
      </c>
    </row>
    <row r="48" spans="1:27" s="74" customFormat="1" ht="15" hidden="1" outlineLevel="1">
      <c r="A48" s="798">
        <v>11</v>
      </c>
      <c r="B48" s="525">
        <f>LogH11/SUM(LogH1:LogH24)</f>
        <v>7.4446680080482885E-2</v>
      </c>
      <c r="C48" s="188">
        <f t="shared" si="23"/>
        <v>13803.690715722905</v>
      </c>
      <c r="D48" s="418">
        <f t="shared" si="24"/>
        <v>30.674868257162011</v>
      </c>
      <c r="E48" s="419">
        <f t="shared" si="25"/>
        <v>35.545539906103279</v>
      </c>
      <c r="F48" s="419">
        <f t="shared" si="26"/>
        <v>32.125706620676432</v>
      </c>
      <c r="G48" s="419">
        <f t="shared" ref="G48:H48" si="55">((AVERAGE($C44:$C48))*8)/3600</f>
        <v>26.778330938008995</v>
      </c>
      <c r="H48" s="419">
        <f t="shared" si="55"/>
        <v>26.778330938008995</v>
      </c>
      <c r="I48" s="419">
        <f t="shared" si="28"/>
        <v>26.356896937178615</v>
      </c>
      <c r="J48" s="419">
        <f t="shared" si="29"/>
        <v>25.019559534075192</v>
      </c>
      <c r="K48" s="419">
        <f t="shared" si="30"/>
        <v>23.317045127910312</v>
      </c>
      <c r="L48" s="419">
        <f t="shared" si="31"/>
        <v>22.246188240554432</v>
      </c>
      <c r="M48" s="419">
        <f t="shared" si="32"/>
        <v>20.643357286576595</v>
      </c>
      <c r="N48" s="419">
        <f t="shared" si="33"/>
        <v>19.652265105786224</v>
      </c>
      <c r="O48" s="419">
        <f t="shared" si="34"/>
        <v>18.394557823129244</v>
      </c>
      <c r="P48" s="419">
        <f t="shared" si="35"/>
        <v>17.457890198332848</v>
      </c>
      <c r="Q48" s="419">
        <f t="shared" si="36"/>
        <v>16.906708276872113</v>
      </c>
      <c r="R48" s="419">
        <f t="shared" si="37"/>
        <v>17.119892689470149</v>
      </c>
      <c r="S48" s="419">
        <f t="shared" si="38"/>
        <v>16.46442464309667</v>
      </c>
      <c r="T48" s="419">
        <f t="shared" si="39"/>
        <v>15.947030079637484</v>
      </c>
      <c r="U48" s="419">
        <f t="shared" si="40"/>
        <v>15.567725932313452</v>
      </c>
      <c r="V48" s="419">
        <f t="shared" si="41"/>
        <v>15.250165655587656</v>
      </c>
      <c r="W48" s="419">
        <f t="shared" si="42"/>
        <v>15.337434128581005</v>
      </c>
      <c r="X48" s="419">
        <f t="shared" si="43"/>
        <v>15.840786213881927</v>
      </c>
      <c r="Y48" s="419">
        <f t="shared" si="44"/>
        <v>16.138221537014289</v>
      </c>
      <c r="Z48" s="419">
        <f t="shared" si="45"/>
        <v>16.707169726433129</v>
      </c>
      <c r="AA48" s="421">
        <f t="shared" si="46"/>
        <v>17.168253968253964</v>
      </c>
    </row>
    <row r="49" spans="1:30" s="74" customFormat="1" ht="15" hidden="1" outlineLevel="1">
      <c r="A49" s="798">
        <v>12</v>
      </c>
      <c r="B49" s="525">
        <f>LogH12/SUM(LogH1:LogH24)</f>
        <v>6.740442655935612E-2</v>
      </c>
      <c r="C49" s="188">
        <f t="shared" si="23"/>
        <v>12497.936188559926</v>
      </c>
      <c r="D49" s="418">
        <f t="shared" si="24"/>
        <v>27.773191530133168</v>
      </c>
      <c r="E49" s="419">
        <f t="shared" si="25"/>
        <v>29.22402989364759</v>
      </c>
      <c r="F49" s="419">
        <f t="shared" si="26"/>
        <v>32.954757114113242</v>
      </c>
      <c r="G49" s="419">
        <f t="shared" ref="G49:H49" si="56">((AVERAGE($C45:$C49))*8)/3600</f>
        <v>28.394979400210779</v>
      </c>
      <c r="H49" s="419">
        <f t="shared" si="56"/>
        <v>28.394979400210779</v>
      </c>
      <c r="I49" s="419">
        <f t="shared" si="28"/>
        <v>26.944141036696362</v>
      </c>
      <c r="J49" s="419">
        <f t="shared" si="29"/>
        <v>26.559224736172123</v>
      </c>
      <c r="K49" s="419">
        <f t="shared" si="30"/>
        <v>25.363763533582439</v>
      </c>
      <c r="L49" s="419">
        <f t="shared" si="31"/>
        <v>23.81217250593507</v>
      </c>
      <c r="M49" s="419">
        <f t="shared" si="32"/>
        <v>22.798888569512307</v>
      </c>
      <c r="N49" s="419">
        <f t="shared" si="33"/>
        <v>21.291524035990829</v>
      </c>
      <c r="O49" s="419">
        <f t="shared" si="34"/>
        <v>20.329008974481802</v>
      </c>
      <c r="P49" s="419">
        <f t="shared" si="35"/>
        <v>19.115991185206468</v>
      </c>
      <c r="Q49" s="419">
        <f t="shared" si="36"/>
        <v>18.194697436318584</v>
      </c>
      <c r="R49" s="419">
        <f t="shared" si="37"/>
        <v>17.631140493756181</v>
      </c>
      <c r="S49" s="419">
        <f t="shared" si="38"/>
        <v>17.785723867011587</v>
      </c>
      <c r="T49" s="419">
        <f t="shared" si="39"/>
        <v>17.12964622468705</v>
      </c>
      <c r="U49" s="419">
        <f t="shared" si="40"/>
        <v>16.604039049109467</v>
      </c>
      <c r="V49" s="419">
        <f t="shared" si="41"/>
        <v>16.210118858514491</v>
      </c>
      <c r="W49" s="419">
        <f t="shared" si="42"/>
        <v>15.876316949314933</v>
      </c>
      <c r="X49" s="419">
        <f t="shared" si="43"/>
        <v>15.929613052464443</v>
      </c>
      <c r="Y49" s="419">
        <f t="shared" si="44"/>
        <v>16.383168273711529</v>
      </c>
      <c r="Z49" s="419">
        <f t="shared" si="45"/>
        <v>16.644089797584677</v>
      </c>
      <c r="AA49" s="421">
        <f t="shared" si="46"/>
        <v>17.168253968253964</v>
      </c>
      <c r="AD49" s="172"/>
    </row>
    <row r="50" spans="1:30" s="74" customFormat="1" ht="15" hidden="1" outlineLevel="1">
      <c r="A50" s="798">
        <v>13</v>
      </c>
      <c r="B50" s="525">
        <f>LogH13/SUM(LogH1:LogH24)</f>
        <v>7.092555331991951E-2</v>
      </c>
      <c r="C50" s="188">
        <f t="shared" si="23"/>
        <v>13150.813452141418</v>
      </c>
      <c r="D50" s="418">
        <f t="shared" si="24"/>
        <v>29.224029893647593</v>
      </c>
      <c r="E50" s="419">
        <f t="shared" si="25"/>
        <v>28.498610711890386</v>
      </c>
      <c r="F50" s="419">
        <f t="shared" si="26"/>
        <v>29.224029893647593</v>
      </c>
      <c r="G50" s="419">
        <f t="shared" ref="G50:H50" si="57">((AVERAGE($C46:$C50))*8)/3600</f>
        <v>30.674868257162011</v>
      </c>
      <c r="H50" s="419">
        <f t="shared" si="57"/>
        <v>30.674868257162011</v>
      </c>
      <c r="I50" s="419">
        <f t="shared" si="28"/>
        <v>28.53315448245025</v>
      </c>
      <c r="J50" s="419">
        <f t="shared" si="29"/>
        <v>27.26983944483225</v>
      </c>
      <c r="K50" s="419">
        <f t="shared" si="30"/>
        <v>26.892325380856555</v>
      </c>
      <c r="L50" s="419">
        <f t="shared" si="31"/>
        <v>25.792682018034121</v>
      </c>
      <c r="M50" s="419">
        <f t="shared" si="32"/>
        <v>24.353358244706325</v>
      </c>
      <c r="N50" s="419">
        <f t="shared" si="33"/>
        <v>23.382992326251873</v>
      </c>
      <c r="O50" s="419">
        <f t="shared" si="34"/>
        <v>21.952566190795558</v>
      </c>
      <c r="P50" s="419">
        <f t="shared" si="35"/>
        <v>21.013241352879174</v>
      </c>
      <c r="Q50" s="419">
        <f t="shared" si="36"/>
        <v>19.837993950095118</v>
      </c>
      <c r="R50" s="419">
        <f t="shared" si="37"/>
        <v>18.929986266807184</v>
      </c>
      <c r="S50" s="419">
        <f t="shared" si="38"/>
        <v>18.355696081249395</v>
      </c>
      <c r="T50" s="419">
        <f t="shared" si="39"/>
        <v>18.458565397990178</v>
      </c>
      <c r="U50" s="419">
        <f t="shared" si="40"/>
        <v>17.801556428518193</v>
      </c>
      <c r="V50" s="419">
        <f t="shared" si="41"/>
        <v>17.268249093558843</v>
      </c>
      <c r="W50" s="419">
        <f t="shared" si="42"/>
        <v>16.860814410271146</v>
      </c>
      <c r="X50" s="419">
        <f t="shared" si="43"/>
        <v>16.511922327616489</v>
      </c>
      <c r="Y50" s="419">
        <f t="shared" si="44"/>
        <v>16.533904727063678</v>
      </c>
      <c r="Z50" s="419">
        <f t="shared" si="45"/>
        <v>16.941466605013098</v>
      </c>
      <c r="AA50" s="421">
        <f t="shared" si="46"/>
        <v>17.168253968253964</v>
      </c>
    </row>
    <row r="51" spans="1:30" ht="15" hidden="1" outlineLevel="1">
      <c r="A51" s="798">
        <v>14</v>
      </c>
      <c r="B51" s="525">
        <f>LogH14/SUM(LogH1:LogH24)</f>
        <v>5.4325955734406434E-2</v>
      </c>
      <c r="C51" s="188">
        <f t="shared" si="23"/>
        <v>10072.963495257256</v>
      </c>
      <c r="D51" s="418">
        <f t="shared" si="24"/>
        <v>22.384363322793902</v>
      </c>
      <c r="E51" s="419">
        <f t="shared" si="25"/>
        <v>25.804196608220749</v>
      </c>
      <c r="F51" s="419">
        <f t="shared" si="26"/>
        <v>26.460528248858225</v>
      </c>
      <c r="G51" s="419">
        <f t="shared" ref="G51:H51" si="58">((AVERAGE($C47:$C51))*8)/3600</f>
        <v>30.094532911756243</v>
      </c>
      <c r="H51" s="419">
        <f t="shared" si="58"/>
        <v>30.094532911756243</v>
      </c>
      <c r="I51" s="419">
        <f t="shared" si="28"/>
        <v>29.293117434767325</v>
      </c>
      <c r="J51" s="419">
        <f t="shared" si="29"/>
        <v>27.654755745356482</v>
      </c>
      <c r="K51" s="419">
        <f t="shared" si="30"/>
        <v>26.659154929577458</v>
      </c>
      <c r="L51" s="419">
        <f t="shared" si="31"/>
        <v>26.391440707738482</v>
      </c>
      <c r="M51" s="419">
        <f t="shared" si="32"/>
        <v>25.451850148510101</v>
      </c>
      <c r="N51" s="419">
        <f t="shared" si="33"/>
        <v>24.174358706350649</v>
      </c>
      <c r="O51" s="419">
        <f t="shared" si="34"/>
        <v>23.29977324263038</v>
      </c>
      <c r="P51" s="419">
        <f t="shared" si="35"/>
        <v>21.985781354795431</v>
      </c>
      <c r="Q51" s="419">
        <f t="shared" si="36"/>
        <v>21.111178636444514</v>
      </c>
      <c r="R51" s="419">
        <f t="shared" si="37"/>
        <v>20.00775190827504</v>
      </c>
      <c r="S51" s="419">
        <f t="shared" si="38"/>
        <v>19.145884832806356</v>
      </c>
      <c r="T51" s="419">
        <f t="shared" si="39"/>
        <v>18.592676507222599</v>
      </c>
      <c r="U51" s="419">
        <f t="shared" si="40"/>
        <v>18.676665282701492</v>
      </c>
      <c r="V51" s="419">
        <f t="shared" si="41"/>
        <v>18.042756791374806</v>
      </c>
      <c r="W51" s="419">
        <f t="shared" si="42"/>
        <v>17.524054805020594</v>
      </c>
      <c r="X51" s="419">
        <f t="shared" si="43"/>
        <v>17.123840548962704</v>
      </c>
      <c r="Y51" s="419">
        <f t="shared" si="44"/>
        <v>16.778851463760915</v>
      </c>
      <c r="Z51" s="419">
        <f t="shared" si="45"/>
        <v>16.788272492095423</v>
      </c>
      <c r="AA51" s="423">
        <f t="shared" si="46"/>
        <v>17.168253968253964</v>
      </c>
    </row>
    <row r="52" spans="1:30" ht="15" hidden="1" outlineLevel="1">
      <c r="A52" s="798">
        <v>15</v>
      </c>
      <c r="B52" s="525">
        <f>LogH15/SUM(LogH1:LogH24)</f>
        <v>6.2877263581488915E-2</v>
      </c>
      <c r="C52" s="188">
        <f t="shared" si="23"/>
        <v>11658.522563955155</v>
      </c>
      <c r="D52" s="418">
        <f t="shared" si="24"/>
        <v>25.907827919900345</v>
      </c>
      <c r="E52" s="419">
        <f t="shared" si="25"/>
        <v>24.146095621347122</v>
      </c>
      <c r="F52" s="419">
        <f t="shared" si="26"/>
        <v>25.83874037878061</v>
      </c>
      <c r="G52" s="419">
        <f t="shared" ref="G52:H52" si="59">((AVERAGE($C48:$C52))*8)/3600</f>
        <v>27.192856184727404</v>
      </c>
      <c r="H52" s="419">
        <f t="shared" si="59"/>
        <v>27.192856184727404</v>
      </c>
      <c r="I52" s="419">
        <f t="shared" si="28"/>
        <v>29.396748746446924</v>
      </c>
      <c r="J52" s="419">
        <f t="shared" si="29"/>
        <v>28.809504646929184</v>
      </c>
      <c r="K52" s="419">
        <f t="shared" si="30"/>
        <v>27.436389767174465</v>
      </c>
      <c r="L52" s="419">
        <f t="shared" si="31"/>
        <v>26.575674150724446</v>
      </c>
      <c r="M52" s="419">
        <f t="shared" si="32"/>
        <v>26.34307942895467</v>
      </c>
      <c r="N52" s="419">
        <f t="shared" si="33"/>
        <v>25.49330267318194</v>
      </c>
      <c r="O52" s="419">
        <f t="shared" si="34"/>
        <v>24.318814474146457</v>
      </c>
      <c r="P52" s="419">
        <f t="shared" si="35"/>
        <v>23.500392833189604</v>
      </c>
      <c r="Q52" s="419">
        <f t="shared" si="36"/>
        <v>22.265927538017213</v>
      </c>
      <c r="R52" s="419">
        <f t="shared" si="37"/>
        <v>21.430955255341569</v>
      </c>
      <c r="S52" s="419">
        <f t="shared" si="38"/>
        <v>20.376506659001624</v>
      </c>
      <c r="T52" s="419">
        <f t="shared" si="39"/>
        <v>19.54364619087071</v>
      </c>
      <c r="U52" s="419">
        <f t="shared" si="40"/>
        <v>18.999073807926923</v>
      </c>
      <c r="V52" s="419">
        <f t="shared" si="41"/>
        <v>19.057252789922487</v>
      </c>
      <c r="W52" s="419">
        <f t="shared" si="42"/>
        <v>18.436010347801083</v>
      </c>
      <c r="X52" s="419">
        <f t="shared" si="43"/>
        <v>17.923282096205348</v>
      </c>
      <c r="Y52" s="419">
        <f t="shared" si="44"/>
        <v>17.523112702187145</v>
      </c>
      <c r="Z52" s="419">
        <f t="shared" si="45"/>
        <v>17.175763483593066</v>
      </c>
      <c r="AA52" s="423">
        <f t="shared" si="46"/>
        <v>17.168253968253964</v>
      </c>
    </row>
    <row r="53" spans="1:30" ht="15" hidden="1" outlineLevel="1">
      <c r="A53" s="798">
        <v>16</v>
      </c>
      <c r="B53" s="525">
        <f>LogH16/SUM(LogH1:LogH24)</f>
        <v>4.1247484909456733E-2</v>
      </c>
      <c r="C53" s="188">
        <f t="shared" si="23"/>
        <v>7647.9908019545828</v>
      </c>
      <c r="D53" s="418">
        <f t="shared" si="24"/>
        <v>16.995535115454629</v>
      </c>
      <c r="E53" s="419">
        <f t="shared" si="25"/>
        <v>21.451681517677486</v>
      </c>
      <c r="F53" s="419">
        <f t="shared" si="26"/>
        <v>21.762575452716291</v>
      </c>
      <c r="G53" s="419">
        <f t="shared" ref="G53:H53" si="60">((AVERAGE($C49:$C53))*8)/3600</f>
        <v>24.456989556385931</v>
      </c>
      <c r="H53" s="419">
        <f t="shared" si="60"/>
        <v>24.456989556385931</v>
      </c>
      <c r="I53" s="419">
        <f t="shared" si="28"/>
        <v>25.49330267318194</v>
      </c>
      <c r="J53" s="419">
        <f t="shared" si="29"/>
        <v>27.625146799162312</v>
      </c>
      <c r="K53" s="419">
        <f t="shared" si="30"/>
        <v>27.332758455494865</v>
      </c>
      <c r="L53" s="419">
        <f t="shared" si="31"/>
        <v>26.276294805872265</v>
      </c>
      <c r="M53" s="419">
        <f t="shared" si="32"/>
        <v>25.617660247197463</v>
      </c>
      <c r="N53" s="419">
        <f t="shared" si="33"/>
        <v>25.493302673181937</v>
      </c>
      <c r="O53" s="419">
        <f t="shared" si="34"/>
        <v>24.785155376704662</v>
      </c>
      <c r="P53" s="419">
        <f t="shared" si="35"/>
        <v>23.75548529270862</v>
      </c>
      <c r="Q53" s="419">
        <f t="shared" si="36"/>
        <v>23.03576013906568</v>
      </c>
      <c r="R53" s="419">
        <f t="shared" si="37"/>
        <v>21.914568043179706</v>
      </c>
      <c r="S53" s="419">
        <f t="shared" si="38"/>
        <v>21.153741496598634</v>
      </c>
      <c r="T53" s="419">
        <f t="shared" si="39"/>
        <v>20.177625979969449</v>
      </c>
      <c r="U53" s="419">
        <f t="shared" si="40"/>
        <v>19.402084464458703</v>
      </c>
      <c r="V53" s="419">
        <f t="shared" si="41"/>
        <v>18.89362440305996</v>
      </c>
      <c r="W53" s="419">
        <f t="shared" si="42"/>
        <v>18.954166906199095</v>
      </c>
      <c r="X53" s="419">
        <f t="shared" si="43"/>
        <v>18.367416289117919</v>
      </c>
      <c r="Y53" s="419">
        <f t="shared" si="44"/>
        <v>17.881111778898497</v>
      </c>
      <c r="Z53" s="419">
        <f t="shared" si="45"/>
        <v>17.500174546242253</v>
      </c>
      <c r="AA53" s="423">
        <f t="shared" si="46"/>
        <v>17.168253968253964</v>
      </c>
    </row>
    <row r="54" spans="1:30" ht="15" hidden="1" outlineLevel="1">
      <c r="A54" s="798">
        <v>17</v>
      </c>
      <c r="B54" s="525">
        <f>LogH17/SUM(LogH1:LogH24)</f>
        <v>2.313883299798792E-2</v>
      </c>
      <c r="C54" s="188">
        <f t="shared" si="23"/>
        <v>4290.3363035354969</v>
      </c>
      <c r="D54" s="418">
        <f t="shared" si="24"/>
        <v>9.5340806745233255</v>
      </c>
      <c r="E54" s="419">
        <f t="shared" si="25"/>
        <v>13.264807894988978</v>
      </c>
      <c r="F54" s="419">
        <f t="shared" si="26"/>
        <v>17.479147903292766</v>
      </c>
      <c r="G54" s="419">
        <f t="shared" ref="G54:H54" si="61">((AVERAGE($C50:$C54))*8)/3600</f>
        <v>20.809167385263962</v>
      </c>
      <c r="H54" s="419">
        <f t="shared" si="61"/>
        <v>20.809167385263962</v>
      </c>
      <c r="I54" s="419">
        <f t="shared" si="28"/>
        <v>21.969838076075497</v>
      </c>
      <c r="J54" s="419">
        <f t="shared" si="29"/>
        <v>23.213413816230709</v>
      </c>
      <c r="K54" s="419">
        <f t="shared" si="30"/>
        <v>25.363763533582439</v>
      </c>
      <c r="L54" s="419">
        <f t="shared" si="31"/>
        <v>25.355127590942473</v>
      </c>
      <c r="M54" s="419">
        <f t="shared" si="32"/>
        <v>24.60207339273737</v>
      </c>
      <c r="N54" s="419">
        <f t="shared" si="33"/>
        <v>24.15551664968163</v>
      </c>
      <c r="O54" s="419">
        <f t="shared" si="34"/>
        <v>24.163367506627054</v>
      </c>
      <c r="P54" s="419">
        <f t="shared" si="35"/>
        <v>23.611995784229176</v>
      </c>
      <c r="Q54" s="419">
        <f t="shared" si="36"/>
        <v>22.739670677123961</v>
      </c>
      <c r="R54" s="419">
        <f t="shared" si="37"/>
        <v>22.135648174762856</v>
      </c>
      <c r="S54" s="419">
        <f t="shared" si="38"/>
        <v>21.140787582638684</v>
      </c>
      <c r="T54" s="419">
        <f t="shared" si="39"/>
        <v>20.47023203647656</v>
      </c>
      <c r="U54" s="419">
        <f t="shared" si="40"/>
        <v>19.586317907444663</v>
      </c>
      <c r="V54" s="419">
        <f t="shared" si="41"/>
        <v>18.882715843935792</v>
      </c>
      <c r="W54" s="419">
        <f t="shared" si="42"/>
        <v>18.425647216633127</v>
      </c>
      <c r="X54" s="419">
        <f t="shared" si="43"/>
        <v>18.505591371357394</v>
      </c>
      <c r="Y54" s="419">
        <f t="shared" si="44"/>
        <v>17.965901033909077</v>
      </c>
      <c r="Z54" s="419">
        <f t="shared" si="45"/>
        <v>17.518197383056098</v>
      </c>
      <c r="AA54" s="423">
        <f t="shared" si="46"/>
        <v>17.168253968253964</v>
      </c>
    </row>
    <row r="55" spans="1:30" ht="15" hidden="1" outlineLevel="1">
      <c r="A55" s="798">
        <v>18</v>
      </c>
      <c r="B55" s="525">
        <f>LogH18/SUM(LogH1:LogH24)</f>
        <v>2.2132796780684097E-2</v>
      </c>
      <c r="C55" s="188">
        <f t="shared" si="23"/>
        <v>4103.7999425122143</v>
      </c>
      <c r="D55" s="418">
        <f t="shared" si="24"/>
        <v>9.1195554278049205</v>
      </c>
      <c r="E55" s="419">
        <f t="shared" si="25"/>
        <v>9.326818051164123</v>
      </c>
      <c r="F55" s="419">
        <f t="shared" si="26"/>
        <v>11.883057072594292</v>
      </c>
      <c r="G55" s="419">
        <f t="shared" ref="G55:H55" si="62">((AVERAGE($C51:$C55))*8)/3600</f>
        <v>16.788272492095427</v>
      </c>
      <c r="H55" s="419">
        <f t="shared" si="62"/>
        <v>16.788272492095427</v>
      </c>
      <c r="I55" s="419">
        <f t="shared" si="28"/>
        <v>18.860898725687456</v>
      </c>
      <c r="J55" s="419">
        <f t="shared" si="29"/>
        <v>20.134083412036844</v>
      </c>
      <c r="K55" s="419">
        <f t="shared" si="30"/>
        <v>21.451681517677486</v>
      </c>
      <c r="L55" s="419">
        <f t="shared" si="31"/>
        <v>23.558851521829379</v>
      </c>
      <c r="M55" s="419">
        <f t="shared" si="32"/>
        <v>23.731570374628717</v>
      </c>
      <c r="N55" s="419">
        <f t="shared" si="33"/>
        <v>23.19457175956169</v>
      </c>
      <c r="O55" s="419">
        <f t="shared" si="34"/>
        <v>22.902519881191907</v>
      </c>
      <c r="P55" s="419">
        <f t="shared" si="35"/>
        <v>23.006151192871506</v>
      </c>
      <c r="Q55" s="419">
        <f t="shared" si="36"/>
        <v>22.576821473056015</v>
      </c>
      <c r="R55" s="419">
        <f t="shared" si="37"/>
        <v>21.831662993836023</v>
      </c>
      <c r="S55" s="419">
        <f t="shared" si="38"/>
        <v>21.322142378077984</v>
      </c>
      <c r="T55" s="419">
        <f t="shared" si="39"/>
        <v>20.433656279413164</v>
      </c>
      <c r="U55" s="419">
        <f t="shared" si="40"/>
        <v>19.839638891550358</v>
      </c>
      <c r="V55" s="419">
        <f t="shared" si="41"/>
        <v>19.035435671674151</v>
      </c>
      <c r="W55" s="419">
        <f t="shared" si="42"/>
        <v>18.394557823129247</v>
      </c>
      <c r="X55" s="419">
        <f t="shared" si="43"/>
        <v>17.982499988593688</v>
      </c>
      <c r="Y55" s="419">
        <f t="shared" si="44"/>
        <v>18.078953373923188</v>
      </c>
      <c r="Z55" s="419">
        <f t="shared" si="45"/>
        <v>17.581277311904547</v>
      </c>
      <c r="AA55" s="423">
        <f t="shared" si="46"/>
        <v>17.168253968253964</v>
      </c>
    </row>
    <row r="56" spans="1:30" ht="15" hidden="1" outlineLevel="1">
      <c r="A56" s="798">
        <v>19</v>
      </c>
      <c r="B56" s="525">
        <f>LogH19/SUM(LogH1:LogH24)</f>
        <v>1.8611670020120721E-2</v>
      </c>
      <c r="C56" s="188">
        <f t="shared" si="23"/>
        <v>3450.9226789307263</v>
      </c>
      <c r="D56" s="418">
        <f t="shared" si="24"/>
        <v>7.6687170642905027</v>
      </c>
      <c r="E56" s="419">
        <f t="shared" si="25"/>
        <v>8.3941362460477116</v>
      </c>
      <c r="F56" s="419">
        <f t="shared" si="26"/>
        <v>8.7741177222062507</v>
      </c>
      <c r="G56" s="419">
        <f t="shared" ref="G56:H56" si="63">((AVERAGE($C52:$C56))*8)/3600</f>
        <v>13.845143240394743</v>
      </c>
      <c r="H56" s="419">
        <f t="shared" si="63"/>
        <v>13.845143240394743</v>
      </c>
      <c r="I56" s="419">
        <f t="shared" si="28"/>
        <v>15.268346587461274</v>
      </c>
      <c r="J56" s="419">
        <f t="shared" si="29"/>
        <v>17.262015631202178</v>
      </c>
      <c r="K56" s="419">
        <f t="shared" si="30"/>
        <v>18.575912618568555</v>
      </c>
      <c r="L56" s="419">
        <f t="shared" si="31"/>
        <v>19.920241022856708</v>
      </c>
      <c r="M56" s="419">
        <f t="shared" si="32"/>
        <v>21.969838076075494</v>
      </c>
      <c r="N56" s="419">
        <f t="shared" si="33"/>
        <v>22.271310982779788</v>
      </c>
      <c r="O56" s="419">
        <f t="shared" si="34"/>
        <v>21.900750534955762</v>
      </c>
      <c r="P56" s="419">
        <f t="shared" si="35"/>
        <v>21.730688895276415</v>
      </c>
      <c r="Q56" s="419">
        <f t="shared" si="36"/>
        <v>21.910620183687147</v>
      </c>
      <c r="R56" s="419">
        <f t="shared" si="37"/>
        <v>21.582947845804981</v>
      </c>
      <c r="S56" s="419">
        <f t="shared" si="38"/>
        <v>20.946478873239425</v>
      </c>
      <c r="T56" s="419">
        <f t="shared" si="39"/>
        <v>20.518999712561069</v>
      </c>
      <c r="U56" s="419">
        <f t="shared" si="40"/>
        <v>19.72449298968413</v>
      </c>
      <c r="V56" s="419">
        <f t="shared" si="41"/>
        <v>19.199064058536678</v>
      </c>
      <c r="W56" s="419">
        <f t="shared" si="42"/>
        <v>18.467099741304967</v>
      </c>
      <c r="X56" s="419">
        <f t="shared" si="43"/>
        <v>17.883803501279782</v>
      </c>
      <c r="Y56" s="419">
        <f t="shared" si="44"/>
        <v>17.513691673852634</v>
      </c>
      <c r="Z56" s="419">
        <f t="shared" si="45"/>
        <v>17.626334403939158</v>
      </c>
      <c r="AA56" s="423">
        <f t="shared" si="46"/>
        <v>17.168253968253961</v>
      </c>
    </row>
    <row r="57" spans="1:30" ht="15" hidden="1" outlineLevel="1">
      <c r="A57" s="798">
        <v>20</v>
      </c>
      <c r="B57" s="525">
        <f>LogH20/SUM(LogH1:LogH24)</f>
        <v>1.6096579476861165E-2</v>
      </c>
      <c r="C57" s="188">
        <f t="shared" si="23"/>
        <v>2984.5817763725204</v>
      </c>
      <c r="D57" s="418">
        <f t="shared" si="24"/>
        <v>6.63240394749449</v>
      </c>
      <c r="E57" s="419">
        <f t="shared" si="25"/>
        <v>7.1505605058924964</v>
      </c>
      <c r="F57" s="419">
        <f t="shared" si="26"/>
        <v>7.8068921465299717</v>
      </c>
      <c r="G57" s="419">
        <f t="shared" ref="G57:H57" si="64">((AVERAGE($C53:$C57))*8)/3600</f>
        <v>9.9900584459135722</v>
      </c>
      <c r="H57" s="419">
        <f t="shared" si="64"/>
        <v>9.9900584459135722</v>
      </c>
      <c r="I57" s="419">
        <f t="shared" si="28"/>
        <v>12.643020024911367</v>
      </c>
      <c r="J57" s="419">
        <f t="shared" si="29"/>
        <v>14.034640496037447</v>
      </c>
      <c r="K57" s="419">
        <f t="shared" si="30"/>
        <v>15.933314170738717</v>
      </c>
      <c r="L57" s="419">
        <f t="shared" si="31"/>
        <v>17.248856099560324</v>
      </c>
      <c r="M57" s="419">
        <f t="shared" si="32"/>
        <v>18.59145731532049</v>
      </c>
      <c r="N57" s="419">
        <f t="shared" si="33"/>
        <v>20.57552588256813</v>
      </c>
      <c r="O57" s="419">
        <f t="shared" si="34"/>
        <v>20.968068729839349</v>
      </c>
      <c r="P57" s="419">
        <f t="shared" si="35"/>
        <v>20.726262335920275</v>
      </c>
      <c r="Q57" s="419">
        <f t="shared" si="36"/>
        <v>20.652239970434849</v>
      </c>
      <c r="R57" s="419">
        <f t="shared" si="37"/>
        <v>20.892072434607634</v>
      </c>
      <c r="S57" s="419">
        <f t="shared" si="38"/>
        <v>20.648538852160573</v>
      </c>
      <c r="T57" s="419">
        <f t="shared" si="39"/>
        <v>20.10447446584266</v>
      </c>
      <c r="U57" s="419">
        <f t="shared" si="40"/>
        <v>19.747522170057369</v>
      </c>
      <c r="V57" s="419">
        <f t="shared" si="41"/>
        <v>19.035435671674147</v>
      </c>
      <c r="W57" s="419">
        <f t="shared" si="42"/>
        <v>18.57073105298457</v>
      </c>
      <c r="X57" s="419">
        <f t="shared" si="43"/>
        <v>17.90354279874256</v>
      </c>
      <c r="Y57" s="419">
        <f t="shared" si="44"/>
        <v>17.372376248834996</v>
      </c>
      <c r="Z57" s="419">
        <f t="shared" si="45"/>
        <v>17.040592207489233</v>
      </c>
      <c r="AA57" s="423">
        <f t="shared" si="46"/>
        <v>17.168253968253961</v>
      </c>
    </row>
    <row r="58" spans="1:30" ht="15" hidden="1" outlineLevel="1">
      <c r="A58" s="798">
        <v>21</v>
      </c>
      <c r="B58" s="525">
        <f>LogH21/SUM(LogH1:LogH24)</f>
        <v>4.8792756539235399E-2</v>
      </c>
      <c r="C58" s="188">
        <f t="shared" si="23"/>
        <v>9047.0135096291997</v>
      </c>
      <c r="D58" s="418">
        <f t="shared" si="24"/>
        <v>20.104474465842667</v>
      </c>
      <c r="E58" s="419">
        <f t="shared" si="25"/>
        <v>13.368439206668578</v>
      </c>
      <c r="F58" s="419">
        <f t="shared" si="26"/>
        <v>11.468531825875885</v>
      </c>
      <c r="G58" s="419">
        <f t="shared" ref="G58:H58" si="65">((AVERAGE($C54:$C58))*8)/3600</f>
        <v>10.611846315991182</v>
      </c>
      <c r="H58" s="419">
        <f t="shared" si="65"/>
        <v>10.611846315991182</v>
      </c>
      <c r="I58" s="419">
        <f t="shared" si="28"/>
        <v>11.675794449235088</v>
      </c>
      <c r="J58" s="419">
        <f t="shared" si="29"/>
        <v>13.708942087901553</v>
      </c>
      <c r="K58" s="419">
        <f t="shared" si="30"/>
        <v>14.793369742263099</v>
      </c>
      <c r="L58" s="419">
        <f t="shared" si="31"/>
        <v>16.396776425750268</v>
      </c>
      <c r="M58" s="419">
        <f t="shared" si="32"/>
        <v>17.534417936188557</v>
      </c>
      <c r="N58" s="419">
        <f t="shared" si="33"/>
        <v>18.729004329004322</v>
      </c>
      <c r="O58" s="419">
        <f t="shared" si="34"/>
        <v>20.536271597841004</v>
      </c>
      <c r="P58" s="419">
        <f t="shared" si="35"/>
        <v>20.901638401839602</v>
      </c>
      <c r="Q58" s="419">
        <f t="shared" si="36"/>
        <v>20.681848916629018</v>
      </c>
      <c r="R58" s="419">
        <f t="shared" si="37"/>
        <v>20.6157222701287</v>
      </c>
      <c r="S58" s="419">
        <f t="shared" si="38"/>
        <v>20.842847561559825</v>
      </c>
      <c r="T58" s="419">
        <f t="shared" si="39"/>
        <v>20.616535064730108</v>
      </c>
      <c r="U58" s="419">
        <f t="shared" si="40"/>
        <v>20.104474465842667</v>
      </c>
      <c r="V58" s="419">
        <f t="shared" si="41"/>
        <v>19.766309132993438</v>
      </c>
      <c r="W58" s="419">
        <f t="shared" si="42"/>
        <v>19.088887611382575</v>
      </c>
      <c r="X58" s="419">
        <f t="shared" si="43"/>
        <v>18.643766453596861</v>
      </c>
      <c r="Y58" s="419">
        <f t="shared" si="44"/>
        <v>18.003585147247112</v>
      </c>
      <c r="Z58" s="419">
        <f t="shared" si="45"/>
        <v>17.491163127835328</v>
      </c>
      <c r="AA58" s="423">
        <f t="shared" si="46"/>
        <v>17.168253968253961</v>
      </c>
    </row>
    <row r="59" spans="1:30" ht="15" hidden="1" outlineLevel="1">
      <c r="A59" s="798">
        <v>22</v>
      </c>
      <c r="B59" s="525">
        <f>LogH22/SUM(LogH1:LogH24)</f>
        <v>2.3641851106639834E-2</v>
      </c>
      <c r="C59" s="188">
        <f t="shared" si="23"/>
        <v>4383.6044840471386</v>
      </c>
      <c r="D59" s="418">
        <f t="shared" si="24"/>
        <v>9.7413432978825298</v>
      </c>
      <c r="E59" s="419">
        <f t="shared" si="25"/>
        <v>14.922908881862599</v>
      </c>
      <c r="F59" s="419">
        <f t="shared" si="26"/>
        <v>12.159407237073228</v>
      </c>
      <c r="G59" s="419">
        <f t="shared" ref="G59:H59" si="66">((AVERAGE($C55:$C59))*8)/3600</f>
        <v>10.65329884066302</v>
      </c>
      <c r="H59" s="419">
        <f t="shared" si="66"/>
        <v>10.65329884066302</v>
      </c>
      <c r="I59" s="419">
        <f t="shared" si="28"/>
        <v>10.466762479639739</v>
      </c>
      <c r="J59" s="419">
        <f t="shared" si="29"/>
        <v>11.399444284756154</v>
      </c>
      <c r="K59" s="419">
        <f t="shared" si="30"/>
        <v>13.212992239149175</v>
      </c>
      <c r="L59" s="419">
        <f t="shared" si="31"/>
        <v>14.232033470665259</v>
      </c>
      <c r="M59" s="419">
        <f t="shared" si="32"/>
        <v>15.731233112963496</v>
      </c>
      <c r="N59" s="419">
        <f t="shared" si="33"/>
        <v>16.825956605433465</v>
      </c>
      <c r="O59" s="419">
        <f t="shared" si="34"/>
        <v>17.980032576410839</v>
      </c>
      <c r="P59" s="419">
        <f t="shared" si="35"/>
        <v>19.705892497844204</v>
      </c>
      <c r="Q59" s="419">
        <f t="shared" si="36"/>
        <v>20.104474465842671</v>
      </c>
      <c r="R59" s="419">
        <f t="shared" si="37"/>
        <v>19.952481875379252</v>
      </c>
      <c r="S59" s="419">
        <f t="shared" si="38"/>
        <v>19.936073584363314</v>
      </c>
      <c r="T59" s="419">
        <f t="shared" si="39"/>
        <v>20.189817898990569</v>
      </c>
      <c r="U59" s="419">
        <f t="shared" si="40"/>
        <v>20.012357744349686</v>
      </c>
      <c r="V59" s="419">
        <f t="shared" si="41"/>
        <v>19.559046509634236</v>
      </c>
      <c r="W59" s="419">
        <f t="shared" si="42"/>
        <v>19.265060841237894</v>
      </c>
      <c r="X59" s="419">
        <f t="shared" si="43"/>
        <v>18.643766453596857</v>
      </c>
      <c r="Y59" s="419">
        <f t="shared" si="44"/>
        <v>18.239110855609841</v>
      </c>
      <c r="Z59" s="419">
        <f t="shared" si="45"/>
        <v>17.644357240752999</v>
      </c>
      <c r="AA59" s="190">
        <f t="shared" si="46"/>
        <v>17.168253968253961</v>
      </c>
    </row>
    <row r="60" spans="1:30" ht="15" hidden="1" outlineLevel="1">
      <c r="A60" s="798">
        <v>23</v>
      </c>
      <c r="B60" s="525">
        <f>LogH23/SUM(LogH1:LogH24)</f>
        <v>1.5090543259557342E-2</v>
      </c>
      <c r="C60" s="188">
        <f t="shared" si="23"/>
        <v>2798.0454153492378</v>
      </c>
      <c r="D60" s="418">
        <f t="shared" si="24"/>
        <v>6.2178787007760841</v>
      </c>
      <c r="E60" s="419">
        <f t="shared" si="25"/>
        <v>7.9796109993293065</v>
      </c>
      <c r="F60" s="419">
        <f t="shared" si="26"/>
        <v>12.021232154833761</v>
      </c>
      <c r="G60" s="419">
        <f t="shared" ref="G60:H60" si="67">((AVERAGE($C56:$C60))*8)/3600</f>
        <v>10.072963495257255</v>
      </c>
      <c r="H60" s="419">
        <f t="shared" si="67"/>
        <v>10.072963495257255</v>
      </c>
      <c r="I60" s="419">
        <f t="shared" si="28"/>
        <v>9.9140621506818647</v>
      </c>
      <c r="J60" s="419">
        <f t="shared" si="29"/>
        <v>9.8597790826592178</v>
      </c>
      <c r="K60" s="419">
        <f t="shared" si="30"/>
        <v>10.751748586758644</v>
      </c>
      <c r="L60" s="419">
        <f t="shared" si="31"/>
        <v>12.435757401552166</v>
      </c>
      <c r="M60" s="419">
        <f t="shared" si="32"/>
        <v>13.430617993676341</v>
      </c>
      <c r="N60" s="419">
        <f t="shared" si="33"/>
        <v>14.866382711855547</v>
      </c>
      <c r="O60" s="419">
        <f t="shared" si="34"/>
        <v>15.941950113378681</v>
      </c>
      <c r="P60" s="419">
        <f t="shared" si="35"/>
        <v>17.075251509054318</v>
      </c>
      <c r="Q60" s="419">
        <f t="shared" si="36"/>
        <v>18.742462940910766</v>
      </c>
      <c r="R60" s="419">
        <f t="shared" si="37"/>
        <v>19.17870141483823</v>
      </c>
      <c r="S60" s="419">
        <f t="shared" si="38"/>
        <v>19.094069176966553</v>
      </c>
      <c r="T60" s="419">
        <f t="shared" si="39"/>
        <v>19.129120944152302</v>
      </c>
      <c r="U60" s="419">
        <f t="shared" si="40"/>
        <v>19.413599054645321</v>
      </c>
      <c r="V60" s="419">
        <f t="shared" si="41"/>
        <v>19.286332531530025</v>
      </c>
      <c r="W60" s="419">
        <f t="shared" si="42"/>
        <v>18.891988119191328</v>
      </c>
      <c r="X60" s="419">
        <f t="shared" si="43"/>
        <v>18.643766453596857</v>
      </c>
      <c r="Y60" s="419">
        <f t="shared" si="44"/>
        <v>18.078953373923184</v>
      </c>
      <c r="Z60" s="419">
        <f t="shared" si="45"/>
        <v>17.716448588008376</v>
      </c>
      <c r="AA60" s="421">
        <f t="shared" si="46"/>
        <v>17.168253968253961</v>
      </c>
    </row>
    <row r="61" spans="1:30" ht="15.75" hidden="1" outlineLevel="1" thickBot="1">
      <c r="A61" s="222">
        <v>24</v>
      </c>
      <c r="B61" s="524">
        <f>LogH24/SUM(LogH1:LogH24)</f>
        <v>1.1066398390342048E-2</v>
      </c>
      <c r="C61" s="188">
        <f t="shared" si="23"/>
        <v>2051.8999712561072</v>
      </c>
      <c r="D61" s="426">
        <f t="shared" si="24"/>
        <v>4.5597777139024602</v>
      </c>
      <c r="E61" s="425">
        <f t="shared" si="25"/>
        <v>5.3888282073392721</v>
      </c>
      <c r="F61" s="425">
        <f t="shared" si="26"/>
        <v>6.8396665708536917</v>
      </c>
      <c r="G61" s="192">
        <f t="shared" ref="G61:H61" si="68">((AVERAGE($C57:$C61))*8)/3600</f>
        <v>9.4511756251796459</v>
      </c>
      <c r="H61" s="427">
        <f t="shared" si="68"/>
        <v>9.4511756251796459</v>
      </c>
      <c r="I61" s="427">
        <f t="shared" si="28"/>
        <v>9.1540991983647899</v>
      </c>
      <c r="J61" s="427">
        <f t="shared" si="29"/>
        <v>9.1491643739990938</v>
      </c>
      <c r="K61" s="427">
        <f t="shared" si="30"/>
        <v>9.1972789115646219</v>
      </c>
      <c r="L61" s="425">
        <f t="shared" si="31"/>
        <v>10.063751823107957</v>
      </c>
      <c r="M61" s="425">
        <f t="shared" si="32"/>
        <v>11.648159432787196</v>
      </c>
      <c r="N61" s="425">
        <f t="shared" si="33"/>
        <v>12.624177968242352</v>
      </c>
      <c r="O61" s="425">
        <f t="shared" si="34"/>
        <v>14.007498962026123</v>
      </c>
      <c r="P61" s="192">
        <f t="shared" si="35"/>
        <v>15.06639839034205</v>
      </c>
      <c r="Q61" s="425">
        <f t="shared" si="36"/>
        <v>16.181289095114899</v>
      </c>
      <c r="R61" s="192">
        <f t="shared" si="37"/>
        <v>17.796950592443544</v>
      </c>
      <c r="S61" s="427">
        <f t="shared" si="38"/>
        <v>18.265018683529746</v>
      </c>
      <c r="T61" s="427">
        <f t="shared" si="39"/>
        <v>18.239110855609844</v>
      </c>
      <c r="U61" s="425">
        <f t="shared" si="40"/>
        <v>18.319712986916201</v>
      </c>
      <c r="V61" s="425">
        <f t="shared" si="41"/>
        <v>18.63181898407991</v>
      </c>
      <c r="W61" s="425">
        <f t="shared" si="42"/>
        <v>18.550004790648646</v>
      </c>
      <c r="X61" s="425">
        <f t="shared" si="43"/>
        <v>18.209501909415671</v>
      </c>
      <c r="Y61" s="425">
        <f t="shared" si="44"/>
        <v>18.003585147247112</v>
      </c>
      <c r="Z61" s="425">
        <f t="shared" si="45"/>
        <v>17.491163127835328</v>
      </c>
      <c r="AA61" s="424">
        <f t="shared" si="46"/>
        <v>17.168253968253964</v>
      </c>
    </row>
    <row r="62" spans="1:30" s="487" customFormat="1" ht="15.75" hidden="1" outlineLevel="1" thickBot="1">
      <c r="A62" s="222"/>
      <c r="B62" s="511"/>
      <c r="C62" s="512"/>
      <c r="D62" s="507"/>
      <c r="E62" s="507"/>
      <c r="F62" s="507"/>
      <c r="G62" s="507"/>
      <c r="H62" s="507"/>
      <c r="I62" s="507"/>
      <c r="J62" s="507"/>
      <c r="K62" s="507"/>
      <c r="L62" s="507"/>
      <c r="M62" s="507"/>
      <c r="N62" s="507"/>
      <c r="O62" s="507"/>
      <c r="P62" s="507"/>
      <c r="Q62" s="507"/>
      <c r="R62" s="507"/>
      <c r="S62" s="507"/>
      <c r="T62" s="507"/>
      <c r="U62" s="507"/>
      <c r="V62" s="507"/>
      <c r="W62" s="507"/>
      <c r="X62" s="507"/>
      <c r="Y62" s="507"/>
      <c r="Z62" s="507"/>
      <c r="AA62" s="190"/>
    </row>
    <row r="63" spans="1:30" s="487" customFormat="1" ht="16.5" hidden="1" outlineLevel="1" thickBot="1">
      <c r="A63" s="799"/>
      <c r="B63" s="522"/>
      <c r="C63" s="510"/>
      <c r="D63" s="1039" t="s">
        <v>311</v>
      </c>
      <c r="E63" s="1040"/>
      <c r="F63" s="1040"/>
      <c r="G63" s="1040"/>
      <c r="H63" s="1040"/>
      <c r="I63" s="1040"/>
      <c r="J63" s="1040"/>
      <c r="K63" s="1040"/>
      <c r="L63" s="1040"/>
      <c r="M63" s="1040"/>
      <c r="N63" s="1040"/>
      <c r="O63" s="1040"/>
      <c r="P63" s="1040"/>
      <c r="Q63" s="1040"/>
      <c r="R63" s="1040"/>
      <c r="S63" s="1040"/>
      <c r="T63" s="1040"/>
      <c r="U63" s="1040"/>
      <c r="V63" s="1040"/>
      <c r="W63" s="1040"/>
      <c r="X63" s="1040"/>
      <c r="Y63" s="1040"/>
      <c r="Z63" s="1040"/>
      <c r="AA63" s="1041"/>
    </row>
    <row r="64" spans="1:30" s="487" customFormat="1" ht="15.75" hidden="1" outlineLevel="1">
      <c r="A64" s="799"/>
      <c r="B64" s="522"/>
      <c r="C64" s="522"/>
      <c r="D64" s="1030" t="s">
        <v>251</v>
      </c>
      <c r="E64" s="1031"/>
      <c r="F64" s="1031"/>
      <c r="G64" s="1031"/>
      <c r="H64" s="1031"/>
      <c r="I64" s="1031"/>
      <c r="J64" s="1031"/>
      <c r="K64" s="1031"/>
      <c r="L64" s="1031"/>
      <c r="M64" s="1031"/>
      <c r="N64" s="1031"/>
      <c r="O64" s="1031"/>
      <c r="P64" s="1031"/>
      <c r="Q64" s="1031"/>
      <c r="R64" s="1031"/>
      <c r="S64" s="1031"/>
      <c r="T64" s="1031"/>
      <c r="U64" s="1031"/>
      <c r="V64" s="1031"/>
      <c r="W64" s="1031"/>
      <c r="X64" s="1031"/>
      <c r="Y64" s="1031"/>
      <c r="Z64" s="1031"/>
      <c r="AA64" s="1032"/>
    </row>
    <row r="65" spans="1:27" s="487" customFormat="1" ht="16.5" hidden="1" outlineLevel="1" thickBot="1">
      <c r="A65" s="800"/>
      <c r="B65" s="522"/>
      <c r="C65" s="522"/>
      <c r="D65" s="185">
        <f t="shared" ref="D65:AA65" si="69">D13</f>
        <v>1</v>
      </c>
      <c r="E65" s="508">
        <f t="shared" si="69"/>
        <v>2</v>
      </c>
      <c r="F65" s="508">
        <f t="shared" si="69"/>
        <v>3</v>
      </c>
      <c r="G65" s="508">
        <f t="shared" si="69"/>
        <v>4</v>
      </c>
      <c r="H65" s="508">
        <f t="shared" si="69"/>
        <v>5</v>
      </c>
      <c r="I65" s="508">
        <f t="shared" si="69"/>
        <v>6</v>
      </c>
      <c r="J65" s="508">
        <f t="shared" si="69"/>
        <v>7</v>
      </c>
      <c r="K65" s="508">
        <f t="shared" si="69"/>
        <v>8</v>
      </c>
      <c r="L65" s="508">
        <f t="shared" si="69"/>
        <v>9</v>
      </c>
      <c r="M65" s="508">
        <f t="shared" si="69"/>
        <v>10</v>
      </c>
      <c r="N65" s="508">
        <f t="shared" si="69"/>
        <v>11</v>
      </c>
      <c r="O65" s="508">
        <f t="shared" si="69"/>
        <v>12</v>
      </c>
      <c r="P65" s="508">
        <f t="shared" si="69"/>
        <v>13</v>
      </c>
      <c r="Q65" s="508">
        <f t="shared" si="69"/>
        <v>14</v>
      </c>
      <c r="R65" s="508">
        <f t="shared" si="69"/>
        <v>15</v>
      </c>
      <c r="S65" s="508">
        <f t="shared" si="69"/>
        <v>16</v>
      </c>
      <c r="T65" s="508">
        <f t="shared" si="69"/>
        <v>17</v>
      </c>
      <c r="U65" s="508">
        <f t="shared" si="69"/>
        <v>18</v>
      </c>
      <c r="V65" s="508">
        <f t="shared" si="69"/>
        <v>19</v>
      </c>
      <c r="W65" s="508">
        <f t="shared" si="69"/>
        <v>20</v>
      </c>
      <c r="X65" s="508">
        <f t="shared" si="69"/>
        <v>21</v>
      </c>
      <c r="Y65" s="508">
        <f t="shared" si="69"/>
        <v>22</v>
      </c>
      <c r="Z65" s="508">
        <f t="shared" si="69"/>
        <v>23</v>
      </c>
      <c r="AA65" s="509">
        <f t="shared" si="69"/>
        <v>24</v>
      </c>
    </row>
    <row r="66" spans="1:27" s="487" customFormat="1" ht="15.75" hidden="1" outlineLevel="1" thickBot="1">
      <c r="A66" s="1044" t="s">
        <v>314</v>
      </c>
      <c r="B66" s="1044"/>
      <c r="C66" s="1044"/>
      <c r="D66" s="456">
        <f t="shared" ref="D66:AA66" si="70">IF(numSCRTarget&lt;&gt;0,MAX(D$38:D$61),"--")</f>
        <v>40.416211555044548</v>
      </c>
      <c r="E66" s="456">
        <f t="shared" si="70"/>
        <v>35.545539906103279</v>
      </c>
      <c r="F66" s="456">
        <f t="shared" si="70"/>
        <v>32.954757114113242</v>
      </c>
      <c r="G66" s="456">
        <f t="shared" si="70"/>
        <v>30.674868257162011</v>
      </c>
      <c r="H66" s="456">
        <f t="shared" si="70"/>
        <v>30.674868257162011</v>
      </c>
      <c r="I66" s="456">
        <f t="shared" si="70"/>
        <v>29.396748746446924</v>
      </c>
      <c r="J66" s="456">
        <f t="shared" si="70"/>
        <v>28.809504646929184</v>
      </c>
      <c r="K66" s="456">
        <f t="shared" si="70"/>
        <v>27.436389767174465</v>
      </c>
      <c r="L66" s="456">
        <f t="shared" si="70"/>
        <v>26.575674150724446</v>
      </c>
      <c r="M66" s="456">
        <f t="shared" si="70"/>
        <v>26.34307942895467</v>
      </c>
      <c r="N66" s="456">
        <f t="shared" si="70"/>
        <v>25.49330267318194</v>
      </c>
      <c r="O66" s="456">
        <f t="shared" si="70"/>
        <v>24.785155376704662</v>
      </c>
      <c r="P66" s="456">
        <f t="shared" si="70"/>
        <v>23.75548529270862</v>
      </c>
      <c r="Q66" s="456">
        <f t="shared" si="70"/>
        <v>23.03576013906568</v>
      </c>
      <c r="R66" s="456">
        <f t="shared" si="70"/>
        <v>22.135648174762856</v>
      </c>
      <c r="S66" s="456">
        <f t="shared" si="70"/>
        <v>21.322142378077984</v>
      </c>
      <c r="T66" s="456">
        <f t="shared" si="70"/>
        <v>20.616535064730108</v>
      </c>
      <c r="U66" s="456">
        <f t="shared" si="70"/>
        <v>20.104474465842667</v>
      </c>
      <c r="V66" s="456">
        <f t="shared" si="70"/>
        <v>19.766309132993438</v>
      </c>
      <c r="W66" s="456">
        <f t="shared" si="70"/>
        <v>19.265060841237894</v>
      </c>
      <c r="X66" s="456">
        <f t="shared" si="70"/>
        <v>18.643766453596861</v>
      </c>
      <c r="Y66" s="456">
        <f t="shared" si="70"/>
        <v>18.239110855609841</v>
      </c>
      <c r="Z66" s="456">
        <f t="shared" si="70"/>
        <v>17.716448588008376</v>
      </c>
      <c r="AA66" s="457">
        <f t="shared" si="70"/>
        <v>17.168253968253968</v>
      </c>
    </row>
    <row r="67" spans="1:27" s="549" customFormat="1" ht="15.75" hidden="1" outlineLevel="1" thickBot="1">
      <c r="A67" s="755"/>
      <c r="B67" s="551"/>
      <c r="C67" s="551"/>
      <c r="D67" s="552"/>
      <c r="E67" s="552"/>
      <c r="F67" s="552"/>
      <c r="G67" s="552"/>
      <c r="H67" s="552"/>
      <c r="I67" s="552"/>
      <c r="J67" s="552"/>
      <c r="K67" s="552"/>
      <c r="L67" s="552"/>
      <c r="M67" s="552"/>
      <c r="N67" s="552"/>
      <c r="O67" s="552"/>
      <c r="P67" s="552"/>
      <c r="Q67" s="552"/>
      <c r="R67" s="552"/>
      <c r="S67" s="552"/>
      <c r="T67" s="552"/>
      <c r="U67" s="552"/>
      <c r="V67" s="552"/>
      <c r="W67" s="552"/>
      <c r="X67" s="552"/>
      <c r="Y67" s="552"/>
      <c r="Z67" s="552"/>
      <c r="AA67" s="553"/>
    </row>
    <row r="68" spans="1:27" s="549" customFormat="1" ht="16.5" hidden="1" outlineLevel="1" thickBot="1">
      <c r="A68" s="1042" t="s">
        <v>466</v>
      </c>
      <c r="B68" s="1043"/>
      <c r="C68" s="557" t="s">
        <v>465</v>
      </c>
      <c r="D68" s="1039" t="s">
        <v>464</v>
      </c>
      <c r="E68" s="1040"/>
      <c r="F68" s="1040"/>
      <c r="G68" s="1033" t="s">
        <v>431</v>
      </c>
      <c r="H68" s="1034"/>
      <c r="I68" s="1034"/>
      <c r="J68" s="1034"/>
      <c r="K68" s="1035"/>
      <c r="L68" s="1098" t="s">
        <v>430</v>
      </c>
      <c r="M68" s="1042"/>
      <c r="N68" s="1042"/>
      <c r="O68" s="1043"/>
      <c r="P68" s="504"/>
      <c r="Q68" s="504"/>
      <c r="R68" s="504"/>
      <c r="S68" s="504"/>
      <c r="T68" s="504"/>
      <c r="U68" s="504"/>
      <c r="V68" s="504"/>
      <c r="W68" s="504"/>
      <c r="X68" s="504"/>
      <c r="Y68" s="504"/>
      <c r="Z68" s="504"/>
      <c r="AA68" s="506"/>
    </row>
    <row r="69" spans="1:27" s="549" customFormat="1" ht="15" hidden="1" outlineLevel="1">
      <c r="A69" s="1073">
        <f t="shared" ref="A69:A114" si="71">MIN(IF(C69="Default Value",G69,C69/(NetLinkLatency/1000)*8),G69)/1000000</f>
        <v>9.9999999999999995E-7</v>
      </c>
      <c r="B69" s="1073"/>
      <c r="C69" s="558" t="str">
        <f t="shared" ref="C69:C114" si="72">VLOOKUP(D69,tblTCPWindowSize,2,TRUE)</f>
        <v>Default Value</v>
      </c>
      <c r="D69" s="1086">
        <f t="shared" ref="D69:D114" si="73">G69*(NetLinkLatency/1000)</f>
        <v>0.05</v>
      </c>
      <c r="E69" s="1087"/>
      <c r="F69" s="1088"/>
      <c r="G69" s="1080">
        <v>1</v>
      </c>
      <c r="H69" s="1081">
        <v>1</v>
      </c>
      <c r="I69" s="1081">
        <v>1</v>
      </c>
      <c r="J69" s="1081">
        <v>1</v>
      </c>
      <c r="K69" s="1082">
        <v>1</v>
      </c>
      <c r="L69" s="1099" t="s">
        <v>421</v>
      </c>
      <c r="M69" s="1100" t="s">
        <v>421</v>
      </c>
      <c r="N69" s="1100" t="s">
        <v>421</v>
      </c>
      <c r="O69" s="1101" t="s">
        <v>421</v>
      </c>
      <c r="P69" s="504"/>
      <c r="Q69" s="504"/>
      <c r="R69" s="504"/>
      <c r="S69" s="504"/>
      <c r="T69" s="504"/>
      <c r="U69" s="504"/>
      <c r="V69" s="504"/>
      <c r="W69" s="504"/>
      <c r="X69" s="504"/>
      <c r="Y69" s="504"/>
      <c r="Z69" s="504"/>
      <c r="AA69" s="506"/>
    </row>
    <row r="70" spans="1:27" s="549" customFormat="1" ht="15" hidden="1" outlineLevel="1">
      <c r="A70" s="1048">
        <f t="shared" si="71"/>
        <v>6.4000000000000001E-2</v>
      </c>
      <c r="B70" s="1049"/>
      <c r="C70" s="559" t="str">
        <f t="shared" si="72"/>
        <v>Default Value</v>
      </c>
      <c r="D70" s="1089">
        <f t="shared" si="73"/>
        <v>3200</v>
      </c>
      <c r="E70" s="1090"/>
      <c r="F70" s="1091"/>
      <c r="G70" s="1083">
        <v>64000</v>
      </c>
      <c r="H70" s="1084">
        <v>64000</v>
      </c>
      <c r="I70" s="1084">
        <v>64000</v>
      </c>
      <c r="J70" s="1084">
        <v>64000</v>
      </c>
      <c r="K70" s="1085">
        <v>64000</v>
      </c>
      <c r="L70" s="1092" t="s">
        <v>421</v>
      </c>
      <c r="M70" s="1093" t="s">
        <v>421</v>
      </c>
      <c r="N70" s="1093" t="s">
        <v>421</v>
      </c>
      <c r="O70" s="1094" t="s">
        <v>421</v>
      </c>
      <c r="P70" s="504"/>
      <c r="Q70" s="504"/>
      <c r="R70" s="504"/>
      <c r="S70" s="504"/>
      <c r="T70" s="504"/>
      <c r="U70" s="504"/>
      <c r="V70" s="504"/>
      <c r="W70" s="504"/>
      <c r="X70" s="504"/>
      <c r="Y70" s="504"/>
      <c r="Z70" s="504"/>
      <c r="AA70" s="506"/>
    </row>
    <row r="71" spans="1:27" s="549" customFormat="1" ht="15" hidden="1" outlineLevel="1">
      <c r="A71" s="1048">
        <f t="shared" si="71"/>
        <v>6.4001000000000002E-2</v>
      </c>
      <c r="B71" s="1049"/>
      <c r="C71" s="559" t="str">
        <f t="shared" si="72"/>
        <v>Default Value</v>
      </c>
      <c r="D71" s="1089">
        <f t="shared" si="73"/>
        <v>3200.05</v>
      </c>
      <c r="E71" s="1090"/>
      <c r="F71" s="1091"/>
      <c r="G71" s="1083">
        <v>64001</v>
      </c>
      <c r="H71" s="1084">
        <v>64001</v>
      </c>
      <c r="I71" s="1084">
        <v>64001</v>
      </c>
      <c r="J71" s="1084">
        <v>64001</v>
      </c>
      <c r="K71" s="1085">
        <v>64001</v>
      </c>
      <c r="L71" s="1092" t="s">
        <v>422</v>
      </c>
      <c r="M71" s="1093" t="s">
        <v>422</v>
      </c>
      <c r="N71" s="1093" t="s">
        <v>422</v>
      </c>
      <c r="O71" s="1094" t="s">
        <v>422</v>
      </c>
      <c r="P71" s="504"/>
      <c r="Q71" s="504"/>
      <c r="R71" s="504"/>
      <c r="S71" s="504"/>
      <c r="T71" s="504"/>
      <c r="U71" s="504"/>
      <c r="V71" s="504"/>
      <c r="W71" s="504"/>
      <c r="X71" s="504"/>
      <c r="Y71" s="504"/>
      <c r="Z71" s="504"/>
      <c r="AA71" s="506"/>
    </row>
    <row r="72" spans="1:27" s="549" customFormat="1" ht="15" hidden="1" outlineLevel="1">
      <c r="A72" s="1048">
        <f t="shared" si="71"/>
        <v>0.128</v>
      </c>
      <c r="B72" s="1049"/>
      <c r="C72" s="559" t="str">
        <f t="shared" si="72"/>
        <v>Default Value</v>
      </c>
      <c r="D72" s="1089">
        <f t="shared" si="73"/>
        <v>6400</v>
      </c>
      <c r="E72" s="1090"/>
      <c r="F72" s="1091"/>
      <c r="G72" s="1083">
        <v>128000</v>
      </c>
      <c r="H72" s="1084">
        <v>128000</v>
      </c>
      <c r="I72" s="1084">
        <v>128000</v>
      </c>
      <c r="J72" s="1084">
        <v>128000</v>
      </c>
      <c r="K72" s="1085">
        <v>128000</v>
      </c>
      <c r="L72" s="1092" t="s">
        <v>422</v>
      </c>
      <c r="M72" s="1093" t="s">
        <v>422</v>
      </c>
      <c r="N72" s="1093" t="s">
        <v>422</v>
      </c>
      <c r="O72" s="1094" t="s">
        <v>422</v>
      </c>
      <c r="P72" s="504"/>
      <c r="Q72" s="504"/>
      <c r="R72" s="504"/>
      <c r="S72" s="504"/>
      <c r="T72" s="504"/>
      <c r="U72" s="504"/>
      <c r="V72" s="504"/>
      <c r="W72" s="504"/>
      <c r="X72" s="504"/>
      <c r="Y72" s="504"/>
      <c r="Z72" s="504"/>
      <c r="AA72" s="506"/>
    </row>
    <row r="73" spans="1:27" s="549" customFormat="1" ht="15" hidden="1" outlineLevel="1">
      <c r="A73" s="1048">
        <f t="shared" si="71"/>
        <v>0.128001</v>
      </c>
      <c r="B73" s="1049"/>
      <c r="C73" s="559" t="str">
        <f t="shared" si="72"/>
        <v>Default Value</v>
      </c>
      <c r="D73" s="1089">
        <f t="shared" si="73"/>
        <v>6400.05</v>
      </c>
      <c r="E73" s="1090"/>
      <c r="F73" s="1091"/>
      <c r="G73" s="1083">
        <v>128001</v>
      </c>
      <c r="H73" s="1084">
        <v>128001</v>
      </c>
      <c r="I73" s="1084">
        <v>128001</v>
      </c>
      <c r="J73" s="1084">
        <v>128001</v>
      </c>
      <c r="K73" s="1085">
        <v>128001</v>
      </c>
      <c r="L73" s="1092" t="s">
        <v>423</v>
      </c>
      <c r="M73" s="1093" t="s">
        <v>423</v>
      </c>
      <c r="N73" s="1093" t="s">
        <v>423</v>
      </c>
      <c r="O73" s="1094" t="s">
        <v>423</v>
      </c>
      <c r="P73" s="504"/>
      <c r="Q73" s="504"/>
      <c r="R73" s="504"/>
      <c r="S73" s="504"/>
      <c r="T73" s="504"/>
      <c r="U73" s="504"/>
      <c r="V73" s="504"/>
      <c r="W73" s="504"/>
      <c r="X73" s="504"/>
      <c r="Y73" s="504"/>
      <c r="Z73" s="504"/>
      <c r="AA73" s="506"/>
    </row>
    <row r="74" spans="1:27" s="549" customFormat="1" ht="15" hidden="1" outlineLevel="1">
      <c r="A74" s="1048">
        <f t="shared" si="71"/>
        <v>0.192</v>
      </c>
      <c r="B74" s="1049"/>
      <c r="C74" s="559" t="str">
        <f t="shared" si="72"/>
        <v>Default Value</v>
      </c>
      <c r="D74" s="1089">
        <f t="shared" si="73"/>
        <v>9600</v>
      </c>
      <c r="E74" s="1090"/>
      <c r="F74" s="1091"/>
      <c r="G74" s="1083">
        <v>192000</v>
      </c>
      <c r="H74" s="1084">
        <v>192000</v>
      </c>
      <c r="I74" s="1084">
        <v>192000</v>
      </c>
      <c r="J74" s="1084">
        <v>192000</v>
      </c>
      <c r="K74" s="1085">
        <v>192000</v>
      </c>
      <c r="L74" s="1092" t="s">
        <v>423</v>
      </c>
      <c r="M74" s="1093" t="s">
        <v>423</v>
      </c>
      <c r="N74" s="1093" t="s">
        <v>423</v>
      </c>
      <c r="O74" s="1094" t="s">
        <v>423</v>
      </c>
      <c r="P74" s="504"/>
      <c r="Q74" s="504"/>
      <c r="R74" s="504"/>
      <c r="S74" s="504"/>
      <c r="T74" s="504"/>
      <c r="U74" s="504"/>
      <c r="V74" s="504"/>
      <c r="W74" s="504"/>
      <c r="X74" s="504"/>
      <c r="Y74" s="504"/>
      <c r="Z74" s="504"/>
      <c r="AA74" s="506"/>
    </row>
    <row r="75" spans="1:27" s="549" customFormat="1" ht="15" hidden="1" outlineLevel="1">
      <c r="A75" s="1048">
        <f t="shared" si="71"/>
        <v>0.192001</v>
      </c>
      <c r="B75" s="1049"/>
      <c r="C75" s="559" t="str">
        <f t="shared" si="72"/>
        <v>Default Value</v>
      </c>
      <c r="D75" s="1089">
        <f t="shared" si="73"/>
        <v>9600.0500000000011</v>
      </c>
      <c r="E75" s="1090"/>
      <c r="F75" s="1091"/>
      <c r="G75" s="1083">
        <v>192001</v>
      </c>
      <c r="H75" s="1084">
        <v>192001</v>
      </c>
      <c r="I75" s="1084">
        <v>192001</v>
      </c>
      <c r="J75" s="1084">
        <v>192001</v>
      </c>
      <c r="K75" s="1085">
        <v>192001</v>
      </c>
      <c r="L75" s="1092" t="s">
        <v>424</v>
      </c>
      <c r="M75" s="1093" t="s">
        <v>424</v>
      </c>
      <c r="N75" s="1093" t="s">
        <v>424</v>
      </c>
      <c r="O75" s="1094" t="s">
        <v>424</v>
      </c>
      <c r="P75" s="504"/>
      <c r="Q75" s="504"/>
      <c r="R75" s="504"/>
      <c r="S75" s="104"/>
      <c r="T75" s="504"/>
      <c r="U75" s="504"/>
      <c r="V75" s="504"/>
      <c r="W75" s="504"/>
      <c r="X75" s="504"/>
      <c r="Y75" s="504"/>
      <c r="Z75" s="504"/>
      <c r="AA75" s="506"/>
    </row>
    <row r="76" spans="1:27" s="549" customFormat="1" ht="15" hidden="1" outlineLevel="1">
      <c r="A76" s="1048">
        <f t="shared" si="71"/>
        <v>0.25600000000000001</v>
      </c>
      <c r="B76" s="1049"/>
      <c r="C76" s="559" t="str">
        <f t="shared" si="72"/>
        <v>Default Value</v>
      </c>
      <c r="D76" s="1089">
        <f t="shared" si="73"/>
        <v>12800</v>
      </c>
      <c r="E76" s="1090"/>
      <c r="F76" s="1091"/>
      <c r="G76" s="1083">
        <v>256000</v>
      </c>
      <c r="H76" s="1084">
        <v>256000</v>
      </c>
      <c r="I76" s="1084">
        <v>256000</v>
      </c>
      <c r="J76" s="1084">
        <v>256000</v>
      </c>
      <c r="K76" s="1085">
        <v>256000</v>
      </c>
      <c r="L76" s="1092" t="s">
        <v>424</v>
      </c>
      <c r="M76" s="1093" t="s">
        <v>424</v>
      </c>
      <c r="N76" s="1093" t="s">
        <v>424</v>
      </c>
      <c r="O76" s="1094" t="s">
        <v>424</v>
      </c>
      <c r="P76" s="504"/>
      <c r="Q76" s="504"/>
      <c r="R76" s="504"/>
      <c r="S76" s="104"/>
      <c r="T76" s="504"/>
      <c r="U76" s="504"/>
      <c r="V76" s="504"/>
      <c r="W76" s="504"/>
      <c r="X76" s="504"/>
      <c r="Y76" s="504"/>
      <c r="Z76" s="504"/>
      <c r="AA76" s="506"/>
    </row>
    <row r="77" spans="1:27" s="549" customFormat="1" ht="15" hidden="1" outlineLevel="1">
      <c r="A77" s="1048">
        <f t="shared" si="71"/>
        <v>0.25600099999999998</v>
      </c>
      <c r="B77" s="1049"/>
      <c r="C77" s="559" t="str">
        <f t="shared" si="72"/>
        <v>Default Value</v>
      </c>
      <c r="D77" s="1089">
        <f t="shared" si="73"/>
        <v>12800.050000000001</v>
      </c>
      <c r="E77" s="1090"/>
      <c r="F77" s="1091"/>
      <c r="G77" s="1083">
        <v>256001</v>
      </c>
      <c r="H77" s="1084">
        <v>256001</v>
      </c>
      <c r="I77" s="1084">
        <v>256001</v>
      </c>
      <c r="J77" s="1084">
        <v>256001</v>
      </c>
      <c r="K77" s="1085">
        <v>256001</v>
      </c>
      <c r="L77" s="1092" t="s">
        <v>425</v>
      </c>
      <c r="M77" s="1093" t="s">
        <v>425</v>
      </c>
      <c r="N77" s="1093" t="s">
        <v>425</v>
      </c>
      <c r="O77" s="1094" t="s">
        <v>425</v>
      </c>
      <c r="P77" s="504"/>
      <c r="Q77" s="504"/>
      <c r="R77" s="504"/>
      <c r="S77" s="104"/>
      <c r="T77" s="504"/>
      <c r="U77" s="504"/>
      <c r="V77" s="504"/>
      <c r="W77" s="504"/>
      <c r="X77" s="504"/>
      <c r="Y77" s="504"/>
      <c r="Z77" s="504"/>
      <c r="AA77" s="506"/>
    </row>
    <row r="78" spans="1:27" s="549" customFormat="1" ht="15" hidden="1" outlineLevel="1">
      <c r="A78" s="1048">
        <f t="shared" si="71"/>
        <v>0.38400000000000001</v>
      </c>
      <c r="B78" s="1049"/>
      <c r="C78" s="559" t="str">
        <f t="shared" si="72"/>
        <v>Default Value</v>
      </c>
      <c r="D78" s="1089">
        <f t="shared" si="73"/>
        <v>19200</v>
      </c>
      <c r="E78" s="1090"/>
      <c r="F78" s="1091"/>
      <c r="G78" s="1083">
        <v>384000</v>
      </c>
      <c r="H78" s="1084">
        <v>384000</v>
      </c>
      <c r="I78" s="1084">
        <v>384000</v>
      </c>
      <c r="J78" s="1084">
        <v>384000</v>
      </c>
      <c r="K78" s="1085">
        <v>384000</v>
      </c>
      <c r="L78" s="1092" t="s">
        <v>425</v>
      </c>
      <c r="M78" s="1093" t="s">
        <v>425</v>
      </c>
      <c r="N78" s="1093" t="s">
        <v>425</v>
      </c>
      <c r="O78" s="1094" t="s">
        <v>425</v>
      </c>
      <c r="P78" s="504"/>
      <c r="Q78" s="504"/>
      <c r="R78" s="504"/>
      <c r="S78" s="104"/>
      <c r="T78" s="504"/>
      <c r="U78" s="504"/>
      <c r="V78" s="504"/>
      <c r="W78" s="504"/>
      <c r="X78" s="504"/>
      <c r="Y78" s="504"/>
      <c r="Z78" s="504"/>
      <c r="AA78" s="506"/>
    </row>
    <row r="79" spans="1:27" s="549" customFormat="1" ht="15" hidden="1" outlineLevel="1">
      <c r="A79" s="1048">
        <f t="shared" si="71"/>
        <v>0.38400099999999998</v>
      </c>
      <c r="B79" s="1049"/>
      <c r="C79" s="559" t="str">
        <f t="shared" si="72"/>
        <v>Default Value</v>
      </c>
      <c r="D79" s="1089">
        <f t="shared" si="73"/>
        <v>19200.05</v>
      </c>
      <c r="E79" s="1090"/>
      <c r="F79" s="1091"/>
      <c r="G79" s="1083">
        <v>384001</v>
      </c>
      <c r="H79" s="1084">
        <v>384001</v>
      </c>
      <c r="I79" s="1084">
        <v>384001</v>
      </c>
      <c r="J79" s="1084">
        <v>384001</v>
      </c>
      <c r="K79" s="1085">
        <v>384001</v>
      </c>
      <c r="L79" s="1092" t="s">
        <v>460</v>
      </c>
      <c r="M79" s="1093" t="s">
        <v>460</v>
      </c>
      <c r="N79" s="1093" t="s">
        <v>460</v>
      </c>
      <c r="O79" s="1094" t="s">
        <v>460</v>
      </c>
      <c r="P79" s="504"/>
      <c r="Q79" s="504"/>
      <c r="R79" s="504"/>
      <c r="S79" s="104"/>
      <c r="T79" s="504"/>
      <c r="U79" s="504"/>
      <c r="V79" s="504"/>
      <c r="W79" s="504"/>
      <c r="X79" s="504"/>
      <c r="Y79" s="504"/>
      <c r="Z79" s="504"/>
      <c r="AA79" s="506"/>
    </row>
    <row r="80" spans="1:27" s="549" customFormat="1" ht="15" hidden="1" outlineLevel="1">
      <c r="A80" s="1048">
        <f t="shared" si="71"/>
        <v>0.76800000000000002</v>
      </c>
      <c r="B80" s="1049"/>
      <c r="C80" s="559" t="str">
        <f t="shared" si="72"/>
        <v>Default Value</v>
      </c>
      <c r="D80" s="1089">
        <f t="shared" si="73"/>
        <v>38400</v>
      </c>
      <c r="E80" s="1090"/>
      <c r="F80" s="1091"/>
      <c r="G80" s="1083">
        <v>768000</v>
      </c>
      <c r="H80" s="1084">
        <v>768000</v>
      </c>
      <c r="I80" s="1084">
        <v>768000</v>
      </c>
      <c r="J80" s="1084">
        <v>768000</v>
      </c>
      <c r="K80" s="1085">
        <v>768000</v>
      </c>
      <c r="L80" s="1092" t="s">
        <v>460</v>
      </c>
      <c r="M80" s="1093" t="s">
        <v>460</v>
      </c>
      <c r="N80" s="1093" t="s">
        <v>460</v>
      </c>
      <c r="O80" s="1094" t="s">
        <v>460</v>
      </c>
      <c r="P80" s="504"/>
      <c r="Q80" s="504"/>
      <c r="R80" s="504"/>
      <c r="S80" s="104"/>
      <c r="T80" s="504"/>
      <c r="U80" s="504"/>
      <c r="V80" s="504"/>
      <c r="W80" s="504"/>
      <c r="X80" s="504"/>
      <c r="Y80" s="504"/>
      <c r="Z80" s="504"/>
      <c r="AA80" s="506"/>
    </row>
    <row r="81" spans="1:27" s="549" customFormat="1" ht="15" hidden="1" outlineLevel="1">
      <c r="A81" s="1048">
        <f t="shared" si="71"/>
        <v>0.76800100000000004</v>
      </c>
      <c r="B81" s="1049"/>
      <c r="C81" s="559" t="str">
        <f t="shared" si="72"/>
        <v>Default Value</v>
      </c>
      <c r="D81" s="1089">
        <f t="shared" si="73"/>
        <v>38400.050000000003</v>
      </c>
      <c r="E81" s="1090"/>
      <c r="F81" s="1091"/>
      <c r="G81" s="1083">
        <v>768001</v>
      </c>
      <c r="H81" s="1084">
        <v>768001</v>
      </c>
      <c r="I81" s="1084">
        <v>768001</v>
      </c>
      <c r="J81" s="1084">
        <v>768001</v>
      </c>
      <c r="K81" s="1085">
        <v>768001</v>
      </c>
      <c r="L81" s="1092" t="s">
        <v>475</v>
      </c>
      <c r="M81" s="1093"/>
      <c r="N81" s="1093"/>
      <c r="O81" s="1094"/>
      <c r="P81" s="504"/>
      <c r="Q81" s="504"/>
      <c r="R81" s="504"/>
      <c r="S81" s="104"/>
      <c r="T81" s="504"/>
      <c r="U81" s="504"/>
      <c r="V81" s="504"/>
      <c r="W81" s="504"/>
      <c r="X81" s="504"/>
      <c r="Y81" s="504"/>
      <c r="Z81" s="504"/>
      <c r="AA81" s="506"/>
    </row>
    <row r="82" spans="1:27" s="549" customFormat="1" ht="15" hidden="1" outlineLevel="1">
      <c r="A82" s="1048">
        <f t="shared" si="71"/>
        <v>1.544</v>
      </c>
      <c r="B82" s="1049"/>
      <c r="C82" s="559">
        <f t="shared" si="72"/>
        <v>131070</v>
      </c>
      <c r="D82" s="1089">
        <f t="shared" si="73"/>
        <v>77200</v>
      </c>
      <c r="E82" s="1090"/>
      <c r="F82" s="1091"/>
      <c r="G82" s="1083">
        <v>1544000</v>
      </c>
      <c r="H82" s="1084">
        <v>1544000</v>
      </c>
      <c r="I82" s="1084">
        <v>1544000</v>
      </c>
      <c r="J82" s="1084">
        <v>1544000</v>
      </c>
      <c r="K82" s="1085">
        <v>1544000</v>
      </c>
      <c r="L82" s="1092" t="s">
        <v>475</v>
      </c>
      <c r="M82" s="1093"/>
      <c r="N82" s="1093"/>
      <c r="O82" s="1094"/>
      <c r="P82" s="504"/>
      <c r="Q82" s="504"/>
      <c r="R82" s="504"/>
      <c r="S82" s="104"/>
      <c r="T82" s="504"/>
      <c r="U82" s="504"/>
      <c r="V82" s="504"/>
      <c r="W82" s="504"/>
      <c r="X82" s="504"/>
      <c r="Y82" s="504"/>
      <c r="Z82" s="504"/>
      <c r="AA82" s="506"/>
    </row>
    <row r="83" spans="1:27" s="549" customFormat="1" ht="15" hidden="1" outlineLevel="1">
      <c r="A83" s="1048">
        <f t="shared" si="71"/>
        <v>1.544001</v>
      </c>
      <c r="B83" s="1049"/>
      <c r="C83" s="559">
        <f t="shared" si="72"/>
        <v>131070</v>
      </c>
      <c r="D83" s="1089">
        <f t="shared" si="73"/>
        <v>77200.05</v>
      </c>
      <c r="E83" s="1090"/>
      <c r="F83" s="1091"/>
      <c r="G83" s="1083">
        <v>1544001</v>
      </c>
      <c r="H83" s="1084">
        <v>1544001</v>
      </c>
      <c r="I83" s="1084">
        <v>1544001</v>
      </c>
      <c r="J83" s="1084">
        <v>1544001</v>
      </c>
      <c r="K83" s="1085">
        <v>1544001</v>
      </c>
      <c r="L83" s="1092" t="s">
        <v>487</v>
      </c>
      <c r="M83" s="1093" t="s">
        <v>457</v>
      </c>
      <c r="N83" s="1093" t="s">
        <v>457</v>
      </c>
      <c r="O83" s="1094" t="s">
        <v>457</v>
      </c>
      <c r="P83" s="504"/>
      <c r="Q83" s="504"/>
      <c r="R83" s="504"/>
      <c r="S83" s="104"/>
      <c r="T83" s="504"/>
      <c r="U83" s="504"/>
      <c r="V83" s="504"/>
      <c r="W83" s="504"/>
      <c r="X83" s="504"/>
      <c r="Y83" s="504"/>
      <c r="Z83" s="504"/>
      <c r="AA83" s="506"/>
    </row>
    <row r="84" spans="1:27" s="549" customFormat="1" ht="15" hidden="1" outlineLevel="1">
      <c r="A84" s="1048">
        <f t="shared" si="71"/>
        <v>2.048</v>
      </c>
      <c r="B84" s="1049"/>
      <c r="C84" s="559">
        <f t="shared" si="72"/>
        <v>131070</v>
      </c>
      <c r="D84" s="1089">
        <f t="shared" si="73"/>
        <v>102400</v>
      </c>
      <c r="E84" s="1090"/>
      <c r="F84" s="1091"/>
      <c r="G84" s="1083">
        <v>2048000</v>
      </c>
      <c r="H84" s="1084">
        <v>2048000</v>
      </c>
      <c r="I84" s="1084">
        <v>2048000</v>
      </c>
      <c r="J84" s="1084">
        <v>2048000</v>
      </c>
      <c r="K84" s="1085">
        <v>2048000</v>
      </c>
      <c r="L84" s="1092" t="s">
        <v>487</v>
      </c>
      <c r="M84" s="1093" t="s">
        <v>457</v>
      </c>
      <c r="N84" s="1093" t="s">
        <v>457</v>
      </c>
      <c r="O84" s="1094" t="s">
        <v>457</v>
      </c>
      <c r="P84" s="504"/>
      <c r="Q84" s="504"/>
      <c r="R84" s="504"/>
      <c r="S84" s="104"/>
      <c r="T84" s="504"/>
      <c r="U84" s="504"/>
      <c r="V84" s="504"/>
      <c r="W84" s="504"/>
      <c r="X84" s="504"/>
      <c r="Y84" s="504"/>
      <c r="Z84" s="504"/>
      <c r="AA84" s="506"/>
    </row>
    <row r="85" spans="1:27" s="549" customFormat="1" ht="15" hidden="1" outlineLevel="1">
      <c r="A85" s="1048">
        <f t="shared" si="71"/>
        <v>2.0480010000000002</v>
      </c>
      <c r="B85" s="1049"/>
      <c r="C85" s="559">
        <f t="shared" si="72"/>
        <v>131070</v>
      </c>
      <c r="D85" s="1089">
        <f t="shared" si="73"/>
        <v>102400.05</v>
      </c>
      <c r="E85" s="1090"/>
      <c r="F85" s="1091"/>
      <c r="G85" s="1083">
        <v>2048001</v>
      </c>
      <c r="H85" s="1084">
        <v>2048001</v>
      </c>
      <c r="I85" s="1084">
        <v>2048001</v>
      </c>
      <c r="J85" s="1084">
        <v>2048001</v>
      </c>
      <c r="K85" s="1085">
        <v>2048001</v>
      </c>
      <c r="L85" s="1092" t="s">
        <v>477</v>
      </c>
      <c r="M85" s="1093" t="s">
        <v>459</v>
      </c>
      <c r="N85" s="1093" t="s">
        <v>459</v>
      </c>
      <c r="O85" s="1094" t="s">
        <v>459</v>
      </c>
      <c r="P85" s="504"/>
      <c r="Q85" s="504"/>
      <c r="R85" s="504"/>
      <c r="S85" s="104"/>
      <c r="T85" s="504"/>
      <c r="U85" s="504"/>
      <c r="V85" s="504"/>
      <c r="W85" s="504"/>
      <c r="X85" s="504"/>
      <c r="Y85" s="504"/>
      <c r="Z85" s="504"/>
      <c r="AA85" s="506"/>
    </row>
    <row r="86" spans="1:27" s="549" customFormat="1" ht="15" hidden="1" outlineLevel="1">
      <c r="A86" s="1048">
        <f t="shared" si="71"/>
        <v>6.3120000000000003</v>
      </c>
      <c r="B86" s="1049"/>
      <c r="C86" s="559">
        <f t="shared" si="72"/>
        <v>524280</v>
      </c>
      <c r="D86" s="1089">
        <f t="shared" si="73"/>
        <v>315600</v>
      </c>
      <c r="E86" s="1090"/>
      <c r="F86" s="1091"/>
      <c r="G86" s="1083">
        <v>6312000</v>
      </c>
      <c r="H86" s="1084">
        <v>6312000</v>
      </c>
      <c r="I86" s="1084">
        <v>6312000</v>
      </c>
      <c r="J86" s="1084">
        <v>6312000</v>
      </c>
      <c r="K86" s="1085">
        <v>6312000</v>
      </c>
      <c r="L86" s="1092" t="s">
        <v>477</v>
      </c>
      <c r="M86" s="1093" t="s">
        <v>459</v>
      </c>
      <c r="N86" s="1093" t="s">
        <v>459</v>
      </c>
      <c r="O86" s="1094" t="s">
        <v>459</v>
      </c>
      <c r="P86" s="504"/>
      <c r="Q86" s="504"/>
      <c r="R86" s="504"/>
      <c r="S86" s="104"/>
      <c r="T86" s="504"/>
      <c r="U86" s="504"/>
      <c r="V86" s="504"/>
      <c r="W86" s="504"/>
      <c r="X86" s="504"/>
      <c r="Y86" s="504"/>
      <c r="Z86" s="504"/>
      <c r="AA86" s="506"/>
    </row>
    <row r="87" spans="1:27" s="549" customFormat="1" ht="15" hidden="1" outlineLevel="1">
      <c r="A87" s="1048">
        <f t="shared" si="71"/>
        <v>6.3120010000000004</v>
      </c>
      <c r="B87" s="1049"/>
      <c r="C87" s="559">
        <f t="shared" si="72"/>
        <v>524280</v>
      </c>
      <c r="D87" s="1089">
        <f t="shared" si="73"/>
        <v>315600.05000000005</v>
      </c>
      <c r="E87" s="1090"/>
      <c r="F87" s="1091"/>
      <c r="G87" s="1083">
        <v>6312001</v>
      </c>
      <c r="H87" s="1084">
        <v>6312001</v>
      </c>
      <c r="I87" s="1084">
        <v>6312001</v>
      </c>
      <c r="J87" s="1084">
        <v>6312001</v>
      </c>
      <c r="K87" s="1085">
        <v>6312001</v>
      </c>
      <c r="L87" s="1092" t="s">
        <v>478</v>
      </c>
      <c r="M87" s="1093" t="s">
        <v>458</v>
      </c>
      <c r="N87" s="1093" t="s">
        <v>458</v>
      </c>
      <c r="O87" s="1094" t="s">
        <v>458</v>
      </c>
      <c r="P87" s="504"/>
      <c r="Q87" s="504"/>
      <c r="R87" s="504"/>
      <c r="S87" s="104"/>
      <c r="T87" s="504"/>
      <c r="U87" s="504"/>
      <c r="V87" s="504"/>
      <c r="W87" s="504"/>
      <c r="X87" s="504"/>
      <c r="Y87" s="504"/>
      <c r="Z87" s="504"/>
      <c r="AA87" s="506"/>
    </row>
    <row r="88" spans="1:27" s="549" customFormat="1" ht="15" hidden="1" outlineLevel="1">
      <c r="A88" s="1048">
        <f t="shared" si="71"/>
        <v>8.4480000000000004</v>
      </c>
      <c r="B88" s="1049"/>
      <c r="C88" s="559">
        <f t="shared" si="72"/>
        <v>524280</v>
      </c>
      <c r="D88" s="1089">
        <f t="shared" si="73"/>
        <v>422400</v>
      </c>
      <c r="E88" s="1090"/>
      <c r="F88" s="1091"/>
      <c r="G88" s="1083">
        <v>8448000</v>
      </c>
      <c r="H88" s="1084">
        <v>8448000</v>
      </c>
      <c r="I88" s="1084">
        <v>8448000</v>
      </c>
      <c r="J88" s="1084">
        <v>8448000</v>
      </c>
      <c r="K88" s="1085">
        <v>8448000</v>
      </c>
      <c r="L88" s="1092" t="s">
        <v>478</v>
      </c>
      <c r="M88" s="1093" t="s">
        <v>458</v>
      </c>
      <c r="N88" s="1093" t="s">
        <v>458</v>
      </c>
      <c r="O88" s="1094" t="s">
        <v>458</v>
      </c>
      <c r="P88" s="504"/>
      <c r="Q88" s="504"/>
      <c r="R88" s="504"/>
      <c r="S88" s="104"/>
      <c r="T88" s="504"/>
      <c r="U88" s="504"/>
      <c r="V88" s="504"/>
      <c r="W88" s="504"/>
      <c r="X88" s="504"/>
      <c r="Y88" s="504"/>
      <c r="Z88" s="504"/>
      <c r="AA88" s="506"/>
    </row>
    <row r="89" spans="1:27" s="549" customFormat="1" ht="15" hidden="1" outlineLevel="1">
      <c r="A89" s="1048">
        <f t="shared" si="71"/>
        <v>8.4480009999999996</v>
      </c>
      <c r="B89" s="1049"/>
      <c r="C89" s="559">
        <f t="shared" si="72"/>
        <v>524280</v>
      </c>
      <c r="D89" s="1089">
        <f t="shared" si="73"/>
        <v>422400.05000000005</v>
      </c>
      <c r="E89" s="1090"/>
      <c r="F89" s="1091"/>
      <c r="G89" s="1083">
        <v>8448001</v>
      </c>
      <c r="H89" s="1084">
        <v>8448001</v>
      </c>
      <c r="I89" s="1084">
        <v>8448001</v>
      </c>
      <c r="J89" s="1084">
        <v>8448001</v>
      </c>
      <c r="K89" s="1085">
        <v>8448001</v>
      </c>
      <c r="L89" s="1092" t="s">
        <v>426</v>
      </c>
      <c r="M89" s="1093" t="s">
        <v>426</v>
      </c>
      <c r="N89" s="1093" t="s">
        <v>426</v>
      </c>
      <c r="O89" s="1094" t="s">
        <v>426</v>
      </c>
      <c r="P89" s="504"/>
      <c r="Q89" s="504"/>
      <c r="R89" s="504"/>
      <c r="S89" s="119"/>
      <c r="T89" s="504"/>
      <c r="U89" s="504"/>
      <c r="V89" s="504"/>
      <c r="W89" s="504"/>
      <c r="X89" s="504"/>
      <c r="Y89" s="504"/>
      <c r="Z89" s="504"/>
      <c r="AA89" s="506"/>
    </row>
    <row r="90" spans="1:27" s="549" customFormat="1" ht="15" hidden="1" outlineLevel="1">
      <c r="A90" s="1048">
        <f t="shared" si="71"/>
        <v>10</v>
      </c>
      <c r="B90" s="1049"/>
      <c r="C90" s="559">
        <f t="shared" si="72"/>
        <v>524280</v>
      </c>
      <c r="D90" s="1089">
        <f t="shared" si="73"/>
        <v>500000</v>
      </c>
      <c r="E90" s="1090"/>
      <c r="F90" s="1091"/>
      <c r="G90" s="1083">
        <v>10000000</v>
      </c>
      <c r="H90" s="1084">
        <v>10000000</v>
      </c>
      <c r="I90" s="1084">
        <v>10000000</v>
      </c>
      <c r="J90" s="1084">
        <v>10000000</v>
      </c>
      <c r="K90" s="1085">
        <v>10000000</v>
      </c>
      <c r="L90" s="1092" t="s">
        <v>426</v>
      </c>
      <c r="M90" s="1093" t="s">
        <v>426</v>
      </c>
      <c r="N90" s="1093" t="s">
        <v>426</v>
      </c>
      <c r="O90" s="1094" t="s">
        <v>426</v>
      </c>
      <c r="P90" s="504"/>
      <c r="Q90" s="504"/>
      <c r="R90" s="504"/>
      <c r="S90" s="104"/>
      <c r="T90" s="504"/>
      <c r="U90" s="504"/>
      <c r="V90" s="504"/>
      <c r="W90" s="504"/>
      <c r="X90" s="504"/>
      <c r="Y90" s="504"/>
      <c r="Z90" s="504"/>
      <c r="AA90" s="506"/>
    </row>
    <row r="91" spans="1:27" s="549" customFormat="1" ht="15" hidden="1" outlineLevel="1">
      <c r="A91" s="1048">
        <f t="shared" si="71"/>
        <v>10.000000999999999</v>
      </c>
      <c r="B91" s="1049"/>
      <c r="C91" s="559">
        <f t="shared" si="72"/>
        <v>524280</v>
      </c>
      <c r="D91" s="1089">
        <f t="shared" si="73"/>
        <v>500000.05000000005</v>
      </c>
      <c r="E91" s="1090"/>
      <c r="F91" s="1091"/>
      <c r="G91" s="1083">
        <v>10000001</v>
      </c>
      <c r="H91" s="1084">
        <v>10000001</v>
      </c>
      <c r="I91" s="1084">
        <v>10000001</v>
      </c>
      <c r="J91" s="1084">
        <v>10000001</v>
      </c>
      <c r="K91" s="1085">
        <v>10000001</v>
      </c>
      <c r="L91" s="1092" t="s">
        <v>447</v>
      </c>
      <c r="M91" s="1093" t="s">
        <v>447</v>
      </c>
      <c r="N91" s="1093" t="s">
        <v>447</v>
      </c>
      <c r="O91" s="1094" t="s">
        <v>447</v>
      </c>
      <c r="P91" s="504"/>
      <c r="Q91" s="504"/>
      <c r="R91" s="504"/>
      <c r="S91" s="104"/>
      <c r="T91" s="504"/>
      <c r="U91" s="504"/>
      <c r="V91" s="504"/>
      <c r="W91" s="504"/>
      <c r="X91" s="504"/>
      <c r="Y91" s="504"/>
      <c r="Z91" s="504"/>
      <c r="AA91" s="506"/>
    </row>
    <row r="92" spans="1:27" s="549" customFormat="1" ht="15" hidden="1" outlineLevel="1">
      <c r="A92" s="1048">
        <f t="shared" si="71"/>
        <v>16</v>
      </c>
      <c r="B92" s="1049"/>
      <c r="C92" s="559">
        <f t="shared" si="72"/>
        <v>1048560</v>
      </c>
      <c r="D92" s="1089">
        <f t="shared" si="73"/>
        <v>800000</v>
      </c>
      <c r="E92" s="1090"/>
      <c r="F92" s="1091"/>
      <c r="G92" s="1083">
        <v>16000000</v>
      </c>
      <c r="H92" s="1084">
        <v>16000000</v>
      </c>
      <c r="I92" s="1084">
        <v>16000000</v>
      </c>
      <c r="J92" s="1084">
        <v>16000000</v>
      </c>
      <c r="K92" s="1085">
        <v>16000000</v>
      </c>
      <c r="L92" s="1092" t="s">
        <v>447</v>
      </c>
      <c r="M92" s="1093" t="s">
        <v>447</v>
      </c>
      <c r="N92" s="1093" t="s">
        <v>447</v>
      </c>
      <c r="O92" s="1094" t="s">
        <v>447</v>
      </c>
      <c r="P92" s="504"/>
      <c r="Q92" s="504"/>
      <c r="R92" s="504"/>
      <c r="S92" s="104"/>
      <c r="T92" s="504"/>
      <c r="U92" s="504"/>
      <c r="V92" s="504"/>
      <c r="W92" s="504"/>
      <c r="X92" s="504"/>
      <c r="Y92" s="504"/>
      <c r="Z92" s="504"/>
      <c r="AA92" s="506"/>
    </row>
    <row r="93" spans="1:27" s="549" customFormat="1" ht="15" hidden="1" outlineLevel="1">
      <c r="A93" s="1048">
        <f t="shared" si="71"/>
        <v>16.000001000000001</v>
      </c>
      <c r="B93" s="1049"/>
      <c r="C93" s="559">
        <f t="shared" si="72"/>
        <v>1048560</v>
      </c>
      <c r="D93" s="1089">
        <f t="shared" si="73"/>
        <v>800000.05</v>
      </c>
      <c r="E93" s="1090"/>
      <c r="F93" s="1091"/>
      <c r="G93" s="1083">
        <v>16000001</v>
      </c>
      <c r="H93" s="1084">
        <v>16000001</v>
      </c>
      <c r="I93" s="1084">
        <v>16000001</v>
      </c>
      <c r="J93" s="1084">
        <v>16000001</v>
      </c>
      <c r="K93" s="1085">
        <v>16000001</v>
      </c>
      <c r="L93" s="1092" t="s">
        <v>479</v>
      </c>
      <c r="M93" s="1093" t="s">
        <v>427</v>
      </c>
      <c r="N93" s="1093" t="s">
        <v>427</v>
      </c>
      <c r="O93" s="1094" t="s">
        <v>427</v>
      </c>
      <c r="P93" s="504"/>
      <c r="Q93" s="504"/>
      <c r="R93" s="504"/>
      <c r="S93" s="104"/>
      <c r="T93" s="504"/>
      <c r="U93" s="504"/>
      <c r="V93" s="504"/>
      <c r="W93" s="504"/>
      <c r="X93" s="504"/>
      <c r="Y93" s="504"/>
      <c r="Z93" s="504"/>
      <c r="AA93" s="506"/>
    </row>
    <row r="94" spans="1:27" s="549" customFormat="1" ht="15" hidden="1" outlineLevel="1">
      <c r="A94" s="1048">
        <f t="shared" si="71"/>
        <v>34.368000000000002</v>
      </c>
      <c r="B94" s="1049"/>
      <c r="C94" s="559">
        <f t="shared" si="72"/>
        <v>2097120</v>
      </c>
      <c r="D94" s="1089">
        <f t="shared" si="73"/>
        <v>1718400</v>
      </c>
      <c r="E94" s="1090"/>
      <c r="F94" s="1091"/>
      <c r="G94" s="1083">
        <v>34368000</v>
      </c>
      <c r="H94" s="1084">
        <v>34368000</v>
      </c>
      <c r="I94" s="1084">
        <v>34368000</v>
      </c>
      <c r="J94" s="1084">
        <v>34368000</v>
      </c>
      <c r="K94" s="1085">
        <v>34368000</v>
      </c>
      <c r="L94" s="1092" t="s">
        <v>479</v>
      </c>
      <c r="M94" s="1093" t="s">
        <v>427</v>
      </c>
      <c r="N94" s="1093" t="s">
        <v>427</v>
      </c>
      <c r="O94" s="1094" t="s">
        <v>427</v>
      </c>
      <c r="P94" s="504"/>
      <c r="Q94" s="504"/>
      <c r="R94" s="504"/>
      <c r="S94" s="104"/>
      <c r="T94" s="504"/>
      <c r="U94" s="504"/>
      <c r="V94" s="504"/>
      <c r="W94" s="504"/>
      <c r="X94" s="504"/>
      <c r="Y94" s="504"/>
      <c r="Z94" s="504"/>
      <c r="AA94" s="506"/>
    </row>
    <row r="95" spans="1:27" s="549" customFormat="1" ht="15" hidden="1" outlineLevel="1">
      <c r="A95" s="1048">
        <f t="shared" si="71"/>
        <v>34.368001</v>
      </c>
      <c r="B95" s="1049"/>
      <c r="C95" s="559">
        <f t="shared" si="72"/>
        <v>2097120</v>
      </c>
      <c r="D95" s="1089">
        <f t="shared" si="73"/>
        <v>1718400.05</v>
      </c>
      <c r="E95" s="1090"/>
      <c r="F95" s="1091"/>
      <c r="G95" s="1083">
        <v>34368001</v>
      </c>
      <c r="H95" s="1084">
        <v>34368001</v>
      </c>
      <c r="I95" s="1084">
        <v>34368001</v>
      </c>
      <c r="J95" s="1084">
        <v>34368001</v>
      </c>
      <c r="K95" s="1085">
        <v>34368001</v>
      </c>
      <c r="L95" s="1092" t="s">
        <v>480</v>
      </c>
      <c r="M95" s="1093" t="s">
        <v>456</v>
      </c>
      <c r="N95" s="1093" t="s">
        <v>456</v>
      </c>
      <c r="O95" s="1094" t="s">
        <v>456</v>
      </c>
      <c r="P95" s="504"/>
      <c r="Q95" s="504"/>
      <c r="R95" s="504"/>
      <c r="S95" s="119"/>
      <c r="T95" s="504"/>
      <c r="U95" s="504"/>
      <c r="V95" s="504"/>
      <c r="W95" s="504"/>
      <c r="X95" s="504"/>
      <c r="Y95" s="504"/>
      <c r="Z95" s="504"/>
      <c r="AA95" s="506"/>
    </row>
    <row r="96" spans="1:27" s="549" customFormat="1" ht="15" hidden="1" outlineLevel="1">
      <c r="A96" s="1048">
        <f t="shared" si="71"/>
        <v>44.735999999999997</v>
      </c>
      <c r="B96" s="1049"/>
      <c r="C96" s="559">
        <f t="shared" si="72"/>
        <v>4194240</v>
      </c>
      <c r="D96" s="1089">
        <f t="shared" si="73"/>
        <v>2236800</v>
      </c>
      <c r="E96" s="1090"/>
      <c r="F96" s="1091"/>
      <c r="G96" s="1083">
        <v>44736000</v>
      </c>
      <c r="H96" s="1084">
        <v>44736000</v>
      </c>
      <c r="I96" s="1084">
        <v>44736000</v>
      </c>
      <c r="J96" s="1084">
        <v>44736000</v>
      </c>
      <c r="K96" s="1085">
        <v>44736000</v>
      </c>
      <c r="L96" s="1092" t="s">
        <v>480</v>
      </c>
      <c r="M96" s="1093" t="s">
        <v>456</v>
      </c>
      <c r="N96" s="1093" t="s">
        <v>456</v>
      </c>
      <c r="O96" s="1094" t="s">
        <v>456</v>
      </c>
      <c r="P96" s="504"/>
      <c r="Q96" s="504"/>
      <c r="R96" s="504"/>
      <c r="S96" s="119"/>
      <c r="T96" s="504"/>
      <c r="U96" s="504"/>
      <c r="V96" s="504"/>
      <c r="W96" s="504"/>
      <c r="X96" s="504"/>
      <c r="Y96" s="504"/>
      <c r="Z96" s="504"/>
      <c r="AA96" s="506"/>
    </row>
    <row r="97" spans="1:27" s="549" customFormat="1" ht="15" hidden="1" outlineLevel="1">
      <c r="A97" s="1048">
        <f t="shared" si="71"/>
        <v>44.736001000000002</v>
      </c>
      <c r="B97" s="1049"/>
      <c r="C97" s="559">
        <f t="shared" si="72"/>
        <v>4194240</v>
      </c>
      <c r="D97" s="1089">
        <f t="shared" si="73"/>
        <v>2236800.0500000003</v>
      </c>
      <c r="E97" s="1090"/>
      <c r="F97" s="1091"/>
      <c r="G97" s="1083">
        <v>44736001</v>
      </c>
      <c r="H97" s="1084">
        <v>44736001</v>
      </c>
      <c r="I97" s="1084">
        <v>44736001</v>
      </c>
      <c r="J97" s="1084">
        <v>44736001</v>
      </c>
      <c r="K97" s="1085">
        <v>44736001</v>
      </c>
      <c r="L97" s="1092" t="s">
        <v>481</v>
      </c>
      <c r="M97" s="1093" t="s">
        <v>449</v>
      </c>
      <c r="N97" s="1093" t="s">
        <v>449</v>
      </c>
      <c r="O97" s="1094" t="s">
        <v>449</v>
      </c>
      <c r="P97" s="504"/>
      <c r="Q97" s="504"/>
      <c r="R97" s="504"/>
      <c r="S97" s="448"/>
      <c r="T97" s="504"/>
      <c r="U97" s="504"/>
      <c r="V97" s="504"/>
      <c r="W97" s="504"/>
      <c r="X97" s="504"/>
      <c r="Y97" s="504"/>
      <c r="Z97" s="504"/>
      <c r="AA97" s="506"/>
    </row>
    <row r="98" spans="1:27" s="549" customFormat="1" ht="15" hidden="1" outlineLevel="1">
      <c r="A98" s="1048">
        <f t="shared" si="71"/>
        <v>51.84</v>
      </c>
      <c r="B98" s="1049"/>
      <c r="C98" s="559">
        <f t="shared" si="72"/>
        <v>4194240</v>
      </c>
      <c r="D98" s="1089">
        <f t="shared" si="73"/>
        <v>2592000</v>
      </c>
      <c r="E98" s="1090"/>
      <c r="F98" s="1091"/>
      <c r="G98" s="1083">
        <v>51840000</v>
      </c>
      <c r="H98" s="1084">
        <v>51840000</v>
      </c>
      <c r="I98" s="1084">
        <v>51840000</v>
      </c>
      <c r="J98" s="1084">
        <v>51840000</v>
      </c>
      <c r="K98" s="1085">
        <v>51840000</v>
      </c>
      <c r="L98" s="1092" t="s">
        <v>481</v>
      </c>
      <c r="M98" s="1093" t="s">
        <v>449</v>
      </c>
      <c r="N98" s="1093" t="s">
        <v>449</v>
      </c>
      <c r="O98" s="1094" t="s">
        <v>449</v>
      </c>
      <c r="P98" s="504"/>
      <c r="Q98" s="504"/>
      <c r="R98" s="504"/>
      <c r="S98" s="504"/>
      <c r="T98" s="504"/>
      <c r="U98" s="504"/>
      <c r="V98" s="504"/>
      <c r="W98" s="504"/>
      <c r="X98" s="504"/>
      <c r="Y98" s="504"/>
      <c r="Z98" s="504"/>
      <c r="AA98" s="506"/>
    </row>
    <row r="99" spans="1:27" s="549" customFormat="1" ht="15" hidden="1" outlineLevel="1">
      <c r="A99" s="1048">
        <f t="shared" si="71"/>
        <v>51.840001000000001</v>
      </c>
      <c r="B99" s="1049"/>
      <c r="C99" s="559">
        <f t="shared" si="72"/>
        <v>4194240</v>
      </c>
      <c r="D99" s="1089">
        <f t="shared" si="73"/>
        <v>2592000.0500000003</v>
      </c>
      <c r="E99" s="1090"/>
      <c r="F99" s="1091"/>
      <c r="G99" s="1083">
        <v>51840001</v>
      </c>
      <c r="H99" s="1084">
        <v>51840001</v>
      </c>
      <c r="I99" s="1084">
        <v>51840001</v>
      </c>
      <c r="J99" s="1084">
        <v>51840001</v>
      </c>
      <c r="K99" s="1085">
        <v>51840001</v>
      </c>
      <c r="L99" s="1092" t="s">
        <v>428</v>
      </c>
      <c r="M99" s="1093" t="s">
        <v>428</v>
      </c>
      <c r="N99" s="1093" t="s">
        <v>428</v>
      </c>
      <c r="O99" s="1094" t="s">
        <v>428</v>
      </c>
      <c r="P99" s="504"/>
      <c r="Q99" s="504"/>
      <c r="R99" s="504"/>
      <c r="S99" s="504"/>
      <c r="T99" s="504"/>
      <c r="U99" s="504"/>
      <c r="V99" s="504"/>
      <c r="W99" s="504"/>
      <c r="X99" s="504"/>
      <c r="Y99" s="504"/>
      <c r="Z99" s="504"/>
      <c r="AA99" s="506"/>
    </row>
    <row r="100" spans="1:27" s="549" customFormat="1" ht="15" hidden="1" outlineLevel="1">
      <c r="A100" s="1048">
        <f t="shared" si="71"/>
        <v>100</v>
      </c>
      <c r="B100" s="1049"/>
      <c r="C100" s="559">
        <f t="shared" si="72"/>
        <v>8388480</v>
      </c>
      <c r="D100" s="1089">
        <f t="shared" si="73"/>
        <v>5000000</v>
      </c>
      <c r="E100" s="1090"/>
      <c r="F100" s="1091"/>
      <c r="G100" s="1083">
        <v>100000000</v>
      </c>
      <c r="H100" s="1084">
        <v>100000000</v>
      </c>
      <c r="I100" s="1084">
        <v>100000000</v>
      </c>
      <c r="J100" s="1084">
        <v>100000000</v>
      </c>
      <c r="K100" s="1085">
        <v>100000000</v>
      </c>
      <c r="L100" s="1092" t="s">
        <v>428</v>
      </c>
      <c r="M100" s="1093" t="s">
        <v>428</v>
      </c>
      <c r="N100" s="1093" t="s">
        <v>428</v>
      </c>
      <c r="O100" s="1094" t="s">
        <v>428</v>
      </c>
      <c r="P100" s="504"/>
      <c r="Q100" s="504"/>
      <c r="R100" s="504"/>
      <c r="S100" s="504"/>
      <c r="T100" s="504"/>
      <c r="U100" s="504"/>
      <c r="V100" s="504"/>
      <c r="W100" s="504"/>
      <c r="X100" s="504"/>
      <c r="Y100" s="504"/>
      <c r="Z100" s="504"/>
      <c r="AA100" s="506"/>
    </row>
    <row r="101" spans="1:27" s="549" customFormat="1" ht="15" hidden="1" outlineLevel="1">
      <c r="A101" s="1048">
        <f t="shared" si="71"/>
        <v>100.000001</v>
      </c>
      <c r="B101" s="1049"/>
      <c r="C101" s="559">
        <f t="shared" si="72"/>
        <v>8388480</v>
      </c>
      <c r="D101" s="1089">
        <f t="shared" si="73"/>
        <v>5000000.05</v>
      </c>
      <c r="E101" s="1090"/>
      <c r="F101" s="1091"/>
      <c r="G101" s="1083">
        <v>100000001</v>
      </c>
      <c r="H101" s="1084">
        <v>100000001</v>
      </c>
      <c r="I101" s="1084">
        <v>100000001</v>
      </c>
      <c r="J101" s="1084">
        <v>100000001</v>
      </c>
      <c r="K101" s="1085">
        <v>100000001</v>
      </c>
      <c r="L101" s="1092" t="s">
        <v>482</v>
      </c>
      <c r="M101" s="1093" t="s">
        <v>450</v>
      </c>
      <c r="N101" s="1093" t="s">
        <v>450</v>
      </c>
      <c r="O101" s="1094" t="s">
        <v>450</v>
      </c>
      <c r="P101" s="504"/>
      <c r="Q101" s="504"/>
      <c r="R101" s="504"/>
      <c r="S101" s="504"/>
      <c r="T101" s="504"/>
      <c r="U101" s="504"/>
      <c r="V101" s="504"/>
      <c r="W101" s="504"/>
      <c r="X101" s="504"/>
      <c r="Y101" s="504"/>
      <c r="Z101" s="504"/>
      <c r="AA101" s="506"/>
    </row>
    <row r="102" spans="1:27" s="549" customFormat="1" ht="15" hidden="1" outlineLevel="1">
      <c r="A102" s="1048">
        <f t="shared" si="71"/>
        <v>155.52000000000001</v>
      </c>
      <c r="B102" s="1049"/>
      <c r="C102" s="559">
        <f t="shared" si="72"/>
        <v>8388480</v>
      </c>
      <c r="D102" s="1089">
        <f t="shared" si="73"/>
        <v>7776000</v>
      </c>
      <c r="E102" s="1090"/>
      <c r="F102" s="1091"/>
      <c r="G102" s="1083">
        <v>155520000</v>
      </c>
      <c r="H102" s="1084">
        <v>155520000</v>
      </c>
      <c r="I102" s="1084">
        <v>155520000</v>
      </c>
      <c r="J102" s="1084">
        <v>155520000</v>
      </c>
      <c r="K102" s="1085">
        <v>155520000</v>
      </c>
      <c r="L102" s="1092" t="s">
        <v>482</v>
      </c>
      <c r="M102" s="1093" t="s">
        <v>450</v>
      </c>
      <c r="N102" s="1093" t="s">
        <v>450</v>
      </c>
      <c r="O102" s="1094" t="s">
        <v>450</v>
      </c>
      <c r="P102" s="504"/>
      <c r="Q102" s="504"/>
      <c r="R102" s="504"/>
      <c r="S102" s="504"/>
      <c r="T102" s="504"/>
      <c r="U102" s="504"/>
      <c r="V102" s="504"/>
      <c r="W102" s="504"/>
      <c r="X102" s="504"/>
      <c r="Y102" s="504"/>
      <c r="Z102" s="504"/>
      <c r="AA102" s="506"/>
    </row>
    <row r="103" spans="1:27" s="549" customFormat="1" ht="15" hidden="1" outlineLevel="1">
      <c r="A103" s="1048">
        <f t="shared" si="71"/>
        <v>155.52000100000001</v>
      </c>
      <c r="B103" s="1049"/>
      <c r="C103" s="559">
        <f t="shared" si="72"/>
        <v>8388480</v>
      </c>
      <c r="D103" s="1089">
        <f t="shared" si="73"/>
        <v>7776000.0500000007</v>
      </c>
      <c r="E103" s="1090"/>
      <c r="F103" s="1091"/>
      <c r="G103" s="1083">
        <v>155520001</v>
      </c>
      <c r="H103" s="1084">
        <v>155520001</v>
      </c>
      <c r="I103" s="1084">
        <v>155520001</v>
      </c>
      <c r="J103" s="1084">
        <v>155520001</v>
      </c>
      <c r="K103" s="1085">
        <v>155520001</v>
      </c>
      <c r="L103" s="1092" t="s">
        <v>483</v>
      </c>
      <c r="M103" s="1093" t="s">
        <v>451</v>
      </c>
      <c r="N103" s="1093" t="s">
        <v>451</v>
      </c>
      <c r="O103" s="1094" t="s">
        <v>451</v>
      </c>
      <c r="P103" s="504"/>
      <c r="Q103" s="504"/>
      <c r="R103" s="504"/>
      <c r="S103" s="504"/>
      <c r="T103" s="504"/>
      <c r="U103" s="504"/>
      <c r="V103" s="504"/>
      <c r="W103" s="504"/>
      <c r="X103" s="504"/>
      <c r="Y103" s="504"/>
      <c r="Z103" s="504"/>
      <c r="AA103" s="506"/>
    </row>
    <row r="104" spans="1:27" s="549" customFormat="1" ht="15" hidden="1" outlineLevel="1">
      <c r="A104" s="1048">
        <f t="shared" si="71"/>
        <v>622.08000000000004</v>
      </c>
      <c r="B104" s="1049"/>
      <c r="C104" s="559">
        <f t="shared" si="72"/>
        <v>33553920</v>
      </c>
      <c r="D104" s="1089">
        <f t="shared" si="73"/>
        <v>31104000</v>
      </c>
      <c r="E104" s="1090"/>
      <c r="F104" s="1091"/>
      <c r="G104" s="1083">
        <v>622080000</v>
      </c>
      <c r="H104" s="1084">
        <v>622080000</v>
      </c>
      <c r="I104" s="1084">
        <v>622080000</v>
      </c>
      <c r="J104" s="1084">
        <v>622080000</v>
      </c>
      <c r="K104" s="1085">
        <v>622080000</v>
      </c>
      <c r="L104" s="1092" t="s">
        <v>483</v>
      </c>
      <c r="M104" s="1093" t="s">
        <v>451</v>
      </c>
      <c r="N104" s="1093" t="s">
        <v>451</v>
      </c>
      <c r="O104" s="1094" t="s">
        <v>451</v>
      </c>
      <c r="P104" s="504"/>
      <c r="Q104" s="504"/>
      <c r="R104" s="504"/>
      <c r="S104" s="504"/>
      <c r="T104" s="504"/>
      <c r="U104" s="504"/>
      <c r="V104" s="504"/>
      <c r="W104" s="504"/>
      <c r="X104" s="504"/>
      <c r="Y104" s="504"/>
      <c r="Z104" s="504"/>
      <c r="AA104" s="506"/>
    </row>
    <row r="105" spans="1:27" s="549" customFormat="1" ht="15" hidden="1" outlineLevel="1">
      <c r="A105" s="1048">
        <f t="shared" si="71"/>
        <v>622.08000100000004</v>
      </c>
      <c r="B105" s="1049"/>
      <c r="C105" s="559">
        <f t="shared" si="72"/>
        <v>33553920</v>
      </c>
      <c r="D105" s="1089">
        <f t="shared" si="73"/>
        <v>31104000.050000001</v>
      </c>
      <c r="E105" s="1090"/>
      <c r="F105" s="1091"/>
      <c r="G105" s="1083">
        <v>622080001</v>
      </c>
      <c r="H105" s="1084">
        <v>622080001</v>
      </c>
      <c r="I105" s="1084">
        <v>622080001</v>
      </c>
      <c r="J105" s="1084">
        <v>622080001</v>
      </c>
      <c r="K105" s="1085">
        <v>622080001</v>
      </c>
      <c r="L105" s="1092" t="s">
        <v>429</v>
      </c>
      <c r="M105" s="1093" t="s">
        <v>429</v>
      </c>
      <c r="N105" s="1093" t="s">
        <v>429</v>
      </c>
      <c r="O105" s="1094" t="s">
        <v>429</v>
      </c>
      <c r="P105" s="504"/>
      <c r="Q105" s="504"/>
      <c r="R105" s="504"/>
      <c r="S105" s="504"/>
      <c r="T105" s="504"/>
      <c r="U105" s="504"/>
      <c r="V105" s="504"/>
      <c r="W105" s="504"/>
      <c r="X105" s="504"/>
      <c r="Y105" s="504"/>
      <c r="Z105" s="504"/>
      <c r="AA105" s="506"/>
    </row>
    <row r="106" spans="1:27" s="549" customFormat="1" ht="15" hidden="1" outlineLevel="1">
      <c r="A106" s="1048">
        <f t="shared" si="71"/>
        <v>1000</v>
      </c>
      <c r="B106" s="1049"/>
      <c r="C106" s="559">
        <f t="shared" si="72"/>
        <v>67107840</v>
      </c>
      <c r="D106" s="1089">
        <f t="shared" si="73"/>
        <v>50000000</v>
      </c>
      <c r="E106" s="1090"/>
      <c r="F106" s="1091"/>
      <c r="G106" s="1083">
        <v>1000000000</v>
      </c>
      <c r="H106" s="1084">
        <v>1000000000</v>
      </c>
      <c r="I106" s="1084">
        <v>1000000000</v>
      </c>
      <c r="J106" s="1084">
        <v>1000000000</v>
      </c>
      <c r="K106" s="1085">
        <v>1000000000</v>
      </c>
      <c r="L106" s="1092" t="s">
        <v>429</v>
      </c>
      <c r="M106" s="1093" t="s">
        <v>429</v>
      </c>
      <c r="N106" s="1093" t="s">
        <v>429</v>
      </c>
      <c r="O106" s="1094" t="s">
        <v>429</v>
      </c>
      <c r="P106" s="504"/>
      <c r="Q106" s="504"/>
      <c r="R106" s="504"/>
      <c r="S106" s="504"/>
      <c r="T106" s="504"/>
      <c r="U106" s="504"/>
      <c r="V106" s="504"/>
      <c r="W106" s="504"/>
      <c r="X106" s="504"/>
      <c r="Y106" s="504"/>
      <c r="Z106" s="504"/>
      <c r="AA106" s="506"/>
    </row>
    <row r="107" spans="1:27" s="549" customFormat="1" ht="15" hidden="1" outlineLevel="1">
      <c r="A107" s="1048">
        <f t="shared" si="71"/>
        <v>1000.000001</v>
      </c>
      <c r="B107" s="1049"/>
      <c r="C107" s="559">
        <f t="shared" si="72"/>
        <v>67107840</v>
      </c>
      <c r="D107" s="1089">
        <f t="shared" si="73"/>
        <v>50000000.050000004</v>
      </c>
      <c r="E107" s="1090"/>
      <c r="F107" s="1091"/>
      <c r="G107" s="1083">
        <v>1000000001</v>
      </c>
      <c r="H107" s="1084">
        <v>1000000001</v>
      </c>
      <c r="I107" s="1084">
        <v>1000000001</v>
      </c>
      <c r="J107" s="1084">
        <v>1000000001</v>
      </c>
      <c r="K107" s="1085">
        <v>1000000001</v>
      </c>
      <c r="L107" s="1092" t="s">
        <v>485</v>
      </c>
      <c r="M107" s="1093" t="s">
        <v>452</v>
      </c>
      <c r="N107" s="1093" t="s">
        <v>452</v>
      </c>
      <c r="O107" s="1094" t="s">
        <v>452</v>
      </c>
      <c r="P107" s="504"/>
      <c r="Q107" s="504"/>
      <c r="R107" s="504"/>
      <c r="S107" s="504"/>
      <c r="T107" s="504"/>
      <c r="U107" s="504"/>
      <c r="V107" s="504"/>
      <c r="W107" s="504"/>
      <c r="X107" s="504"/>
      <c r="Y107" s="504"/>
      <c r="Z107" s="504"/>
      <c r="AA107" s="506"/>
    </row>
    <row r="108" spans="1:27" s="549" customFormat="1" ht="15" hidden="1" outlineLevel="1">
      <c r="A108" s="1048">
        <f t="shared" si="71"/>
        <v>1243.68</v>
      </c>
      <c r="B108" s="1049"/>
      <c r="C108" s="559">
        <f t="shared" si="72"/>
        <v>67107840</v>
      </c>
      <c r="D108" s="1089">
        <f t="shared" si="73"/>
        <v>62184000</v>
      </c>
      <c r="E108" s="1090"/>
      <c r="F108" s="1091"/>
      <c r="G108" s="1083">
        <v>1243680000</v>
      </c>
      <c r="H108" s="1084">
        <v>1243680000</v>
      </c>
      <c r="I108" s="1084">
        <v>1243680000</v>
      </c>
      <c r="J108" s="1084">
        <v>1243680000</v>
      </c>
      <c r="K108" s="1085">
        <v>1243680000</v>
      </c>
      <c r="L108" s="1092" t="s">
        <v>485</v>
      </c>
      <c r="M108" s="1093" t="s">
        <v>452</v>
      </c>
      <c r="N108" s="1093" t="s">
        <v>452</v>
      </c>
      <c r="O108" s="1094" t="s">
        <v>452</v>
      </c>
      <c r="P108" s="504"/>
      <c r="Q108" s="504"/>
      <c r="R108" s="504"/>
      <c r="S108" s="504"/>
      <c r="T108" s="504"/>
      <c r="U108" s="504"/>
      <c r="V108" s="504"/>
      <c r="W108" s="504"/>
      <c r="X108" s="504"/>
      <c r="Y108" s="504"/>
      <c r="Z108" s="504"/>
      <c r="AA108" s="506"/>
    </row>
    <row r="109" spans="1:27" s="549" customFormat="1" ht="15" hidden="1" outlineLevel="1">
      <c r="A109" s="1048">
        <f t="shared" si="71"/>
        <v>1243.6800009999999</v>
      </c>
      <c r="B109" s="1049"/>
      <c r="C109" s="559">
        <f t="shared" si="72"/>
        <v>67107840</v>
      </c>
      <c r="D109" s="1089">
        <f t="shared" si="73"/>
        <v>62184000.050000004</v>
      </c>
      <c r="E109" s="1090"/>
      <c r="F109" s="1091"/>
      <c r="G109" s="1083">
        <v>1243680001</v>
      </c>
      <c r="H109" s="1084">
        <v>1243680001</v>
      </c>
      <c r="I109" s="1084">
        <v>1243680001</v>
      </c>
      <c r="J109" s="1084">
        <v>1243680001</v>
      </c>
      <c r="K109" s="1085">
        <v>1243680001</v>
      </c>
      <c r="L109" s="1092" t="s">
        <v>484</v>
      </c>
      <c r="M109" s="1093" t="s">
        <v>453</v>
      </c>
      <c r="N109" s="1093" t="s">
        <v>453</v>
      </c>
      <c r="O109" s="1094" t="s">
        <v>453</v>
      </c>
      <c r="P109" s="504"/>
      <c r="Q109" s="504"/>
      <c r="R109" s="504"/>
      <c r="S109" s="504"/>
      <c r="T109" s="504"/>
      <c r="U109" s="504"/>
      <c r="V109" s="504"/>
      <c r="W109" s="504"/>
      <c r="X109" s="504"/>
      <c r="Y109" s="504"/>
      <c r="Z109" s="504"/>
      <c r="AA109" s="506"/>
    </row>
    <row r="110" spans="1:27" s="549" customFormat="1" ht="15" hidden="1" outlineLevel="1">
      <c r="A110" s="1048">
        <f t="shared" si="71"/>
        <v>2488.3200000000002</v>
      </c>
      <c r="B110" s="1049"/>
      <c r="C110" s="559">
        <f t="shared" si="72"/>
        <v>134215680</v>
      </c>
      <c r="D110" s="1089">
        <f t="shared" si="73"/>
        <v>124416000</v>
      </c>
      <c r="E110" s="1090"/>
      <c r="F110" s="1091"/>
      <c r="G110" s="1083">
        <v>2488320000</v>
      </c>
      <c r="H110" s="1084">
        <v>2488320000</v>
      </c>
      <c r="I110" s="1084">
        <v>2488320000</v>
      </c>
      <c r="J110" s="1084">
        <v>2488320000</v>
      </c>
      <c r="K110" s="1085">
        <v>2488320000</v>
      </c>
      <c r="L110" s="1092" t="s">
        <v>484</v>
      </c>
      <c r="M110" s="1093" t="s">
        <v>453</v>
      </c>
      <c r="N110" s="1093" t="s">
        <v>453</v>
      </c>
      <c r="O110" s="1094" t="s">
        <v>453</v>
      </c>
      <c r="P110" s="504"/>
      <c r="Q110" s="504"/>
      <c r="R110" s="504"/>
      <c r="S110" s="504"/>
      <c r="T110" s="504"/>
      <c r="U110" s="504"/>
      <c r="V110" s="504"/>
      <c r="W110" s="504"/>
      <c r="X110" s="504"/>
      <c r="Y110" s="504"/>
      <c r="Z110" s="504"/>
      <c r="AA110" s="506"/>
    </row>
    <row r="111" spans="1:27" s="549" customFormat="1" ht="15" hidden="1" outlineLevel="1">
      <c r="A111" s="1048">
        <f t="shared" si="71"/>
        <v>2488.320001</v>
      </c>
      <c r="B111" s="1049"/>
      <c r="C111" s="559">
        <f t="shared" si="72"/>
        <v>134215680</v>
      </c>
      <c r="D111" s="1089">
        <f t="shared" si="73"/>
        <v>124416000.05000001</v>
      </c>
      <c r="E111" s="1090"/>
      <c r="F111" s="1091"/>
      <c r="G111" s="1083">
        <v>2488320001</v>
      </c>
      <c r="H111" s="1084">
        <v>2488320001</v>
      </c>
      <c r="I111" s="1084">
        <v>2488320001</v>
      </c>
      <c r="J111" s="1084">
        <v>2488320001</v>
      </c>
      <c r="K111" s="1085">
        <v>2488320001</v>
      </c>
      <c r="L111" s="1095" t="s">
        <v>486</v>
      </c>
      <c r="M111" s="1096" t="s">
        <v>455</v>
      </c>
      <c r="N111" s="1096" t="s">
        <v>455</v>
      </c>
      <c r="O111" s="1097" t="s">
        <v>455</v>
      </c>
      <c r="P111" s="504"/>
      <c r="Q111" s="504"/>
      <c r="R111" s="504"/>
      <c r="S111" s="504"/>
      <c r="T111" s="504"/>
      <c r="U111" s="504"/>
      <c r="V111" s="504"/>
      <c r="W111" s="504"/>
      <c r="X111" s="504"/>
      <c r="Y111" s="504"/>
      <c r="Z111" s="504"/>
      <c r="AA111" s="506"/>
    </row>
    <row r="112" spans="1:27" s="549" customFormat="1" ht="15" hidden="1" outlineLevel="1">
      <c r="A112" s="1048">
        <f t="shared" si="71"/>
        <v>4976.6400000000003</v>
      </c>
      <c r="B112" s="1049"/>
      <c r="C112" s="559">
        <f t="shared" si="72"/>
        <v>268431360</v>
      </c>
      <c r="D112" s="1089">
        <f t="shared" si="73"/>
        <v>248832000</v>
      </c>
      <c r="E112" s="1090"/>
      <c r="F112" s="1091"/>
      <c r="G112" s="1083">
        <v>4976640000</v>
      </c>
      <c r="H112" s="1084">
        <v>4976640000</v>
      </c>
      <c r="I112" s="1084">
        <v>4976640000</v>
      </c>
      <c r="J112" s="1084">
        <v>4976640000</v>
      </c>
      <c r="K112" s="1085">
        <v>4976640000</v>
      </c>
      <c r="L112" s="1095" t="s">
        <v>486</v>
      </c>
      <c r="M112" s="1096" t="s">
        <v>455</v>
      </c>
      <c r="N112" s="1096" t="s">
        <v>455</v>
      </c>
      <c r="O112" s="1097" t="s">
        <v>455</v>
      </c>
      <c r="P112" s="504"/>
      <c r="Q112" s="504"/>
      <c r="R112" s="504"/>
      <c r="S112" s="504"/>
      <c r="T112" s="504"/>
      <c r="U112" s="504"/>
      <c r="V112" s="504"/>
      <c r="W112" s="504"/>
      <c r="X112" s="504"/>
      <c r="Y112" s="504"/>
      <c r="Z112" s="504"/>
      <c r="AA112" s="506"/>
    </row>
    <row r="113" spans="1:27" s="549" customFormat="1" ht="15" hidden="1" outlineLevel="1">
      <c r="A113" s="1076">
        <f t="shared" si="71"/>
        <v>4976.6400009999998</v>
      </c>
      <c r="B113" s="1077"/>
      <c r="C113" s="559">
        <f t="shared" si="72"/>
        <v>268431360</v>
      </c>
      <c r="D113" s="1089">
        <f t="shared" si="73"/>
        <v>248832000.05000001</v>
      </c>
      <c r="E113" s="1090"/>
      <c r="F113" s="1091"/>
      <c r="G113" s="1083">
        <v>4976640001</v>
      </c>
      <c r="H113" s="1084">
        <v>4976640001</v>
      </c>
      <c r="I113" s="1084">
        <v>4976640001</v>
      </c>
      <c r="J113" s="1084">
        <v>4976640001</v>
      </c>
      <c r="K113" s="1085">
        <v>4976640001</v>
      </c>
      <c r="L113" s="1092" t="s">
        <v>454</v>
      </c>
      <c r="M113" s="1093" t="s">
        <v>454</v>
      </c>
      <c r="N113" s="1093" t="s">
        <v>454</v>
      </c>
      <c r="O113" s="1094" t="s">
        <v>454</v>
      </c>
      <c r="P113" s="504"/>
      <c r="Q113" s="504"/>
      <c r="R113" s="504"/>
      <c r="S113" s="504"/>
      <c r="T113" s="504"/>
      <c r="U113" s="504"/>
      <c r="V113" s="504"/>
      <c r="W113" s="504"/>
      <c r="X113" s="504"/>
      <c r="Y113" s="504"/>
      <c r="Z113" s="504"/>
      <c r="AA113" s="506"/>
    </row>
    <row r="114" spans="1:27" s="549" customFormat="1" ht="15.75" hidden="1" outlineLevel="1" thickBot="1">
      <c r="A114" s="1078">
        <f t="shared" si="71"/>
        <v>10000</v>
      </c>
      <c r="B114" s="1079"/>
      <c r="C114" s="560">
        <f t="shared" si="72"/>
        <v>536862720</v>
      </c>
      <c r="D114" s="1108">
        <f t="shared" si="73"/>
        <v>500000000</v>
      </c>
      <c r="E114" s="1109"/>
      <c r="F114" s="1110"/>
      <c r="G114" s="1103">
        <v>10000000000</v>
      </c>
      <c r="H114" s="1104">
        <v>10000000000</v>
      </c>
      <c r="I114" s="1104">
        <v>10000000000</v>
      </c>
      <c r="J114" s="1104">
        <v>10000000000</v>
      </c>
      <c r="K114" s="1105">
        <v>10000000000</v>
      </c>
      <c r="L114" s="1028" t="s">
        <v>454</v>
      </c>
      <c r="M114" s="1102"/>
      <c r="N114" s="1102"/>
      <c r="O114" s="1029"/>
      <c r="P114" s="504"/>
      <c r="Q114" s="504"/>
      <c r="R114" s="504"/>
      <c r="S114" s="504"/>
      <c r="T114" s="504"/>
      <c r="U114" s="504"/>
      <c r="V114" s="504"/>
      <c r="W114" s="504"/>
      <c r="X114" s="504"/>
      <c r="Y114" s="504"/>
      <c r="Z114" s="504"/>
      <c r="AA114" s="506"/>
    </row>
    <row r="115" spans="1:27" s="563" customFormat="1" ht="15.75" hidden="1" outlineLevel="1" thickBot="1">
      <c r="A115" s="801"/>
      <c r="B115" s="571"/>
      <c r="C115" s="565"/>
      <c r="D115" s="567"/>
      <c r="E115" s="567"/>
      <c r="F115" s="567"/>
      <c r="G115" s="219"/>
      <c r="H115" s="219"/>
      <c r="I115" s="568"/>
      <c r="J115" s="568"/>
      <c r="K115" s="568"/>
      <c r="L115" s="565"/>
      <c r="M115" s="565"/>
      <c r="N115" s="565"/>
      <c r="O115" s="565"/>
      <c r="P115" s="504"/>
      <c r="Q115" s="504"/>
      <c r="R115" s="504"/>
      <c r="S115" s="504"/>
      <c r="T115" s="504"/>
      <c r="U115" s="504"/>
      <c r="V115" s="504"/>
      <c r="W115" s="504"/>
      <c r="X115" s="504"/>
      <c r="Y115" s="504"/>
      <c r="Z115" s="504"/>
      <c r="AA115" s="506"/>
    </row>
    <row r="116" spans="1:27" s="563" customFormat="1" ht="16.5" hidden="1" outlineLevel="1" thickBot="1">
      <c r="A116" s="1040" t="s">
        <v>442</v>
      </c>
      <c r="B116" s="1040"/>
      <c r="C116" s="1040"/>
      <c r="D116" s="1040"/>
      <c r="E116" s="1040"/>
      <c r="F116" s="1040"/>
      <c r="G116" s="1041"/>
      <c r="H116" s="505"/>
      <c r="I116" s="568"/>
      <c r="J116" s="568"/>
      <c r="K116" s="568"/>
      <c r="L116" s="565"/>
      <c r="M116" s="565"/>
      <c r="N116" s="565"/>
      <c r="O116" s="565"/>
      <c r="P116" s="504"/>
      <c r="Q116" s="504"/>
      <c r="R116" s="504"/>
      <c r="S116" s="504"/>
      <c r="T116" s="504"/>
      <c r="U116" s="504"/>
      <c r="V116" s="504"/>
      <c r="W116" s="504"/>
      <c r="X116" s="504"/>
      <c r="Y116" s="504"/>
      <c r="Z116" s="504"/>
      <c r="AA116" s="506"/>
    </row>
    <row r="117" spans="1:27" s="563" customFormat="1" ht="15.75" hidden="1" outlineLevel="1" thickBot="1">
      <c r="A117" s="1106" t="s">
        <v>468</v>
      </c>
      <c r="B117" s="1106"/>
      <c r="C117" s="1106"/>
      <c r="D117" s="1106"/>
      <c r="E117" s="1106"/>
      <c r="F117" s="1107"/>
      <c r="G117" s="570">
        <f>VLOOKUP(AvailNetCapacity,tblTCPWindowSize,2,TRUE)</f>
        <v>67107840</v>
      </c>
      <c r="H117" s="175"/>
      <c r="J117" s="568"/>
      <c r="K117" s="568"/>
      <c r="L117" s="565"/>
      <c r="M117" s="565"/>
      <c r="N117" s="565"/>
      <c r="O117" s="565"/>
      <c r="P117" s="504"/>
      <c r="Q117" s="504"/>
      <c r="R117" s="504"/>
      <c r="S117" s="504"/>
      <c r="T117" s="504"/>
      <c r="U117" s="504"/>
      <c r="V117" s="504"/>
      <c r="W117" s="504"/>
      <c r="X117" s="504"/>
      <c r="Y117" s="504"/>
      <c r="Z117" s="504"/>
      <c r="AA117" s="506"/>
    </row>
    <row r="118" spans="1:27" ht="15.75" collapsed="1" thickBot="1">
      <c r="A118" s="802"/>
      <c r="B118" s="569"/>
      <c r="C118" s="554"/>
      <c r="D118" s="554"/>
      <c r="E118" s="554"/>
      <c r="F118" s="555"/>
      <c r="G118" s="45"/>
      <c r="H118" s="45"/>
      <c r="I118" s="45"/>
      <c r="J118" s="45"/>
      <c r="K118" s="45"/>
      <c r="L118" s="45"/>
      <c r="M118" s="45"/>
      <c r="N118" s="45"/>
      <c r="O118" s="45"/>
      <c r="P118" s="45"/>
      <c r="Q118" s="45"/>
      <c r="R118" s="45"/>
      <c r="S118" s="45"/>
      <c r="T118" s="45"/>
      <c r="U118" s="45"/>
      <c r="V118" s="556"/>
      <c r="W118" s="45"/>
      <c r="X118" s="45"/>
      <c r="Y118" s="45"/>
      <c r="Z118" s="45"/>
      <c r="AA118" s="156"/>
    </row>
    <row r="119" spans="1:27" ht="16.5" thickBot="1">
      <c r="A119" s="1059" t="s">
        <v>253</v>
      </c>
      <c r="B119" s="1059"/>
      <c r="C119" s="1059"/>
      <c r="D119" s="1059"/>
      <c r="E119" s="1059"/>
      <c r="F119" s="1059"/>
      <c r="G119" s="1059"/>
      <c r="H119" s="1059"/>
      <c r="I119" s="1059"/>
      <c r="J119" s="1059"/>
      <c r="K119" s="1059"/>
      <c r="L119" s="1059"/>
      <c r="M119" s="1059"/>
      <c r="N119" s="1059"/>
      <c r="O119" s="1059"/>
      <c r="P119" s="1059"/>
      <c r="Q119" s="1059"/>
      <c r="R119" s="1059"/>
      <c r="S119" s="1059"/>
      <c r="T119" s="1059"/>
      <c r="U119" s="1059"/>
      <c r="V119" s="1059"/>
      <c r="W119" s="1059"/>
      <c r="X119" s="1059"/>
      <c r="Y119" s="1059"/>
      <c r="Z119" s="1059"/>
      <c r="AA119" s="1060"/>
    </row>
    <row r="120" spans="1:27" s="175" customFormat="1" ht="16.5" thickBot="1">
      <c r="A120" s="803"/>
      <c r="B120" s="514"/>
      <c r="C120" s="514"/>
      <c r="D120" s="514"/>
      <c r="E120" s="514"/>
      <c r="F120" s="514"/>
      <c r="G120" s="514"/>
      <c r="H120" s="514"/>
      <c r="I120" s="514"/>
      <c r="J120" s="514"/>
      <c r="K120" s="514"/>
      <c r="L120" s="514"/>
      <c r="M120" s="514"/>
      <c r="N120" s="514"/>
      <c r="O120" s="514"/>
      <c r="P120" s="514"/>
      <c r="Q120" s="514"/>
      <c r="R120" s="514"/>
      <c r="S120" s="514"/>
      <c r="T120" s="514"/>
      <c r="U120" s="514"/>
      <c r="V120" s="514"/>
      <c r="W120" s="514"/>
      <c r="X120" s="514"/>
      <c r="Y120" s="514"/>
      <c r="Z120" s="514"/>
      <c r="AA120" s="515"/>
    </row>
    <row r="121" spans="1:27" s="175" customFormat="1" ht="16.5" thickBot="1">
      <c r="A121" s="944" t="s">
        <v>392</v>
      </c>
      <c r="B121" s="944"/>
      <c r="C121" s="944"/>
      <c r="D121" s="944"/>
      <c r="E121" s="944"/>
      <c r="F121" s="944"/>
      <c r="G121" s="945"/>
      <c r="H121" s="642"/>
      <c r="I121" s="642"/>
      <c r="J121" s="642"/>
      <c r="K121" s="943" t="s">
        <v>535</v>
      </c>
      <c r="L121" s="944"/>
      <c r="M121" s="944"/>
      <c r="N121" s="944"/>
      <c r="O121" s="944"/>
      <c r="P121" s="944"/>
      <c r="Q121" s="944"/>
      <c r="R121" s="944"/>
      <c r="S121" s="944"/>
      <c r="T121" s="944"/>
      <c r="U121" s="944"/>
      <c r="V121" s="944"/>
      <c r="W121" s="944"/>
      <c r="X121" s="944"/>
      <c r="Y121" s="945"/>
      <c r="Z121" s="516"/>
      <c r="AA121" s="517"/>
    </row>
    <row r="122" spans="1:27" s="175" customFormat="1" ht="15.75">
      <c r="A122" s="879" t="s">
        <v>258</v>
      </c>
      <c r="B122" s="879"/>
      <c r="C122" s="879"/>
      <c r="D122" s="880"/>
      <c r="E122" s="1064">
        <f>NumMBXServers*TotSvrTLogsGenerated/1024</f>
        <v>181.07142857142856</v>
      </c>
      <c r="F122" s="1064"/>
      <c r="G122" s="1065"/>
      <c r="H122" s="639"/>
      <c r="I122" s="639"/>
      <c r="J122" s="108"/>
      <c r="K122" s="996" t="s">
        <v>474</v>
      </c>
      <c r="L122" s="997"/>
      <c r="M122" s="997"/>
      <c r="N122" s="997"/>
      <c r="O122" s="997"/>
      <c r="P122" s="997"/>
      <c r="Q122" s="997"/>
      <c r="R122" s="997"/>
      <c r="S122" s="997"/>
      <c r="T122" s="997"/>
      <c r="U122" s="998"/>
      <c r="V122" s="991" t="str">
        <f>IF(AccNetLinkCCR="--","--",IF(AccNetLinkCCR="Yes","Use Chosen Link",VLOOKUP(CCRLogBandwidth,tblRecNetworkLink,12,TRUE)))</f>
        <v>Use Chosen Link</v>
      </c>
      <c r="W122" s="991"/>
      <c r="X122" s="991"/>
      <c r="Y122" s="992"/>
      <c r="Z122" s="516"/>
      <c r="AA122" s="517"/>
    </row>
    <row r="123" spans="1:27" s="175" customFormat="1" ht="16.5" thickBot="1">
      <c r="A123" s="1019" t="s">
        <v>659</v>
      </c>
      <c r="B123" s="1019"/>
      <c r="C123" s="1019"/>
      <c r="D123" s="1020"/>
      <c r="E123" s="1069">
        <f>IF(HAOption="CCR",CCRLogBandwidth/NumMBXServers,"--")</f>
        <v>40.416211555044548</v>
      </c>
      <c r="F123" s="1070"/>
      <c r="G123" s="1071"/>
      <c r="H123" s="639"/>
      <c r="I123" s="639"/>
      <c r="J123" s="108"/>
      <c r="K123" s="993" t="s">
        <v>473</v>
      </c>
      <c r="L123" s="994"/>
      <c r="M123" s="994"/>
      <c r="N123" s="994"/>
      <c r="O123" s="994"/>
      <c r="P123" s="994"/>
      <c r="Q123" s="994"/>
      <c r="R123" s="994"/>
      <c r="S123" s="994"/>
      <c r="T123" s="994"/>
      <c r="U123" s="995"/>
      <c r="V123" s="999" t="str">
        <f>IF(AccNetLinkSCR="--","--",IF(AccNetLinkSCR="Yes","Use Chosen Link",VLOOKUP(SCRLogBandwidth*numSCRTarget,tblRecNetworkLink,12,TRUE)))</f>
        <v>Use Chosen Link</v>
      </c>
      <c r="W123" s="999"/>
      <c r="X123" s="999"/>
      <c r="Y123" s="1000"/>
      <c r="Z123" s="516"/>
      <c r="AA123" s="517"/>
    </row>
    <row r="124" spans="1:27" s="175" customFormat="1" ht="16.5" thickBot="1">
      <c r="A124" s="1021" t="s">
        <v>381</v>
      </c>
      <c r="B124" s="1021"/>
      <c r="C124" s="1021"/>
      <c r="D124" s="1022"/>
      <c r="E124" s="1066">
        <f>CCRLogBandwidth</f>
        <v>40.416211555044548</v>
      </c>
      <c r="F124" s="1067"/>
      <c r="G124" s="1068"/>
      <c r="H124" s="197"/>
      <c r="I124" s="197"/>
      <c r="J124" s="197"/>
      <c r="K124" s="643"/>
      <c r="L124" s="643"/>
      <c r="M124" s="643"/>
      <c r="N124" s="643"/>
      <c r="O124" s="643"/>
      <c r="P124" s="643"/>
      <c r="Q124" s="643"/>
      <c r="X124" s="518"/>
      <c r="Y124" s="518"/>
      <c r="Z124" s="516"/>
      <c r="AA124" s="517"/>
    </row>
    <row r="125" spans="1:27" s="175" customFormat="1" ht="16.5" thickBot="1">
      <c r="A125" s="1072" t="s">
        <v>435</v>
      </c>
      <c r="B125" s="1072"/>
      <c r="C125" s="1072"/>
      <c r="D125" s="964"/>
      <c r="E125" s="1074">
        <f>IF(numSCRTarget&lt;&gt;0,RPO,"--")</f>
        <v>24</v>
      </c>
      <c r="F125" s="1074"/>
      <c r="G125" s="1075"/>
      <c r="H125" s="110"/>
      <c r="I125" s="110"/>
      <c r="J125" s="110"/>
      <c r="K125" s="943" t="s">
        <v>537</v>
      </c>
      <c r="L125" s="944"/>
      <c r="M125" s="944"/>
      <c r="N125" s="944"/>
      <c r="O125" s="944"/>
      <c r="P125" s="944"/>
      <c r="Q125" s="944"/>
      <c r="R125" s="944"/>
      <c r="S125" s="944"/>
      <c r="T125" s="944"/>
      <c r="U125" s="944"/>
      <c r="V125" s="944"/>
      <c r="W125" s="944"/>
      <c r="X125" s="944"/>
      <c r="Y125" s="945"/>
      <c r="Z125" s="518"/>
      <c r="AA125" s="519"/>
    </row>
    <row r="126" spans="1:27" s="487" customFormat="1" ht="15">
      <c r="A126" s="1019" t="s">
        <v>658</v>
      </c>
      <c r="B126" s="1019"/>
      <c r="C126" s="1019"/>
      <c r="D126" s="1020"/>
      <c r="E126" s="1069">
        <f>IF(numSCRTarget&lt;&gt;0,HLOOKUP(RPO,tblSCRBndwdth,2,FALSE)/NumMBXServers,"--")</f>
        <v>17.168253968253968</v>
      </c>
      <c r="F126" s="1070"/>
      <c r="G126" s="1071"/>
      <c r="H126" s="74"/>
      <c r="I126" s="74"/>
      <c r="J126" s="74"/>
      <c r="K126" s="1001" t="s">
        <v>469</v>
      </c>
      <c r="L126" s="1002"/>
      <c r="M126" s="1002"/>
      <c r="N126" s="1002"/>
      <c r="O126" s="1002"/>
      <c r="P126" s="1002"/>
      <c r="Q126" s="1002"/>
      <c r="R126" s="1002"/>
      <c r="S126" s="1002"/>
      <c r="T126" s="1002"/>
      <c r="U126" s="1002"/>
      <c r="V126" s="1004">
        <f>IF(AccNetLinkCCR="--","--",IF(AccNetLinkCCR="Yes",TCPWindowSize,VLOOKUP(CCRLogBandwidth,tblRecNetworkLink,3,TRUE)))</f>
        <v>67107840</v>
      </c>
      <c r="W126" s="1005"/>
      <c r="X126" s="1005"/>
      <c r="Y126" s="1006"/>
      <c r="Z126" s="520"/>
      <c r="AA126" s="521"/>
    </row>
    <row r="127" spans="1:27" s="637" customFormat="1" ht="15.75" thickBot="1">
      <c r="A127" s="1003" t="s">
        <v>551</v>
      </c>
      <c r="B127" s="1003"/>
      <c r="C127" s="1003"/>
      <c r="D127" s="968"/>
      <c r="E127" s="1010">
        <f>IF(numSCRTarget&lt;&gt;0,HLOOKUP(RPO,tblSCRBndwdth,2,FALSE)*(IF(AND(HAOption="CCR",SCRHAOption="Match Source Configuration"),numSCRTarget*2,numSCRTarget)),"--")</f>
        <v>17.168253968253968</v>
      </c>
      <c r="F127" s="1011"/>
      <c r="G127" s="1012"/>
      <c r="H127" s="74"/>
      <c r="I127" s="74"/>
      <c r="J127" s="74"/>
      <c r="K127" s="967" t="s">
        <v>471</v>
      </c>
      <c r="L127" s="1003"/>
      <c r="M127" s="1003"/>
      <c r="N127" s="1003"/>
      <c r="O127" s="1003"/>
      <c r="P127" s="1003"/>
      <c r="Q127" s="1003"/>
      <c r="R127" s="1003"/>
      <c r="S127" s="1003"/>
      <c r="T127" s="1003"/>
      <c r="U127" s="968"/>
      <c r="V127" s="1007">
        <f>IF(V126="--","--",IF(V126="Default Value","Default Value",1))</f>
        <v>1</v>
      </c>
      <c r="W127" s="1008"/>
      <c r="X127" s="1008"/>
      <c r="Y127" s="1009"/>
      <c r="Z127" s="520"/>
      <c r="AA127" s="521"/>
    </row>
    <row r="128" spans="1:27" s="566" customFormat="1" ht="15.75" thickBot="1">
      <c r="A128" s="804"/>
      <c r="B128" s="640"/>
      <c r="C128" s="640"/>
      <c r="D128" s="640"/>
      <c r="E128" s="641"/>
      <c r="F128" s="641"/>
      <c r="G128" s="641"/>
      <c r="H128" s="74"/>
      <c r="I128" s="74"/>
      <c r="J128" s="74"/>
      <c r="K128" s="631"/>
      <c r="L128" s="631"/>
      <c r="M128" s="631"/>
      <c r="N128" s="631"/>
      <c r="O128" s="631"/>
      <c r="P128" s="631"/>
      <c r="Q128" s="631"/>
      <c r="R128" s="631"/>
      <c r="S128" s="631"/>
      <c r="T128" s="631"/>
      <c r="U128" s="631"/>
      <c r="X128" s="520"/>
      <c r="Y128" s="520"/>
      <c r="Z128" s="520"/>
      <c r="AA128" s="521"/>
    </row>
    <row r="129" spans="1:29" s="566" customFormat="1" ht="16.5" thickBot="1">
      <c r="A129" s="944" t="s">
        <v>534</v>
      </c>
      <c r="B129" s="944"/>
      <c r="C129" s="944"/>
      <c r="D129" s="944"/>
      <c r="E129" s="944"/>
      <c r="F129" s="944"/>
      <c r="G129" s="945"/>
      <c r="H129" s="74"/>
      <c r="I129" s="74"/>
      <c r="J129" s="74"/>
      <c r="K129" s="943" t="s">
        <v>536</v>
      </c>
      <c r="L129" s="944"/>
      <c r="M129" s="944"/>
      <c r="N129" s="944"/>
      <c r="O129" s="944"/>
      <c r="P129" s="944"/>
      <c r="Q129" s="944"/>
      <c r="R129" s="944"/>
      <c r="S129" s="944"/>
      <c r="T129" s="944"/>
      <c r="U129" s="944"/>
      <c r="V129" s="944"/>
      <c r="W129" s="944"/>
      <c r="X129" s="944"/>
      <c r="Y129" s="945"/>
      <c r="Z129" s="520"/>
      <c r="AA129" s="521"/>
    </row>
    <row r="130" spans="1:29" s="566" customFormat="1" ht="15" customHeight="1">
      <c r="A130" s="1018" t="s">
        <v>430</v>
      </c>
      <c r="B130" s="1018"/>
      <c r="C130" s="1018"/>
      <c r="D130" s="1018"/>
      <c r="E130" s="962"/>
      <c r="F130" s="1023" t="str">
        <f>NetLinkType</f>
        <v>Gigabit Ethernet</v>
      </c>
      <c r="G130" s="1024"/>
      <c r="H130" s="74"/>
      <c r="I130" s="74"/>
      <c r="J130" s="74"/>
      <c r="K130" s="996" t="s">
        <v>469</v>
      </c>
      <c r="L130" s="997"/>
      <c r="M130" s="997"/>
      <c r="N130" s="997"/>
      <c r="O130" s="997"/>
      <c r="P130" s="997"/>
      <c r="Q130" s="997"/>
      <c r="R130" s="997"/>
      <c r="S130" s="997"/>
      <c r="T130" s="997"/>
      <c r="U130" s="998"/>
      <c r="V130" s="1016">
        <f>IF(AccNetLinkSCR="--","--",IF(AccNetLinkSCR="Yes",TCPWindowSize,VLOOKUP(SCRLogBandwidth*numSCRTarget,tblRecNetworkLink,3,TRUE)))</f>
        <v>67107840</v>
      </c>
      <c r="W130" s="1016"/>
      <c r="X130" s="1016"/>
      <c r="Y130" s="1017"/>
      <c r="Z130" s="520"/>
      <c r="AA130" s="521"/>
    </row>
    <row r="131" spans="1:29" s="566" customFormat="1" ht="15" customHeight="1" thickBot="1">
      <c r="A131" s="1019" t="s">
        <v>470</v>
      </c>
      <c r="B131" s="1019"/>
      <c r="C131" s="1019"/>
      <c r="D131" s="1019"/>
      <c r="E131" s="1020"/>
      <c r="F131" s="1025">
        <f>NetLinkLatency</f>
        <v>50</v>
      </c>
      <c r="G131" s="1026"/>
      <c r="H131" s="74"/>
      <c r="I131" s="74"/>
      <c r="J131" s="74"/>
      <c r="K131" s="1013" t="s">
        <v>471</v>
      </c>
      <c r="L131" s="1014"/>
      <c r="M131" s="1014"/>
      <c r="N131" s="1014"/>
      <c r="O131" s="1014"/>
      <c r="P131" s="1014"/>
      <c r="Q131" s="1014"/>
      <c r="R131" s="1014"/>
      <c r="S131" s="1014"/>
      <c r="T131" s="1014"/>
      <c r="U131" s="1015"/>
      <c r="V131" s="1007">
        <f>IF(V130="--","--",IF(V130="Default Value","Default Value",1))</f>
        <v>1</v>
      </c>
      <c r="W131" s="1008"/>
      <c r="X131" s="1008"/>
      <c r="Y131" s="1009"/>
      <c r="Z131" s="520"/>
      <c r="AA131" s="521"/>
    </row>
    <row r="132" spans="1:29" s="566" customFormat="1" ht="15" customHeight="1">
      <c r="A132" s="879" t="s">
        <v>538</v>
      </c>
      <c r="B132" s="879"/>
      <c r="C132" s="879"/>
      <c r="D132" s="879"/>
      <c r="E132" s="880"/>
      <c r="F132" s="1027" t="str">
        <f>IF(HAOption="CCR",IF(IF(TCPWindowSize="Default Value",VLOOKUP(NetLinkType,tblNetworkLink,2,FALSE),MIN(TCPWindowSize/(NetLinkLatency/1000)*8,VLOOKUP(NetLinkType,tblNetworkLink,2,FALSE)))&gt;CCRLogBandwidth*1000000,"Yes","No"),"--")</f>
        <v>Yes</v>
      </c>
      <c r="G132" s="1024"/>
      <c r="H132" s="74"/>
      <c r="I132" s="74"/>
      <c r="J132" s="74"/>
      <c r="Z132" s="520"/>
      <c r="AA132" s="521"/>
    </row>
    <row r="133" spans="1:29" s="566" customFormat="1" ht="15.75" customHeight="1" thickBot="1">
      <c r="A133" s="1021" t="s">
        <v>472</v>
      </c>
      <c r="B133" s="1021"/>
      <c r="C133" s="1021"/>
      <c r="D133" s="1021"/>
      <c r="E133" s="1022"/>
      <c r="F133" s="1028" t="str">
        <f>IF(TotSCRLogBandwidth="--","--",IF(IF(TCPWindowSize="Default Value",VLOOKUP(NetLinkType,tblNetworkLink,2,FALSE),MIN(TCPWindowSize/(NetLinkLatency/1000)*8,VLOOKUP(NetLinkType,tblNetworkLink,2,FALSE)))&gt;TotSCRLogBandwidth*1000000,"Yes","No"))</f>
        <v>Yes</v>
      </c>
      <c r="G133" s="1029"/>
      <c r="H133" s="74"/>
      <c r="I133" s="74"/>
      <c r="J133" s="74"/>
      <c r="Z133" s="520"/>
      <c r="AA133" s="521"/>
    </row>
    <row r="134" spans="1:29" s="566" customFormat="1" ht="15" customHeight="1">
      <c r="A134" s="760"/>
      <c r="H134" s="74"/>
      <c r="I134" s="74"/>
      <c r="J134" s="74"/>
      <c r="K134" s="74"/>
      <c r="L134" s="74"/>
      <c r="M134" s="74"/>
      <c r="N134" s="74"/>
      <c r="O134" s="74"/>
      <c r="P134" s="74"/>
      <c r="Q134" s="74"/>
      <c r="R134" s="74"/>
      <c r="S134" s="74"/>
      <c r="T134" s="74"/>
      <c r="U134" s="74"/>
      <c r="V134" s="74"/>
      <c r="W134" s="74"/>
      <c r="X134" s="520"/>
      <c r="Y134" s="520"/>
      <c r="Z134" s="520"/>
      <c r="AA134" s="521"/>
    </row>
    <row r="135" spans="1:29">
      <c r="A135" s="654"/>
      <c r="H135" s="74"/>
      <c r="I135" s="74"/>
      <c r="J135" s="74"/>
      <c r="K135" s="74"/>
      <c r="L135" s="74"/>
      <c r="M135" s="74"/>
      <c r="N135" s="74"/>
      <c r="O135" s="74"/>
      <c r="P135" s="74"/>
      <c r="Q135" s="74"/>
      <c r="R135" s="74"/>
      <c r="S135" s="74"/>
      <c r="T135" s="74"/>
      <c r="U135" s="74"/>
      <c r="V135" s="74"/>
      <c r="W135" s="74"/>
      <c r="X135" s="520"/>
      <c r="Y135" s="520"/>
      <c r="Z135" s="520"/>
      <c r="AA135" s="521"/>
    </row>
    <row r="136" spans="1:29" s="563" customFormat="1" ht="13.5" thickBot="1">
      <c r="A136" s="771"/>
      <c r="Q136" s="520"/>
      <c r="R136" s="520"/>
      <c r="S136" s="520"/>
      <c r="T136" s="520"/>
      <c r="U136" s="520"/>
      <c r="V136" s="520"/>
      <c r="W136" s="520"/>
      <c r="X136" s="520"/>
      <c r="Y136" s="520"/>
      <c r="Z136" s="520"/>
      <c r="AA136" s="521"/>
    </row>
    <row r="137" spans="1:29" s="435" customFormat="1" ht="16.5" thickBot="1">
      <c r="A137" s="1056" t="s">
        <v>338</v>
      </c>
      <c r="B137" s="1057"/>
      <c r="C137" s="1057"/>
      <c r="D137" s="1057"/>
      <c r="E137" s="1057"/>
      <c r="F137" s="1057"/>
      <c r="G137" s="1057"/>
      <c r="H137" s="1057"/>
      <c r="I137" s="1057"/>
      <c r="J137" s="1057"/>
      <c r="K137" s="1057"/>
      <c r="L137" s="1057"/>
      <c r="M137" s="1057"/>
      <c r="N137" s="1057"/>
      <c r="O137" s="1057"/>
      <c r="P137" s="1057"/>
      <c r="Q137" s="1057"/>
      <c r="R137" s="1057"/>
      <c r="S137" s="1057"/>
      <c r="T137" s="1057"/>
      <c r="U137" s="1057"/>
      <c r="V137" s="1057"/>
      <c r="W137" s="1057"/>
      <c r="X137" s="1057"/>
      <c r="Y137" s="1057"/>
      <c r="Z137" s="1057"/>
      <c r="AA137" s="1058"/>
    </row>
    <row r="138" spans="1:29" s="435" customFormat="1" ht="15" customHeight="1">
      <c r="A138" s="1050" t="str">
        <f>IF(OR(HAOption="CCR",numSCRTarget&lt;&gt;0),varLogReplResponse,"N/A")</f>
        <v>Important: The Log Replication Throughput metrics for both Geographically Dispersed CCR and/or SCR are dependent upon knowing the proper log generation rate per hour of the day for your environment.  If this data is unknown (or if you used the default example configuration), then the log replication throughput metrics may not be accurate.</v>
      </c>
      <c r="B138" s="1051"/>
      <c r="C138" s="1051"/>
      <c r="D138" s="1051"/>
      <c r="E138" s="1051"/>
      <c r="F138" s="1051"/>
      <c r="G138" s="1051"/>
      <c r="H138" s="1051"/>
      <c r="I138" s="1051"/>
      <c r="J138" s="1051"/>
      <c r="K138" s="1051"/>
      <c r="L138" s="1051"/>
      <c r="M138" s="1051"/>
      <c r="N138" s="1051"/>
      <c r="O138" s="1051"/>
      <c r="P138" s="1051"/>
      <c r="Q138" s="1051"/>
      <c r="R138" s="1051"/>
      <c r="S138" s="1051"/>
      <c r="T138" s="1051"/>
      <c r="U138" s="1051"/>
      <c r="V138" s="1051"/>
      <c r="W138" s="1051"/>
      <c r="X138" s="1051"/>
      <c r="Y138" s="1051"/>
      <c r="Z138" s="1051"/>
      <c r="AA138" s="1052"/>
    </row>
    <row r="139" spans="1:29" s="435" customFormat="1" ht="15" customHeight="1" thickBot="1">
      <c r="A139" s="1053"/>
      <c r="B139" s="1054"/>
      <c r="C139" s="1054"/>
      <c r="D139" s="1054"/>
      <c r="E139" s="1054"/>
      <c r="F139" s="1054"/>
      <c r="G139" s="1054"/>
      <c r="H139" s="1054"/>
      <c r="I139" s="1054"/>
      <c r="J139" s="1054"/>
      <c r="K139" s="1054"/>
      <c r="L139" s="1054"/>
      <c r="M139" s="1054"/>
      <c r="N139" s="1054"/>
      <c r="O139" s="1054"/>
      <c r="P139" s="1054"/>
      <c r="Q139" s="1054"/>
      <c r="R139" s="1054"/>
      <c r="S139" s="1054"/>
      <c r="T139" s="1054"/>
      <c r="U139" s="1054"/>
      <c r="V139" s="1054"/>
      <c r="W139" s="1054"/>
      <c r="X139" s="1054"/>
      <c r="Y139" s="1054"/>
      <c r="Z139" s="1054"/>
      <c r="AA139" s="1055"/>
    </row>
    <row r="140" spans="1:29" ht="15" thickBot="1">
      <c r="A140" s="770"/>
      <c r="B140" s="171"/>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58"/>
    </row>
    <row r="141" spans="1:29" ht="14.25">
      <c r="A141" s="119"/>
      <c r="B141" s="173"/>
      <c r="C141" s="174"/>
      <c r="D141" s="174"/>
      <c r="E141" s="174"/>
      <c r="F141" s="174"/>
      <c r="G141" s="174"/>
      <c r="H141" s="174"/>
      <c r="I141" s="174"/>
      <c r="J141" s="174"/>
      <c r="K141" s="174"/>
      <c r="L141" s="174"/>
      <c r="M141" s="174"/>
      <c r="N141" s="174"/>
      <c r="O141" s="174"/>
      <c r="P141" s="174"/>
      <c r="Q141" s="174"/>
      <c r="R141" s="174"/>
      <c r="S141" s="174"/>
      <c r="T141" s="174"/>
      <c r="U141" s="174"/>
      <c r="V141" s="174"/>
      <c r="W141" s="174"/>
      <c r="X141" s="174"/>
      <c r="Y141" s="174"/>
      <c r="Z141" s="174"/>
      <c r="AA141" s="174"/>
      <c r="AB141" s="174"/>
      <c r="AC141" s="175"/>
    </row>
    <row r="143" spans="1:29">
      <c r="G143" s="838"/>
    </row>
    <row r="145" spans="5:11">
      <c r="E145" s="1"/>
      <c r="K145" s="837"/>
    </row>
  </sheetData>
  <mergeCells count="246">
    <mergeCell ref="A100:B100"/>
    <mergeCell ref="A96:B96"/>
    <mergeCell ref="A97:B97"/>
    <mergeCell ref="A98:B98"/>
    <mergeCell ref="D98:F98"/>
    <mergeCell ref="G98:K98"/>
    <mergeCell ref="D95:F95"/>
    <mergeCell ref="G95:K95"/>
    <mergeCell ref="D100:F100"/>
    <mergeCell ref="D96:F96"/>
    <mergeCell ref="G96:K96"/>
    <mergeCell ref="D97:F97"/>
    <mergeCell ref="G97:K97"/>
    <mergeCell ref="D99:F99"/>
    <mergeCell ref="G99:K99"/>
    <mergeCell ref="A91:B91"/>
    <mergeCell ref="D91:F91"/>
    <mergeCell ref="D93:F93"/>
    <mergeCell ref="G93:K93"/>
    <mergeCell ref="A92:B92"/>
    <mergeCell ref="A99:B99"/>
    <mergeCell ref="A93:B93"/>
    <mergeCell ref="L95:O95"/>
    <mergeCell ref="L96:O96"/>
    <mergeCell ref="L97:O97"/>
    <mergeCell ref="L92:O92"/>
    <mergeCell ref="A77:B77"/>
    <mergeCell ref="D77:F77"/>
    <mergeCell ref="G77:K77"/>
    <mergeCell ref="L77:O77"/>
    <mergeCell ref="D80:F80"/>
    <mergeCell ref="G80:K80"/>
    <mergeCell ref="L80:O80"/>
    <mergeCell ref="D79:F79"/>
    <mergeCell ref="G79:K79"/>
    <mergeCell ref="L79:O79"/>
    <mergeCell ref="D78:F78"/>
    <mergeCell ref="G78:K78"/>
    <mergeCell ref="L78:O78"/>
    <mergeCell ref="A117:F117"/>
    <mergeCell ref="A116:G116"/>
    <mergeCell ref="A108:B108"/>
    <mergeCell ref="A109:B109"/>
    <mergeCell ref="A110:B110"/>
    <mergeCell ref="A111:B111"/>
    <mergeCell ref="A112:B112"/>
    <mergeCell ref="G105:K105"/>
    <mergeCell ref="G106:K106"/>
    <mergeCell ref="D110:F110"/>
    <mergeCell ref="D111:F111"/>
    <mergeCell ref="D112:F112"/>
    <mergeCell ref="D113:F113"/>
    <mergeCell ref="D114:F114"/>
    <mergeCell ref="G110:K110"/>
    <mergeCell ref="G111:K111"/>
    <mergeCell ref="D105:F105"/>
    <mergeCell ref="D106:F106"/>
    <mergeCell ref="D107:F107"/>
    <mergeCell ref="D108:F108"/>
    <mergeCell ref="D109:F109"/>
    <mergeCell ref="L113:O113"/>
    <mergeCell ref="L114:O114"/>
    <mergeCell ref="G113:K113"/>
    <mergeCell ref="G114:K114"/>
    <mergeCell ref="L101:O101"/>
    <mergeCell ref="G102:K102"/>
    <mergeCell ref="L102:O102"/>
    <mergeCell ref="L104:O104"/>
    <mergeCell ref="G87:K87"/>
    <mergeCell ref="L87:O87"/>
    <mergeCell ref="G90:K90"/>
    <mergeCell ref="L90:O90"/>
    <mergeCell ref="G88:K88"/>
    <mergeCell ref="L88:O88"/>
    <mergeCell ref="G89:K89"/>
    <mergeCell ref="L89:O89"/>
    <mergeCell ref="L100:O100"/>
    <mergeCell ref="L98:O98"/>
    <mergeCell ref="L94:O94"/>
    <mergeCell ref="L99:O99"/>
    <mergeCell ref="G68:K68"/>
    <mergeCell ref="A126:D126"/>
    <mergeCell ref="D103:F103"/>
    <mergeCell ref="G103:K103"/>
    <mergeCell ref="L103:O103"/>
    <mergeCell ref="A123:D123"/>
    <mergeCell ref="E123:G123"/>
    <mergeCell ref="G73:K73"/>
    <mergeCell ref="L109:O109"/>
    <mergeCell ref="L110:O110"/>
    <mergeCell ref="L111:O111"/>
    <mergeCell ref="L112:O112"/>
    <mergeCell ref="L105:O105"/>
    <mergeCell ref="L106:O106"/>
    <mergeCell ref="L107:O107"/>
    <mergeCell ref="L108:O108"/>
    <mergeCell ref="G112:K112"/>
    <mergeCell ref="G107:K107"/>
    <mergeCell ref="G108:K108"/>
    <mergeCell ref="L91:O91"/>
    <mergeCell ref="L93:O93"/>
    <mergeCell ref="L68:O68"/>
    <mergeCell ref="L69:O69"/>
    <mergeCell ref="L70:O70"/>
    <mergeCell ref="L71:O71"/>
    <mergeCell ref="L72:O72"/>
    <mergeCell ref="L73:O73"/>
    <mergeCell ref="L74:O74"/>
    <mergeCell ref="L75:O75"/>
    <mergeCell ref="L81:O81"/>
    <mergeCell ref="L86:O86"/>
    <mergeCell ref="L84:O84"/>
    <mergeCell ref="L85:O85"/>
    <mergeCell ref="L82:O82"/>
    <mergeCell ref="L83:O83"/>
    <mergeCell ref="L76:O76"/>
    <mergeCell ref="D68:F68"/>
    <mergeCell ref="D69:F69"/>
    <mergeCell ref="D70:F70"/>
    <mergeCell ref="D71:F71"/>
    <mergeCell ref="D72:F72"/>
    <mergeCell ref="D73:F73"/>
    <mergeCell ref="D74:F74"/>
    <mergeCell ref="D75:F75"/>
    <mergeCell ref="D104:F104"/>
    <mergeCell ref="D102:F102"/>
    <mergeCell ref="D87:F87"/>
    <mergeCell ref="D90:F90"/>
    <mergeCell ref="D88:F88"/>
    <mergeCell ref="D89:F89"/>
    <mergeCell ref="D76:F76"/>
    <mergeCell ref="D81:F81"/>
    <mergeCell ref="D86:F86"/>
    <mergeCell ref="D84:F84"/>
    <mergeCell ref="D85:F85"/>
    <mergeCell ref="D82:F82"/>
    <mergeCell ref="D83:F83"/>
    <mergeCell ref="D94:F94"/>
    <mergeCell ref="D101:F101"/>
    <mergeCell ref="D92:F92"/>
    <mergeCell ref="G69:K69"/>
    <mergeCell ref="G70:K70"/>
    <mergeCell ref="G71:K71"/>
    <mergeCell ref="G72:K72"/>
    <mergeCell ref="G100:K100"/>
    <mergeCell ref="G91:K91"/>
    <mergeCell ref="G109:K109"/>
    <mergeCell ref="G86:K86"/>
    <mergeCell ref="G84:K84"/>
    <mergeCell ref="G85:K85"/>
    <mergeCell ref="G82:K82"/>
    <mergeCell ref="G83:K83"/>
    <mergeCell ref="G92:K92"/>
    <mergeCell ref="G94:K94"/>
    <mergeCell ref="G101:K101"/>
    <mergeCell ref="G74:K74"/>
    <mergeCell ref="G75:K75"/>
    <mergeCell ref="G104:K104"/>
    <mergeCell ref="G76:K76"/>
    <mergeCell ref="G81:K81"/>
    <mergeCell ref="A75:B75"/>
    <mergeCell ref="A104:B104"/>
    <mergeCell ref="A105:B105"/>
    <mergeCell ref="A106:B106"/>
    <mergeCell ref="A107:B107"/>
    <mergeCell ref="A101:B101"/>
    <mergeCell ref="A103:B103"/>
    <mergeCell ref="A95:B95"/>
    <mergeCell ref="A76:B76"/>
    <mergeCell ref="A78:B78"/>
    <mergeCell ref="A80:B80"/>
    <mergeCell ref="A82:B82"/>
    <mergeCell ref="A84:B84"/>
    <mergeCell ref="A86:B86"/>
    <mergeCell ref="A88:B88"/>
    <mergeCell ref="A102:B102"/>
    <mergeCell ref="A79:B79"/>
    <mergeCell ref="A94:B94"/>
    <mergeCell ref="A90:B90"/>
    <mergeCell ref="A87:B87"/>
    <mergeCell ref="A89:B89"/>
    <mergeCell ref="A81:B81"/>
    <mergeCell ref="A85:B85"/>
    <mergeCell ref="A83:B83"/>
    <mergeCell ref="A70:B70"/>
    <mergeCell ref="A71:B71"/>
    <mergeCell ref="A72:B72"/>
    <mergeCell ref="A73:B73"/>
    <mergeCell ref="A74:B74"/>
    <mergeCell ref="A138:AA139"/>
    <mergeCell ref="A137:AA137"/>
    <mergeCell ref="A4:AA4"/>
    <mergeCell ref="A119:AA119"/>
    <mergeCell ref="A66:C66"/>
    <mergeCell ref="A7:C7"/>
    <mergeCell ref="D7:F7"/>
    <mergeCell ref="A121:G121"/>
    <mergeCell ref="A124:D124"/>
    <mergeCell ref="A122:D122"/>
    <mergeCell ref="E122:G122"/>
    <mergeCell ref="E124:G124"/>
    <mergeCell ref="E126:G126"/>
    <mergeCell ref="A125:D125"/>
    <mergeCell ref="A68:B68"/>
    <mergeCell ref="A69:B69"/>
    <mergeCell ref="E125:G125"/>
    <mergeCell ref="A113:B113"/>
    <mergeCell ref="A114:B114"/>
    <mergeCell ref="A1:AA1"/>
    <mergeCell ref="D64:AA64"/>
    <mergeCell ref="D12:AA12"/>
    <mergeCell ref="A12:A13"/>
    <mergeCell ref="B12:B13"/>
    <mergeCell ref="C12:C13"/>
    <mergeCell ref="D63:AA63"/>
    <mergeCell ref="A9:F9"/>
    <mergeCell ref="A10:C10"/>
    <mergeCell ref="A6:F6"/>
    <mergeCell ref="D10:F10"/>
    <mergeCell ref="A2:H2"/>
    <mergeCell ref="K130:U130"/>
    <mergeCell ref="K131:U131"/>
    <mergeCell ref="V130:Y130"/>
    <mergeCell ref="V131:Y131"/>
    <mergeCell ref="A132:E132"/>
    <mergeCell ref="A130:E130"/>
    <mergeCell ref="A131:E131"/>
    <mergeCell ref="A133:E133"/>
    <mergeCell ref="F130:G130"/>
    <mergeCell ref="F131:G131"/>
    <mergeCell ref="F132:G132"/>
    <mergeCell ref="F133:G133"/>
    <mergeCell ref="K129:Y129"/>
    <mergeCell ref="A129:G129"/>
    <mergeCell ref="V122:Y122"/>
    <mergeCell ref="K121:Y121"/>
    <mergeCell ref="K123:U123"/>
    <mergeCell ref="K122:U122"/>
    <mergeCell ref="V123:Y123"/>
    <mergeCell ref="K126:U126"/>
    <mergeCell ref="K127:U127"/>
    <mergeCell ref="V126:Y126"/>
    <mergeCell ref="V127:Y127"/>
    <mergeCell ref="K125:Y125"/>
    <mergeCell ref="A127:D127"/>
    <mergeCell ref="E127:G127"/>
  </mergeCells>
  <conditionalFormatting sqref="P108:AA111 D66:O67 P66:AA73 P105:AA106 P98:AA103 P91:AA96 P113:AA116 P75:Z89 AA75:AA87 AA89 Q70:Q114 R69:R114">
    <cfRule type="expression" dxfId="107" priority="93" stopIfTrue="1">
      <formula>RPO=D65</formula>
    </cfRule>
  </conditionalFormatting>
  <conditionalFormatting sqref="A138">
    <cfRule type="expression" dxfId="106" priority="91" stopIfTrue="1">
      <formula>IF($A$138&lt;&gt;"N/A",TRUE)</formula>
    </cfRule>
  </conditionalFormatting>
  <conditionalFormatting sqref="P90:AA90">
    <cfRule type="expression" dxfId="105" priority="108" stopIfTrue="1">
      <formula>RPO=P75</formula>
    </cfRule>
  </conditionalFormatting>
  <conditionalFormatting sqref="P114:AA116">
    <cfRule type="expression" dxfId="104" priority="88" stopIfTrue="1">
      <formula>RPO=P62</formula>
    </cfRule>
  </conditionalFormatting>
  <conditionalFormatting sqref="P113:AA113">
    <cfRule type="expression" dxfId="103" priority="87" stopIfTrue="1">
      <formula>RPO=P62</formula>
    </cfRule>
  </conditionalFormatting>
  <conditionalFormatting sqref="P112:AA112">
    <cfRule type="expression" dxfId="102" priority="86" stopIfTrue="1">
      <formula>RPO=P63</formula>
    </cfRule>
  </conditionalFormatting>
  <conditionalFormatting sqref="P112:AA112 P97:AA103">
    <cfRule type="expression" dxfId="101" priority="133" stopIfTrue="1">
      <formula>RPO=P53</formula>
    </cfRule>
  </conditionalFormatting>
  <conditionalFormatting sqref="P111:AA111">
    <cfRule type="expression" dxfId="100" priority="85" stopIfTrue="1">
      <formula>RPO=P57</formula>
    </cfRule>
  </conditionalFormatting>
  <conditionalFormatting sqref="P117:AA117 P110:AA110">
    <cfRule type="expression" dxfId="99" priority="84" stopIfTrue="1">
      <formula>RPO=P57</formula>
    </cfRule>
  </conditionalFormatting>
  <conditionalFormatting sqref="P109:AA109">
    <cfRule type="expression" dxfId="98" priority="83" stopIfTrue="1">
      <formula>RPO=P57</formula>
    </cfRule>
  </conditionalFormatting>
  <conditionalFormatting sqref="P108:AA108">
    <cfRule type="expression" dxfId="97" priority="82" stopIfTrue="1">
      <formula>RPO=P57</formula>
    </cfRule>
  </conditionalFormatting>
  <conditionalFormatting sqref="P107:AA107">
    <cfRule type="expression" dxfId="96" priority="81" stopIfTrue="1">
      <formula>RPO=P58</formula>
    </cfRule>
  </conditionalFormatting>
  <conditionalFormatting sqref="P107:AA107">
    <cfRule type="expression" dxfId="95" priority="80" stopIfTrue="1">
      <formula>RPO=P63</formula>
    </cfRule>
  </conditionalFormatting>
  <conditionalFormatting sqref="P107:AA107">
    <cfRule type="expression" dxfId="94" priority="135" stopIfTrue="1">
      <formula>RPO=P68</formula>
    </cfRule>
  </conditionalFormatting>
  <conditionalFormatting sqref="P106:AA106">
    <cfRule type="expression" dxfId="93" priority="79" stopIfTrue="1">
      <formula>RPO=P52</formula>
    </cfRule>
  </conditionalFormatting>
  <conditionalFormatting sqref="P105:AA105">
    <cfRule type="expression" dxfId="92" priority="78" stopIfTrue="1">
      <formula>RPO=P52</formula>
    </cfRule>
  </conditionalFormatting>
  <conditionalFormatting sqref="P104:AA104">
    <cfRule type="expression" dxfId="91" priority="77" stopIfTrue="1">
      <formula>RPO=P52</formula>
    </cfRule>
  </conditionalFormatting>
  <conditionalFormatting sqref="AA75:AA87 AA89 P75:Z89">
    <cfRule type="expression" dxfId="90" priority="76" stopIfTrue="1">
      <formula>RPO=P52</formula>
    </cfRule>
  </conditionalFormatting>
  <conditionalFormatting sqref="P74:AA74">
    <cfRule type="expression" dxfId="89" priority="75" stopIfTrue="1">
      <formula>RPO=P53</formula>
    </cfRule>
  </conditionalFormatting>
  <conditionalFormatting sqref="P74:AA74">
    <cfRule type="expression" dxfId="88" priority="74" stopIfTrue="1">
      <formula>RPO=P58</formula>
    </cfRule>
  </conditionalFormatting>
  <conditionalFormatting sqref="P74:AA74">
    <cfRule type="expression" dxfId="87" priority="73" stopIfTrue="1">
      <formula>RPO=P63</formula>
    </cfRule>
  </conditionalFormatting>
  <conditionalFormatting sqref="P74:AA74">
    <cfRule type="expression" dxfId="86" priority="137" stopIfTrue="1">
      <formula>RPO=P68</formula>
    </cfRule>
  </conditionalFormatting>
  <conditionalFormatting sqref="P73:AA73">
    <cfRule type="expression" dxfId="85" priority="72" stopIfTrue="1">
      <formula>RPO=P47</formula>
    </cfRule>
  </conditionalFormatting>
  <conditionalFormatting sqref="P72:AA72">
    <cfRule type="expression" dxfId="84" priority="71" stopIfTrue="1">
      <formula>RPO=P47</formula>
    </cfRule>
  </conditionalFormatting>
  <conditionalFormatting sqref="P71:AA71">
    <cfRule type="expression" dxfId="83" priority="70" stopIfTrue="1">
      <formula>RPO=P47</formula>
    </cfRule>
  </conditionalFormatting>
  <conditionalFormatting sqref="P70:AA70">
    <cfRule type="expression" dxfId="82" priority="69" stopIfTrue="1">
      <formula>RPO=P47</formula>
    </cfRule>
  </conditionalFormatting>
  <conditionalFormatting sqref="P69:AA69 R69:R114">
    <cfRule type="expression" dxfId="81" priority="68" stopIfTrue="1">
      <formula>RPO=P48</formula>
    </cfRule>
  </conditionalFormatting>
  <conditionalFormatting sqref="P69:AA69 R69:R114">
    <cfRule type="expression" dxfId="80" priority="67" stopIfTrue="1">
      <formula>RPO=P53</formula>
    </cfRule>
  </conditionalFormatting>
  <conditionalFormatting sqref="P69:AA69 R69:R114">
    <cfRule type="expression" dxfId="79" priority="66" stopIfTrue="1">
      <formula>RPO=P58</formula>
    </cfRule>
  </conditionalFormatting>
  <conditionalFormatting sqref="P69:AA69 R69:R114">
    <cfRule type="expression" dxfId="78" priority="65" stopIfTrue="1">
      <formula>RPO=P63</formula>
    </cfRule>
  </conditionalFormatting>
  <conditionalFormatting sqref="P104:AA104">
    <cfRule type="expression" dxfId="77" priority="141" stopIfTrue="1">
      <formula>RPO=P75</formula>
    </cfRule>
  </conditionalFormatting>
  <conditionalFormatting sqref="P103:AA103">
    <cfRule type="expression" dxfId="76" priority="64" stopIfTrue="1">
      <formula>RPO=P50</formula>
    </cfRule>
  </conditionalFormatting>
  <conditionalFormatting sqref="P102:AA102">
    <cfRule type="expression" dxfId="75" priority="63" stopIfTrue="1">
      <formula>RPO=P50</formula>
    </cfRule>
  </conditionalFormatting>
  <conditionalFormatting sqref="P101:AA101">
    <cfRule type="expression" dxfId="74" priority="62" stopIfTrue="1">
      <formula>RPO=P50</formula>
    </cfRule>
  </conditionalFormatting>
  <conditionalFormatting sqref="P100:AA100">
    <cfRule type="expression" dxfId="73" priority="61" stopIfTrue="1">
      <formula>RPO=P51</formula>
    </cfRule>
  </conditionalFormatting>
  <conditionalFormatting sqref="P100:AA100">
    <cfRule type="expression" dxfId="72" priority="60" stopIfTrue="1">
      <formula>RPO=P56</formula>
    </cfRule>
  </conditionalFormatting>
  <conditionalFormatting sqref="P100:AA100">
    <cfRule type="expression" dxfId="71" priority="59" stopIfTrue="1">
      <formula>RPO=P61</formula>
    </cfRule>
  </conditionalFormatting>
  <conditionalFormatting sqref="P99:AA99">
    <cfRule type="expression" dxfId="70" priority="58" stopIfTrue="1">
      <formula>RPO=P45</formula>
    </cfRule>
  </conditionalFormatting>
  <conditionalFormatting sqref="P98:AA98">
    <cfRule type="expression" dxfId="69" priority="57" stopIfTrue="1">
      <formula>RPO=P45</formula>
    </cfRule>
  </conditionalFormatting>
  <conditionalFormatting sqref="P97:AA97">
    <cfRule type="expression" dxfId="68" priority="56" stopIfTrue="1">
      <formula>RPO=P45</formula>
    </cfRule>
  </conditionalFormatting>
  <conditionalFormatting sqref="P97:AA97">
    <cfRule type="expression" dxfId="67" priority="55" stopIfTrue="1">
      <formula>RPO=P68</formula>
    </cfRule>
  </conditionalFormatting>
  <conditionalFormatting sqref="P97:AA97">
    <cfRule type="expression" dxfId="66" priority="143" stopIfTrue="1">
      <formula>RPO=P75</formula>
    </cfRule>
  </conditionalFormatting>
  <conditionalFormatting sqref="P90:AA96">
    <cfRule type="expression" dxfId="65" priority="54" stopIfTrue="1">
      <formula>RPO=P46</formula>
    </cfRule>
  </conditionalFormatting>
  <conditionalFormatting sqref="P96:AA96">
    <cfRule type="expression" dxfId="64" priority="53" stopIfTrue="1">
      <formula>RPO=P43</formula>
    </cfRule>
  </conditionalFormatting>
  <conditionalFormatting sqref="P95:AA95">
    <cfRule type="expression" dxfId="63" priority="52" stopIfTrue="1">
      <formula>RPO=P43</formula>
    </cfRule>
  </conditionalFormatting>
  <conditionalFormatting sqref="P94:AA94">
    <cfRule type="expression" dxfId="62" priority="51" stopIfTrue="1">
      <formula>RPO=P43</formula>
    </cfRule>
  </conditionalFormatting>
  <conditionalFormatting sqref="P93:AA93">
    <cfRule type="expression" dxfId="61" priority="50" stopIfTrue="1">
      <formula>RPO=P44</formula>
    </cfRule>
  </conditionalFormatting>
  <conditionalFormatting sqref="P93:AA93">
    <cfRule type="expression" dxfId="60" priority="49" stopIfTrue="1">
      <formula>RPO=P49</formula>
    </cfRule>
  </conditionalFormatting>
  <conditionalFormatting sqref="P93:AA93">
    <cfRule type="expression" dxfId="59" priority="48" stopIfTrue="1">
      <formula>RPO=P54</formula>
    </cfRule>
  </conditionalFormatting>
  <conditionalFormatting sqref="P92:AA92">
    <cfRule type="expression" dxfId="58" priority="47" stopIfTrue="1">
      <formula>RPO=P38</formula>
    </cfRule>
  </conditionalFormatting>
  <conditionalFormatting sqref="P91:AA91">
    <cfRule type="expression" dxfId="57" priority="46" stopIfTrue="1">
      <formula>RPO=P38</formula>
    </cfRule>
  </conditionalFormatting>
  <conditionalFormatting sqref="P90:AA90">
    <cfRule type="expression" dxfId="56" priority="45" stopIfTrue="1">
      <formula>RPO=P38</formula>
    </cfRule>
  </conditionalFormatting>
  <conditionalFormatting sqref="P90:AA90">
    <cfRule type="expression" dxfId="55" priority="44" stopIfTrue="1">
      <formula>RPO=P61</formula>
    </cfRule>
  </conditionalFormatting>
  <conditionalFormatting sqref="P90:AA90">
    <cfRule type="expression" dxfId="54" priority="43" stopIfTrue="1">
      <formula>RPO=P68</formula>
    </cfRule>
  </conditionalFormatting>
  <conditionalFormatting sqref="P90:AA96">
    <cfRule type="expression" dxfId="53" priority="149" stopIfTrue="1">
      <formula>RPO=P53</formula>
    </cfRule>
  </conditionalFormatting>
  <conditionalFormatting sqref="P76:AA76">
    <cfRule type="expression" dxfId="52" priority="42" stopIfTrue="1">
      <formula>RPO=P61</formula>
    </cfRule>
  </conditionalFormatting>
  <conditionalFormatting sqref="AA83:AA87 AA89 P83:Z89">
    <cfRule type="expression" dxfId="51" priority="41" stopIfTrue="1">
      <formula>RPO=P39</formula>
    </cfRule>
  </conditionalFormatting>
  <conditionalFormatting sqref="P89:AA89">
    <cfRule type="expression" dxfId="50" priority="40" stopIfTrue="1">
      <formula>RPO=P36</formula>
    </cfRule>
  </conditionalFormatting>
  <conditionalFormatting sqref="P88:Z88">
    <cfRule type="expression" dxfId="49" priority="39" stopIfTrue="1">
      <formula>RPO=P36</formula>
    </cfRule>
  </conditionalFormatting>
  <conditionalFormatting sqref="P87:AA87">
    <cfRule type="expression" dxfId="48" priority="38" stopIfTrue="1">
      <formula>RPO=P36</formula>
    </cfRule>
  </conditionalFormatting>
  <conditionalFormatting sqref="P86:AA86">
    <cfRule type="expression" dxfId="47" priority="37" stopIfTrue="1">
      <formula>RPO=P37</formula>
    </cfRule>
  </conditionalFormatting>
  <conditionalFormatting sqref="P86:AA86">
    <cfRule type="expression" dxfId="46" priority="36" stopIfTrue="1">
      <formula>RPO=P42</formula>
    </cfRule>
  </conditionalFormatting>
  <conditionalFormatting sqref="P86:AA86">
    <cfRule type="expression" dxfId="45" priority="35" stopIfTrue="1">
      <formula>RPO=P47</formula>
    </cfRule>
  </conditionalFormatting>
  <conditionalFormatting sqref="P85:AA85">
    <cfRule type="expression" dxfId="44" priority="34" stopIfTrue="1">
      <formula>RPO=P31</formula>
    </cfRule>
  </conditionalFormatting>
  <conditionalFormatting sqref="P84:AA84">
    <cfRule type="expression" dxfId="43" priority="33" stopIfTrue="1">
      <formula>RPO=P31</formula>
    </cfRule>
  </conditionalFormatting>
  <conditionalFormatting sqref="P83:AA83">
    <cfRule type="expression" dxfId="42" priority="32" stopIfTrue="1">
      <formula>RPO=P31</formula>
    </cfRule>
  </conditionalFormatting>
  <conditionalFormatting sqref="P83:AA83">
    <cfRule type="expression" dxfId="41" priority="31" stopIfTrue="1">
      <formula>RPO=P54</formula>
    </cfRule>
  </conditionalFormatting>
  <conditionalFormatting sqref="P83:AA83">
    <cfRule type="expression" dxfId="40" priority="30" stopIfTrue="1">
      <formula>RPO=P61</formula>
    </cfRule>
  </conditionalFormatting>
  <conditionalFormatting sqref="P76:AA82">
    <cfRule type="expression" dxfId="39" priority="29" stopIfTrue="1">
      <formula>RPO=P32</formula>
    </cfRule>
  </conditionalFormatting>
  <conditionalFormatting sqref="P82:AA82">
    <cfRule type="expression" dxfId="38" priority="28" stopIfTrue="1">
      <formula>RPO=P29</formula>
    </cfRule>
  </conditionalFormatting>
  <conditionalFormatting sqref="P81:AA81">
    <cfRule type="expression" dxfId="37" priority="27" stopIfTrue="1">
      <formula>RPO=P29</formula>
    </cfRule>
  </conditionalFormatting>
  <conditionalFormatting sqref="P80:AA80">
    <cfRule type="expression" dxfId="36" priority="26" stopIfTrue="1">
      <formula>RPO=P29</formula>
    </cfRule>
  </conditionalFormatting>
  <conditionalFormatting sqref="P79:AA79">
    <cfRule type="expression" dxfId="35" priority="25" stopIfTrue="1">
      <formula>RPO=P30</formula>
    </cfRule>
  </conditionalFormatting>
  <conditionalFormatting sqref="P79:AA79">
    <cfRule type="expression" dxfId="34" priority="24" stopIfTrue="1">
      <formula>RPO=P35</formula>
    </cfRule>
  </conditionalFormatting>
  <conditionalFormatting sqref="P79:AA79">
    <cfRule type="expression" dxfId="33" priority="23" stopIfTrue="1">
      <formula>RPO=P40</formula>
    </cfRule>
  </conditionalFormatting>
  <conditionalFormatting sqref="P78:AA78">
    <cfRule type="expression" dxfId="32" priority="22" stopIfTrue="1">
      <formula>RPO=P24</formula>
    </cfRule>
  </conditionalFormatting>
  <conditionalFormatting sqref="P77:AA77">
    <cfRule type="expression" dxfId="31" priority="21" stopIfTrue="1">
      <formula>RPO=P24</formula>
    </cfRule>
  </conditionalFormatting>
  <conditionalFormatting sqref="P76:AA76">
    <cfRule type="expression" dxfId="30" priority="20" stopIfTrue="1">
      <formula>RPO=P24</formula>
    </cfRule>
  </conditionalFormatting>
  <conditionalFormatting sqref="P76:AA76">
    <cfRule type="expression" dxfId="29" priority="19" stopIfTrue="1">
      <formula>RPO=P47</formula>
    </cfRule>
  </conditionalFormatting>
  <conditionalFormatting sqref="P76:AA76">
    <cfRule type="expression" dxfId="28" priority="18" stopIfTrue="1">
      <formula>RPO=P54</formula>
    </cfRule>
  </conditionalFormatting>
  <conditionalFormatting sqref="P76:AA82">
    <cfRule type="expression" dxfId="27" priority="17" stopIfTrue="1">
      <formula>RPO=P39</formula>
    </cfRule>
  </conditionalFormatting>
  <conditionalFormatting sqref="P117:AA117">
    <cfRule type="expression" dxfId="26" priority="153" stopIfTrue="1">
      <formula>RPO=P115</formula>
    </cfRule>
  </conditionalFormatting>
  <conditionalFormatting sqref="Q70:Q114">
    <cfRule type="expression" dxfId="25" priority="16" stopIfTrue="1">
      <formula>RPO=Q49</formula>
    </cfRule>
  </conditionalFormatting>
  <conditionalFormatting sqref="Q70:Q114">
    <cfRule type="expression" dxfId="24" priority="15" stopIfTrue="1">
      <formula>RPO=Q54</formula>
    </cfRule>
  </conditionalFormatting>
  <conditionalFormatting sqref="Q70:Q114">
    <cfRule type="expression" dxfId="23" priority="14" stopIfTrue="1">
      <formula>RPO=Q59</formula>
    </cfRule>
  </conditionalFormatting>
  <conditionalFormatting sqref="Q70:Q114">
    <cfRule type="expression" dxfId="22" priority="13" stopIfTrue="1">
      <formula>RPO=Q64</formula>
    </cfRule>
  </conditionalFormatting>
  <conditionalFormatting sqref="Q70:Q114">
    <cfRule type="expression" dxfId="21" priority="12" stopIfTrue="1">
      <formula>RPO=Q49</formula>
    </cfRule>
  </conditionalFormatting>
  <conditionalFormatting sqref="Q70:Q114">
    <cfRule type="expression" dxfId="20" priority="11" stopIfTrue="1">
      <formula>RPO=Q54</formula>
    </cfRule>
  </conditionalFormatting>
  <conditionalFormatting sqref="Q70:Q114">
    <cfRule type="expression" dxfId="19" priority="10" stopIfTrue="1">
      <formula>RPO=Q59</formula>
    </cfRule>
  </conditionalFormatting>
  <conditionalFormatting sqref="Q70:Q114">
    <cfRule type="expression" dxfId="18" priority="9" stopIfTrue="1">
      <formula>RPO=Q64</formula>
    </cfRule>
  </conditionalFormatting>
  <conditionalFormatting sqref="R70:R114">
    <cfRule type="expression" dxfId="17" priority="8" stopIfTrue="1">
      <formula>RPO=R49</formula>
    </cfRule>
  </conditionalFormatting>
  <conditionalFormatting sqref="R70:R114">
    <cfRule type="expression" dxfId="16" priority="7" stopIfTrue="1">
      <formula>RPO=R54</formula>
    </cfRule>
  </conditionalFormatting>
  <conditionalFormatting sqref="R70:R114">
    <cfRule type="expression" dxfId="15" priority="6" stopIfTrue="1">
      <formula>RPO=R59</formula>
    </cfRule>
  </conditionalFormatting>
  <conditionalFormatting sqref="R70:R114">
    <cfRule type="expression" dxfId="14" priority="5" stopIfTrue="1">
      <formula>RPO=R64</formula>
    </cfRule>
  </conditionalFormatting>
  <conditionalFormatting sqref="R70:R114">
    <cfRule type="expression" dxfId="13" priority="4" stopIfTrue="1">
      <formula>RPO=R49</formula>
    </cfRule>
  </conditionalFormatting>
  <conditionalFormatting sqref="R70:R114">
    <cfRule type="expression" dxfId="12" priority="3" stopIfTrue="1">
      <formula>RPO=R54</formula>
    </cfRule>
  </conditionalFormatting>
  <conditionalFormatting sqref="R70:R114">
    <cfRule type="expression" dxfId="11" priority="2" stopIfTrue="1">
      <formula>RPO=R59</formula>
    </cfRule>
  </conditionalFormatting>
  <conditionalFormatting sqref="R70:R114">
    <cfRule type="expression" dxfId="10" priority="1" stopIfTrue="1">
      <formula>RPO=R64</formula>
    </cfRule>
  </conditionalFormatting>
  <pageMargins left="0.7" right="0.7" top="0.75" bottom="0.75" header="0.3" footer="0.3"/>
  <pageSetup scale="45" orientation="portrait" r:id="rId1"/>
  <legacyDrawing r:id="rId2"/>
</worksheet>
</file>

<file path=xl/worksheets/sheet6.xml><?xml version="1.0" encoding="utf-8"?>
<worksheet xmlns="http://schemas.openxmlformats.org/spreadsheetml/2006/main" xmlns:r="http://schemas.openxmlformats.org/officeDocument/2006/relationships">
  <dimension ref="A1:J156"/>
  <sheetViews>
    <sheetView showGridLines="0" showRowColHeaders="0" zoomScale="85" zoomScaleNormal="85" workbookViewId="0">
      <selection sqref="A1:D1"/>
    </sheetView>
  </sheetViews>
  <sheetFormatPr defaultRowHeight="12.75" outlineLevelRow="1"/>
  <cols>
    <col min="1" max="1" width="55.5703125" style="74" customWidth="1"/>
    <col min="2" max="3" width="31.28515625" style="74" bestFit="1" customWidth="1"/>
    <col min="4" max="4" width="32.140625" style="74" bestFit="1" customWidth="1"/>
    <col min="5" max="5" width="31.7109375" style="74" bestFit="1" customWidth="1"/>
    <col min="6" max="16384" width="9.140625" style="74"/>
  </cols>
  <sheetData>
    <row r="1" spans="1:5">
      <c r="A1" s="1111" t="s">
        <v>8</v>
      </c>
      <c r="B1" s="1112"/>
      <c r="C1" s="1112"/>
      <c r="D1" s="1112"/>
      <c r="E1" s="77"/>
    </row>
    <row r="2" spans="1:5">
      <c r="A2" s="1113"/>
      <c r="B2" s="926"/>
      <c r="C2" s="926"/>
      <c r="D2" s="926"/>
      <c r="E2" s="871"/>
    </row>
    <row r="3" spans="1:5" ht="12.75" customHeight="1">
      <c r="A3" s="870" t="s">
        <v>351</v>
      </c>
      <c r="B3" s="870"/>
      <c r="C3" s="870"/>
      <c r="D3" s="870"/>
      <c r="E3" s="871"/>
    </row>
    <row r="4" spans="1:5">
      <c r="A4" s="870"/>
      <c r="B4" s="870"/>
      <c r="C4" s="870"/>
      <c r="D4" s="870"/>
      <c r="E4" s="871"/>
    </row>
    <row r="5" spans="1:5">
      <c r="A5" s="861"/>
      <c r="B5" s="861"/>
      <c r="C5" s="861"/>
      <c r="D5" s="861"/>
      <c r="E5" s="143"/>
    </row>
    <row r="6" spans="1:5" s="79" customFormat="1">
      <c r="A6" s="866" t="s">
        <v>694</v>
      </c>
      <c r="B6" s="866"/>
      <c r="C6" s="866"/>
      <c r="D6" s="866"/>
      <c r="E6" s="867"/>
    </row>
    <row r="7" spans="1:5" s="79" customFormat="1">
      <c r="A7" s="868" t="s">
        <v>169</v>
      </c>
      <c r="B7" s="869"/>
      <c r="C7" s="869"/>
      <c r="D7" s="869"/>
      <c r="E7" s="78"/>
    </row>
    <row r="8" spans="1:5" s="79" customFormat="1" ht="12.75" customHeight="1">
      <c r="A8" s="926" t="s">
        <v>695</v>
      </c>
      <c r="B8" s="926"/>
      <c r="C8" s="926"/>
      <c r="D8" s="926"/>
      <c r="E8" s="143"/>
    </row>
    <row r="9" spans="1:5" s="79" customFormat="1" ht="12.75" customHeight="1">
      <c r="A9" s="926" t="s">
        <v>696</v>
      </c>
      <c r="B9" s="926"/>
      <c r="C9" s="926"/>
      <c r="D9" s="926"/>
      <c r="E9" s="143"/>
    </row>
    <row r="10" spans="1:5" s="79" customFormat="1" ht="12.75" customHeight="1">
      <c r="A10" s="926" t="s">
        <v>697</v>
      </c>
      <c r="B10" s="926"/>
      <c r="C10" s="926"/>
      <c r="D10" s="926"/>
      <c r="E10" s="143"/>
    </row>
    <row r="11" spans="1:5" s="79" customFormat="1" ht="13.5" thickBot="1">
      <c r="A11" s="750"/>
      <c r="B11" s="144"/>
      <c r="C11" s="144"/>
      <c r="D11" s="144"/>
      <c r="E11" s="145"/>
    </row>
    <row r="12" spans="1:5" s="79" customFormat="1" ht="16.5" thickBot="1">
      <c r="A12" s="1117" t="s">
        <v>352</v>
      </c>
      <c r="B12" s="1118"/>
      <c r="C12" s="1118"/>
      <c r="D12" s="1119"/>
      <c r="E12" s="1120"/>
    </row>
    <row r="13" spans="1:5" s="79" customFormat="1" ht="15" customHeight="1">
      <c r="A13" s="1115" t="s">
        <v>355</v>
      </c>
      <c r="B13" s="1115"/>
      <c r="C13" s="1115"/>
      <c r="D13" s="1115"/>
      <c r="E13" s="1116"/>
    </row>
    <row r="14" spans="1:5" s="79" customFormat="1" ht="13.5" thickBot="1">
      <c r="A14" s="805"/>
      <c r="B14" s="300"/>
      <c r="C14" s="300"/>
      <c r="D14" s="301"/>
      <c r="E14" s="302"/>
    </row>
    <row r="15" spans="1:5" s="79" customFormat="1" ht="16.5" thickBot="1">
      <c r="A15" s="887" t="s">
        <v>170</v>
      </c>
      <c r="B15" s="876"/>
      <c r="C15" s="196"/>
      <c r="D15" s="875" t="s">
        <v>221</v>
      </c>
      <c r="E15" s="876"/>
    </row>
    <row r="16" spans="1:5" s="79" customFormat="1" ht="15">
      <c r="A16" s="806" t="s">
        <v>172</v>
      </c>
      <c r="B16" s="601" t="s">
        <v>180</v>
      </c>
      <c r="C16" s="93"/>
      <c r="D16" s="181" t="s">
        <v>560</v>
      </c>
      <c r="E16" s="673" t="s">
        <v>13</v>
      </c>
    </row>
    <row r="17" spans="1:8" s="79" customFormat="1" ht="15.75" thickBot="1">
      <c r="A17" s="807" t="s">
        <v>149</v>
      </c>
      <c r="B17" s="602" t="s">
        <v>132</v>
      </c>
      <c r="C17" s="93"/>
      <c r="D17" s="674" t="s">
        <v>561</v>
      </c>
      <c r="E17" s="676" t="s">
        <v>556</v>
      </c>
    </row>
    <row r="18" spans="1:8" s="79" customFormat="1" ht="15.75" thickBot="1">
      <c r="A18" s="312" t="s">
        <v>150</v>
      </c>
      <c r="B18" s="603" t="s">
        <v>125</v>
      </c>
      <c r="C18" s="93"/>
      <c r="D18" s="675" t="s">
        <v>554</v>
      </c>
      <c r="E18" s="677" t="s">
        <v>557</v>
      </c>
    </row>
    <row r="19" spans="1:8" s="79" customFormat="1" ht="13.5" thickBot="1">
      <c r="A19" s="808"/>
      <c r="B19" s="605"/>
      <c r="C19" s="196"/>
      <c r="D19" s="678"/>
      <c r="E19" s="671"/>
    </row>
    <row r="20" spans="1:8" s="79" customFormat="1" ht="16.5" thickBot="1">
      <c r="A20" s="887" t="s">
        <v>145</v>
      </c>
      <c r="B20" s="876"/>
      <c r="C20" s="89"/>
      <c r="D20" s="605"/>
      <c r="E20" s="604"/>
    </row>
    <row r="21" spans="1:8" s="79" customFormat="1" ht="15">
      <c r="A21" s="383" t="s">
        <v>146</v>
      </c>
      <c r="B21" s="606">
        <v>0.35</v>
      </c>
      <c r="C21" s="196"/>
      <c r="D21" s="605"/>
      <c r="E21" s="688"/>
    </row>
    <row r="22" spans="1:8" s="79" customFormat="1" ht="15">
      <c r="A22" s="387" t="s">
        <v>147</v>
      </c>
      <c r="B22" s="607">
        <v>1</v>
      </c>
      <c r="C22" s="196"/>
      <c r="D22" s="605"/>
      <c r="E22" s="604"/>
    </row>
    <row r="23" spans="1:8" s="79" customFormat="1" ht="15.75" thickBot="1">
      <c r="A23" s="379" t="s">
        <v>148</v>
      </c>
      <c r="B23" s="608">
        <v>1</v>
      </c>
      <c r="C23" s="196"/>
      <c r="D23" s="605"/>
      <c r="E23" s="604"/>
    </row>
    <row r="24" spans="1:8" s="79" customFormat="1" ht="15.75" thickBot="1">
      <c r="A24" s="610"/>
      <c r="B24" s="609"/>
      <c r="C24" s="108"/>
      <c r="D24" s="610"/>
      <c r="E24" s="611"/>
    </row>
    <row r="25" spans="1:8" s="79" customFormat="1" ht="16.5" thickBot="1">
      <c r="A25" s="872" t="s">
        <v>353</v>
      </c>
      <c r="B25" s="881"/>
      <c r="C25" s="881"/>
      <c r="D25" s="881"/>
      <c r="E25" s="882"/>
    </row>
    <row r="26" spans="1:8" s="79" customFormat="1" ht="30.75" customHeight="1">
      <c r="A26" s="883" t="s">
        <v>674</v>
      </c>
      <c r="B26" s="883"/>
      <c r="C26" s="883"/>
      <c r="D26" s="883"/>
      <c r="E26" s="884"/>
    </row>
    <row r="27" spans="1:8" s="79" customFormat="1" ht="12.75" customHeight="1" thickBot="1">
      <c r="A27" s="554"/>
      <c r="B27" s="554"/>
      <c r="C27" s="554"/>
      <c r="D27" s="554"/>
      <c r="E27" s="288"/>
    </row>
    <row r="28" spans="1:8" s="79" customFormat="1" ht="16.5" thickBot="1">
      <c r="A28" s="809" t="s">
        <v>663</v>
      </c>
      <c r="B28" s="840" t="s">
        <v>664</v>
      </c>
      <c r="C28" s="840" t="s">
        <v>668</v>
      </c>
      <c r="D28" s="840" t="s">
        <v>665</v>
      </c>
      <c r="E28" s="690"/>
    </row>
    <row r="29" spans="1:8" s="79" customFormat="1" ht="15">
      <c r="A29" s="613" t="s">
        <v>228</v>
      </c>
      <c r="B29" s="612" t="s">
        <v>362</v>
      </c>
      <c r="C29" s="612" t="s">
        <v>362</v>
      </c>
      <c r="D29" s="612" t="s">
        <v>365</v>
      </c>
      <c r="E29" s="690"/>
      <c r="G29" s="691"/>
    </row>
    <row r="30" spans="1:8" s="79" customFormat="1" ht="15.75" thickBot="1">
      <c r="A30" s="242" t="s">
        <v>31</v>
      </c>
      <c r="B30" s="615" t="s">
        <v>227</v>
      </c>
      <c r="C30" s="615" t="s">
        <v>227</v>
      </c>
      <c r="D30" s="615" t="s">
        <v>247</v>
      </c>
      <c r="E30" s="690"/>
    </row>
    <row r="31" spans="1:8" s="79" customFormat="1" ht="15.75" thickBot="1">
      <c r="A31" s="767"/>
      <c r="B31" s="617"/>
      <c r="C31" s="650"/>
      <c r="D31" s="650"/>
      <c r="E31" s="651"/>
      <c r="H31" s="691"/>
    </row>
    <row r="32" spans="1:8" s="79" customFormat="1" ht="16.5" thickBot="1">
      <c r="A32" s="689" t="s">
        <v>666</v>
      </c>
      <c r="B32" s="840" t="s">
        <v>664</v>
      </c>
      <c r="C32" s="840" t="s">
        <v>668</v>
      </c>
      <c r="D32" s="840" t="s">
        <v>665</v>
      </c>
      <c r="E32" s="651"/>
    </row>
    <row r="33" spans="1:10" s="79" customFormat="1" ht="15">
      <c r="A33" s="613" t="s">
        <v>228</v>
      </c>
      <c r="B33" s="612" t="s">
        <v>364</v>
      </c>
      <c r="C33" s="612" t="s">
        <v>364</v>
      </c>
      <c r="D33" s="612" t="s">
        <v>365</v>
      </c>
      <c r="E33" s="651"/>
    </row>
    <row r="34" spans="1:10" s="79" customFormat="1" ht="15.75" thickBot="1">
      <c r="A34" s="242" t="s">
        <v>31</v>
      </c>
      <c r="B34" s="615" t="s">
        <v>225</v>
      </c>
      <c r="C34" s="615" t="s">
        <v>225</v>
      </c>
      <c r="D34" s="615" t="s">
        <v>247</v>
      </c>
      <c r="E34" s="651"/>
    </row>
    <row r="35" spans="1:10" customFormat="1" ht="13.5" thickBot="1">
      <c r="A35" s="88"/>
      <c r="B35" s="74"/>
      <c r="C35" s="74"/>
      <c r="D35" s="74"/>
      <c r="E35" s="455"/>
      <c r="G35" s="74"/>
      <c r="J35" s="74"/>
    </row>
    <row r="36" spans="1:10" s="648" customFormat="1" ht="16.5" thickBot="1">
      <c r="A36" s="689" t="s">
        <v>667</v>
      </c>
      <c r="B36" s="840" t="s">
        <v>664</v>
      </c>
      <c r="C36" s="840" t="s">
        <v>668</v>
      </c>
      <c r="D36" s="840" t="s">
        <v>665</v>
      </c>
      <c r="E36" s="455"/>
    </row>
    <row r="37" spans="1:10" s="648" customFormat="1" ht="15">
      <c r="A37" s="613" t="s">
        <v>228</v>
      </c>
      <c r="B37" s="612" t="s">
        <v>365</v>
      </c>
      <c r="C37" s="612" t="s">
        <v>365</v>
      </c>
      <c r="D37" s="614" t="s">
        <v>365</v>
      </c>
      <c r="E37" s="455"/>
    </row>
    <row r="38" spans="1:10" s="79" customFormat="1" ht="15.75" thickBot="1">
      <c r="A38" s="242" t="s">
        <v>31</v>
      </c>
      <c r="B38" s="615" t="s">
        <v>247</v>
      </c>
      <c r="C38" s="615" t="s">
        <v>247</v>
      </c>
      <c r="D38" s="616" t="s">
        <v>247</v>
      </c>
      <c r="E38" s="651"/>
    </row>
    <row r="39" spans="1:10" ht="13.5" thickBot="1">
      <c r="A39" s="724"/>
      <c r="B39" s="725"/>
      <c r="C39" s="725"/>
      <c r="D39" s="725"/>
      <c r="E39" s="726"/>
    </row>
    <row r="40" spans="1:10" ht="16.5" thickBot="1">
      <c r="A40" s="1121" t="s">
        <v>115</v>
      </c>
      <c r="B40" s="923"/>
      <c r="C40" s="923"/>
      <c r="D40" s="923"/>
      <c r="E40" s="924"/>
      <c r="F40" s="88"/>
    </row>
    <row r="41" spans="1:10" ht="13.5" hidden="1" customHeight="1" outlineLevel="1" thickBot="1">
      <c r="A41" s="766"/>
      <c r="B41" s="649"/>
      <c r="C41" s="649"/>
      <c r="D41" s="649"/>
      <c r="E41" s="727"/>
    </row>
    <row r="42" spans="1:10" ht="16.5" hidden="1" customHeight="1" outlineLevel="1" thickBot="1">
      <c r="A42" s="910" t="s">
        <v>52</v>
      </c>
      <c r="B42" s="909"/>
      <c r="C42" s="649"/>
      <c r="E42" s="455"/>
    </row>
    <row r="43" spans="1:10" ht="15" hidden="1" customHeight="1" outlineLevel="1">
      <c r="A43" s="360" t="s">
        <v>621</v>
      </c>
      <c r="B43" s="757">
        <f>LogReadTransfers+LogWriteTransfers</f>
        <v>601.91999999999996</v>
      </c>
      <c r="C43" s="649"/>
      <c r="E43" s="455"/>
    </row>
    <row r="44" spans="1:10" ht="15" hidden="1" customHeight="1" outlineLevel="1">
      <c r="A44" s="584" t="s">
        <v>218</v>
      </c>
      <c r="B44" s="702">
        <f>(LogReadTransfers+(2*LogWriteTransfers))</f>
        <v>1149.1199999999999</v>
      </c>
      <c r="C44" s="747"/>
      <c r="E44" s="455"/>
    </row>
    <row r="45" spans="1:10" ht="15" hidden="1" customHeight="1" outlineLevel="1">
      <c r="A45" s="349" t="s">
        <v>622</v>
      </c>
      <c r="B45" s="347">
        <f>ReadTransfers+WriteTransfers</f>
        <v>1538.9790742791295</v>
      </c>
      <c r="C45" s="747"/>
      <c r="E45" s="455"/>
    </row>
    <row r="46" spans="1:10" ht="15" hidden="1" customHeight="1" outlineLevel="1">
      <c r="A46" s="335" t="s">
        <v>142</v>
      </c>
      <c r="B46" s="347">
        <f>ReadTransfers+(2*WriteTransfers)</f>
        <v>2268.5790742791296</v>
      </c>
      <c r="C46" s="728"/>
      <c r="E46" s="455"/>
    </row>
    <row r="47" spans="1:10" ht="15.75" hidden="1" customHeight="1" outlineLevel="1">
      <c r="A47" s="335" t="s">
        <v>143</v>
      </c>
      <c r="B47" s="347">
        <f>ReadTransfers+(4*WriteTransfers)</f>
        <v>3727.7790742791294</v>
      </c>
      <c r="C47" s="728"/>
      <c r="D47" s="91"/>
      <c r="E47" s="91"/>
      <c r="F47" s="88"/>
    </row>
    <row r="48" spans="1:10" ht="15.75" hidden="1" customHeight="1" outlineLevel="1" thickBot="1">
      <c r="A48" s="729" t="s">
        <v>144</v>
      </c>
      <c r="B48" s="348">
        <f>ReadTransfers+(WriteTransfers*6)</f>
        <v>5186.9790742791292</v>
      </c>
      <c r="C48" s="730"/>
      <c r="D48" s="108"/>
      <c r="E48" s="90"/>
    </row>
    <row r="49" spans="1:5" ht="15" hidden="1" customHeight="1" outlineLevel="1">
      <c r="A49" s="584" t="s">
        <v>217</v>
      </c>
      <c r="B49" s="686">
        <f>IF(RD10Rebuild&gt;=1,LogR10IOPS+(LogR10IOPS*RD10Rebuild),LogR10IOPS/(1-RD10Rebuild))</f>
        <v>1767.8769230769228</v>
      </c>
      <c r="C49" s="649"/>
      <c r="D49" s="82"/>
      <c r="E49" s="90"/>
    </row>
    <row r="50" spans="1:5" ht="15" hidden="1" customHeight="1" outlineLevel="1">
      <c r="A50" s="334" t="s">
        <v>140</v>
      </c>
      <c r="B50" s="347">
        <f>IF(RD10Rebuild&gt;=1,RD10TotIOPS+(RD10TotIOPS*RD10Rebuild),RD10TotIOPS/(1-RD10Rebuild))</f>
        <v>3490.1216527371225</v>
      </c>
      <c r="C50" s="728"/>
      <c r="D50" s="82"/>
      <c r="E50" s="90"/>
    </row>
    <row r="51" spans="1:5" ht="15" hidden="1" customHeight="1" outlineLevel="1">
      <c r="A51" s="334" t="s">
        <v>41</v>
      </c>
      <c r="B51" s="496">
        <f>IF(RD5Rebuild&gt;=1,RD5TotIOPS+(RD5TotIOPS*RD5Rebuild),RD5TotIOPS/(1-RD5Rebuild))</f>
        <v>7455.5581485582588</v>
      </c>
      <c r="C51" s="728"/>
      <c r="D51" s="82"/>
      <c r="E51" s="90"/>
    </row>
    <row r="52" spans="1:5" ht="15.75" hidden="1" customHeight="1" outlineLevel="1" thickBot="1">
      <c r="A52" s="357" t="s">
        <v>53</v>
      </c>
      <c r="B52" s="731">
        <f>IF(RD6Rebuild&gt;=1,RD6TotIOPS+(RD6TotIOPS*RD6Rebuild),RD6TotIOPS/(1-RD6Rebuild))</f>
        <v>10373.958148558258</v>
      </c>
      <c r="C52" s="728"/>
      <c r="D52" s="82"/>
      <c r="E52" s="90"/>
    </row>
    <row r="53" spans="1:5" ht="15.75" hidden="1" customHeight="1" outlineLevel="1" thickBot="1">
      <c r="A53" s="633" t="s">
        <v>502</v>
      </c>
      <c r="B53" s="732">
        <f>IF(RecDBRAID="RAID-1/0",ReqRD10TotIOPS,IF(RecDBRAID="RAID-5",ReqRD5TotIOPS,IF(RecDBRAID="RAID-6",ReqRD6TotIOPS,RD0TotIOPS)))+(IF(RecLogRAID="RAID-1/0",ReqLogR10IOPS,LogR0IOPS))</f>
        <v>9223.4350716351819</v>
      </c>
      <c r="C53" s="730"/>
      <c r="D53" s="82"/>
      <c r="E53" s="90"/>
    </row>
    <row r="54" spans="1:5" ht="15.75" hidden="1" customHeight="1" outlineLevel="1" thickBot="1">
      <c r="A54" s="89"/>
      <c r="B54" s="649"/>
      <c r="C54" s="728"/>
      <c r="D54" s="82"/>
      <c r="E54" s="90"/>
    </row>
    <row r="55" spans="1:5" ht="16.5" hidden="1" customHeight="1" outlineLevel="1" thickBot="1">
      <c r="A55" s="700" t="s">
        <v>354</v>
      </c>
      <c r="B55" s="258" t="s">
        <v>663</v>
      </c>
      <c r="C55" s="258" t="s">
        <v>666</v>
      </c>
      <c r="D55" s="258" t="s">
        <v>667</v>
      </c>
      <c r="E55" s="672"/>
    </row>
    <row r="56" spans="1:5" ht="15.75" hidden="1" customHeight="1" outlineLevel="1">
      <c r="A56" s="360" t="s">
        <v>3</v>
      </c>
      <c r="B56" s="118">
        <f>IF(DBDiskSize1="--",0,VLOOKUP(DBDiskSize1,tblDiskCapacity,2,FALSE))</f>
        <v>146</v>
      </c>
      <c r="C56" s="118">
        <f>IF(DBDiskSize2="--",0,VLOOKUP(DBDiskSize2,tblDiskCapacity,2,FALSE))</f>
        <v>300</v>
      </c>
      <c r="D56" s="118">
        <f>IF(DBDiskSize3="--",0,VLOOKUP(DBDiskSize3,tblDiskCapacity,2,FALSE))</f>
        <v>500</v>
      </c>
      <c r="E56" s="455"/>
    </row>
    <row r="57" spans="1:5" ht="15" hidden="1" customHeight="1" outlineLevel="1">
      <c r="A57" s="346" t="s">
        <v>4</v>
      </c>
      <c r="B57" s="451">
        <f>DBRawDiskCap1*0.917</f>
        <v>133.88200000000001</v>
      </c>
      <c r="C57" s="451">
        <f>DBRawDiskCap2*0.917</f>
        <v>275.10000000000002</v>
      </c>
      <c r="D57" s="451">
        <f>DBRawDiskCap3*0.917</f>
        <v>458.5</v>
      </c>
      <c r="E57" s="455"/>
    </row>
    <row r="58" spans="1:5" ht="15" hidden="1" customHeight="1" outlineLevel="1">
      <c r="A58" s="100" t="s">
        <v>15</v>
      </c>
      <c r="B58" s="733">
        <v>1</v>
      </c>
      <c r="C58" s="733">
        <v>1</v>
      </c>
      <c r="D58" s="733">
        <v>1</v>
      </c>
      <c r="E58" s="455"/>
    </row>
    <row r="59" spans="1:5" ht="15.75" hidden="1" customHeight="1" outlineLevel="1" thickBot="1">
      <c r="A59" s="357" t="s">
        <v>248</v>
      </c>
      <c r="B59" s="147">
        <f>IF(DBDiskRPM1="--",0,VLOOKUP(DBDiskRPM1,TblDiskType,2,FALSE))</f>
        <v>165</v>
      </c>
      <c r="C59" s="147">
        <f>IF(DBDiskRPM2="--",0,VLOOKUP(DBDiskRPM2,TblDiskType,2,FALSE))</f>
        <v>130</v>
      </c>
      <c r="D59" s="147">
        <f>IF(DBDiskRPM3="--",0,VLOOKUP(DBDiskRPM3,TblDiskType,2,FALSE))</f>
        <v>50</v>
      </c>
      <c r="E59" s="455"/>
    </row>
    <row r="60" spans="1:5" ht="15.75" hidden="1" customHeight="1" outlineLevel="1" thickBot="1">
      <c r="A60" s="591"/>
      <c r="B60" s="568"/>
      <c r="C60" s="728"/>
      <c r="D60" s="119"/>
      <c r="E60" s="734"/>
    </row>
    <row r="61" spans="1:5" ht="15.75" hidden="1" customHeight="1" outlineLevel="1" thickBot="1">
      <c r="A61" s="700" t="s">
        <v>359</v>
      </c>
      <c r="B61" s="258" t="s">
        <v>663</v>
      </c>
      <c r="C61" s="258" t="s">
        <v>666</v>
      </c>
      <c r="D61" s="258" t="s">
        <v>667</v>
      </c>
      <c r="E61" s="734"/>
    </row>
    <row r="62" spans="1:5" ht="15.75" hidden="1" customHeight="1" outlineLevel="1">
      <c r="A62" s="349" t="s">
        <v>588</v>
      </c>
      <c r="B62" s="735">
        <f>IF(DBDiskSize1="--","--",ROUNDUP(RD0TotIOPS/(DBDiskIO1*DBDiskIOCap1),0))</f>
        <v>10</v>
      </c>
      <c r="C62" s="735">
        <f>IF(DBDiskSize2="--","--",ROUNDUP(RD0TotIOPS/(DBDiskIO2*DBDiskIOCap2),0))</f>
        <v>12</v>
      </c>
      <c r="D62" s="735">
        <f>IF(DBDiskSize3="--","--",ROUNDUP(RD0TotIOPS/(DBDiskIO3*DBDiskIOCap3),0))</f>
        <v>31</v>
      </c>
      <c r="E62" s="734"/>
    </row>
    <row r="63" spans="1:5" ht="15.75" hidden="1" customHeight="1" outlineLevel="1">
      <c r="A63" s="349" t="s">
        <v>589</v>
      </c>
      <c r="B63" s="460">
        <f>IF(DBDiskSize1="--","--",CEILING(ROUNDUP(ReqRD10TotIOPS/(DBDiskIO1*DBDiskIOCap1),0),VLOOKUP(RAID10Type,tblRAID10Types,4,FALSE)))</f>
        <v>22</v>
      </c>
      <c r="C63" s="460">
        <f>IF(DBDiskSize2="--","--",CEILING(ROUNDUP(ReqRD10TotIOPS/(DBDiskIO2*DBDiskIOCap2),0),VLOOKUP(RAID10Type,tblRAID10Types,4,FALSE)))</f>
        <v>28</v>
      </c>
      <c r="D63" s="460">
        <f>IF(DBDiskSize3="--","--",CEILING(ROUNDUP(ReqRD10TotIOPS/(DBDiskIO3*DBDiskIOCap3),0),VLOOKUP(RAID10Type,tblRAID10Types,4,FALSE)))</f>
        <v>70</v>
      </c>
      <c r="E63" s="734"/>
    </row>
    <row r="64" spans="1:5" ht="15.75" hidden="1" customHeight="1" outlineLevel="1">
      <c r="A64" s="349" t="s">
        <v>590</v>
      </c>
      <c r="B64" s="736">
        <f>IF(DBDiskSize1="--","--",CEILING(ROUNDUP(ReqRD5TotIOPS/(DBDiskIO1*DBDiskIOCap1),0),VLOOKUP(RAID5Type,TblRAID5Types,4,FALSE)))</f>
        <v>50</v>
      </c>
      <c r="C64" s="736">
        <f>IF(DBDiskSize2="--","--",CEILING(ROUNDUP(ReqRD5TotIOPS/(DBDiskIO2*DBDiskIOCap2),0),VLOOKUP(RAID5Type,TblRAID5Types,4,FALSE)))</f>
        <v>60</v>
      </c>
      <c r="D64" s="736">
        <f>IF(DBDiskSize3="--","--",CEILING(ROUNDUP(ReqRD5TotIOPS/(DBDiskIO3*DBDiskIOCap3),0),VLOOKUP(RAID5Type,TblRAID5Types,4,FALSE)))</f>
        <v>150</v>
      </c>
      <c r="E64" s="734"/>
    </row>
    <row r="65" spans="1:6" ht="15.75" hidden="1" customHeight="1" outlineLevel="1" thickBot="1">
      <c r="A65" s="741" t="s">
        <v>591</v>
      </c>
      <c r="B65" s="737">
        <f>IF(DBDiskSize1="--","--",CEILING(ROUNDUP(ReqRD6TotIOPS/(DBDiskIO1*DBDiskIOCap1),0),VLOOKUP(RAID6Type,TblRAID6Types,4,FALSE)))</f>
        <v>64</v>
      </c>
      <c r="C65" s="737">
        <f>IF(DBDiskSize2="--","--",CEILING(ROUNDUP(ReqRD6TotIOPS/(DBDiskIO2*DBDiskIOCap2),0),VLOOKUP(RAID6Type,TblRAID6Types,4,FALSE)))</f>
        <v>80</v>
      </c>
      <c r="D65" s="737">
        <f>IF(DBDiskSize3="--","--",CEILING(ROUNDUP(ReqRD6TotIOPS/(DBDiskIO3*DBDiskIOCap3),0),VLOOKUP(RAID6Type,TblRAID6Types,4,FALSE)))</f>
        <v>208</v>
      </c>
      <c r="E65" s="734"/>
    </row>
    <row r="66" spans="1:6" ht="15.75" hidden="1" customHeight="1" outlineLevel="1">
      <c r="A66" s="146" t="s">
        <v>559</v>
      </c>
      <c r="B66" s="743">
        <f>IF(DBDiskSize1="--",0,ROUNDUP((TotSGLUNSpace/DBForDiskCap1),0))</f>
        <v>98</v>
      </c>
      <c r="C66" s="113">
        <f>IF(DBDiskSize2="--",0,ROUNDUP((TotSGLUNSpace/DBForDiskCap2),0))</f>
        <v>48</v>
      </c>
      <c r="D66" s="743">
        <f>IF(DBDiskSize3="--",0,ROUNDUP((TotSGLUNSpace/DBForDiskCap3),0))</f>
        <v>29</v>
      </c>
      <c r="E66" s="734"/>
    </row>
    <row r="67" spans="1:6" ht="15.75" hidden="1" customHeight="1" outlineLevel="1">
      <c r="A67" s="346" t="s">
        <v>584</v>
      </c>
      <c r="B67" s="742">
        <f>CEILING(NumDBDiskCap1,VLOOKUP(RAID10Type,tblRAID10Types,2,FALSE))+((CEILING(NumDBDiskCap1,VLOOKUP(RAID10Type,tblRAID10Types,2,FALSE))/VLOOKUP(RAID10Type,tblRAID10Types,2,FALSE))*VLOOKUP(RAID10Type,tblRAID10Types,3,FALSE))</f>
        <v>196</v>
      </c>
      <c r="C67" s="411">
        <f>CEILING(NumDBDiskCap2,VLOOKUP(RAID10Type,tblRAID10Types,2,FALSE))+((CEILING(NumDBDiskCap2,VLOOKUP(RAID10Type,tblRAID10Types,2,FALSE))/VLOOKUP(RAID10Type,tblRAID10Types,2,FALSE))*VLOOKUP(RAID10Type,tblRAID10Types,3,FALSE))</f>
        <v>96</v>
      </c>
      <c r="D67" s="742">
        <f>CEILING(NumDBDiskCap3,VLOOKUP(RAID10Type,tblRAID10Types,2,FALSE))+((CEILING(NumDBDiskCap3,VLOOKUP(RAID10Type,tblRAID10Types,2,FALSE))/VLOOKUP(RAID10Type,tblRAID10Types,2,FALSE))*VLOOKUP(RAID10Type,tblRAID10Types,3,FALSE))</f>
        <v>58</v>
      </c>
      <c r="E67" s="734"/>
    </row>
    <row r="68" spans="1:6" ht="15.75" hidden="1" customHeight="1" outlineLevel="1">
      <c r="A68" s="346" t="s">
        <v>585</v>
      </c>
      <c r="B68" s="496">
        <f>CEILING(NumDBDiskCap1,VLOOKUP(RAID5Type,TblRAID5Types,2,FALSE))+((CEILING(NumDBDiskCap1,VLOOKUP(RAID5Type,TblRAID5Types,2,FALSE))/VLOOKUP(RAID5Type,TblRAID5Types,2,FALSE))*VLOOKUP(RAID5Type,TblRAID5Types,3,FALSE))</f>
        <v>125</v>
      </c>
      <c r="C68" s="496">
        <f>CEILING(NumDBDiskCap2,VLOOKUP(RAID5Type,TblRAID5Types,2,FALSE))+((CEILING(NumDBDiskCap2,VLOOKUP(RAID5Type,TblRAID5Types,2,FALSE))/VLOOKUP(RAID5Type,TblRAID5Types,2,FALSE))*VLOOKUP(RAID5Type,TblRAID5Types,3,FALSE))</f>
        <v>60</v>
      </c>
      <c r="D68" s="496">
        <f>CEILING(NumDBDiskCap3,VLOOKUP(RAID5Type,TblRAID5Types,2,FALSE))+((CEILING(NumDBDiskCap3,VLOOKUP(RAID5Type,TblRAID5Types,2,FALSE))/VLOOKUP(RAID5Type,TblRAID5Types,2,FALSE))*VLOOKUP(RAID5Type,TblRAID5Types,3,FALSE))</f>
        <v>40</v>
      </c>
      <c r="E68" s="734"/>
    </row>
    <row r="69" spans="1:6" ht="15.75" hidden="1" customHeight="1" outlineLevel="1" thickBot="1">
      <c r="A69" s="357" t="s">
        <v>586</v>
      </c>
      <c r="B69" s="497">
        <f>CEILING(NumDBDiskCap1,VLOOKUP(RAID6Type,TblRAID6Types,2,FALSE))+((CEILING(NumDBDiskCap1,VLOOKUP(RAID6Type,TblRAID6Types,2,FALSE))/VLOOKUP(RAID6Type,TblRAID6Types,2,FALSE))*VLOOKUP(RAID6Type,TblRAID6Types,3,FALSE))</f>
        <v>136</v>
      </c>
      <c r="C69" s="497">
        <f>CEILING(NumDBDiskCap2,VLOOKUP(RAID6Type,TblRAID6Types,2,FALSE))+((CEILING(NumDBDiskCap2,VLOOKUP(RAID6Type,TblRAID6Types,2,FALSE))/VLOOKUP(RAID6Type,TblRAID6Types,2,FALSE))*VLOOKUP(RAID6Type,TblRAID6Types,3,FALSE))</f>
        <v>64</v>
      </c>
      <c r="D69" s="497">
        <f>CEILING(NumDBDiskCap3,VLOOKUP(RAID6Type,TblRAID6Types,2,FALSE))+((CEILING(NumDBDiskCap3,VLOOKUP(RAID6Type,TblRAID6Types,2,FALSE))/VLOOKUP(RAID6Type,TblRAID6Types,2,FALSE))*VLOOKUP(RAID6Type,TblRAID6Types,3,FALSE))</f>
        <v>40</v>
      </c>
      <c r="E69" s="734"/>
    </row>
    <row r="70" spans="1:6" ht="15.75" hidden="1" customHeight="1" outlineLevel="1" thickBot="1">
      <c r="A70" s="761" t="s">
        <v>587</v>
      </c>
      <c r="B70" s="82"/>
      <c r="C70" s="728"/>
      <c r="D70" s="82"/>
      <c r="E70" s="90"/>
    </row>
    <row r="71" spans="1:6" ht="16.5" hidden="1" customHeight="1" outlineLevel="1" thickBot="1">
      <c r="A71" s="700" t="s">
        <v>357</v>
      </c>
      <c r="B71" s="258" t="s">
        <v>663</v>
      </c>
      <c r="C71" s="258" t="s">
        <v>666</v>
      </c>
      <c r="D71" s="258" t="s">
        <v>667</v>
      </c>
      <c r="E71" s="672"/>
    </row>
    <row r="72" spans="1:6" ht="15.75" hidden="1" customHeight="1" outlineLevel="1">
      <c r="A72" s="360" t="s">
        <v>3</v>
      </c>
      <c r="B72" s="118">
        <f>IF(LogDiskSize1="--",0,VLOOKUP(LogDiskSize1,tblDiskCapacity,2,FALSE))</f>
        <v>146</v>
      </c>
      <c r="C72" s="118">
        <f>IF(LogDiskSize2="--",0,VLOOKUP(LogDiskSize2,tblDiskCapacity,2,FALSE))</f>
        <v>300</v>
      </c>
      <c r="D72" s="118">
        <f>IF(LogDiskSize3="--",0,VLOOKUP(LogDiskSize3,tblDiskCapacity,2,FALSE))</f>
        <v>500</v>
      </c>
      <c r="E72" s="672"/>
    </row>
    <row r="73" spans="1:6" ht="15" hidden="1" customHeight="1" outlineLevel="1">
      <c r="A73" s="346" t="s">
        <v>4</v>
      </c>
      <c r="B73" s="451">
        <f>LogRawDiskCap1*0.917</f>
        <v>133.88200000000001</v>
      </c>
      <c r="C73" s="451">
        <f>LogRawDiskCap2*0.917</f>
        <v>275.10000000000002</v>
      </c>
      <c r="D73" s="451">
        <f>LogRawDiskCap3*0.917</f>
        <v>458.5</v>
      </c>
      <c r="E73" s="672"/>
    </row>
    <row r="74" spans="1:6" ht="15.75" hidden="1" customHeight="1" outlineLevel="1" thickBot="1">
      <c r="A74" s="100" t="s">
        <v>15</v>
      </c>
      <c r="B74" s="834">
        <v>1</v>
      </c>
      <c r="C74" s="834">
        <v>1</v>
      </c>
      <c r="D74" s="836">
        <v>1</v>
      </c>
      <c r="E74" s="672"/>
    </row>
    <row r="75" spans="1:6" ht="15.75" hidden="1" customHeight="1" outlineLevel="1" thickBot="1">
      <c r="A75" s="633"/>
      <c r="B75" s="835"/>
      <c r="C75" s="92"/>
      <c r="D75" s="738"/>
      <c r="E75" s="133"/>
    </row>
    <row r="76" spans="1:6" ht="15.75" hidden="1" customHeight="1" outlineLevel="1" thickBot="1">
      <c r="A76" s="700" t="s">
        <v>177</v>
      </c>
      <c r="B76" s="258" t="s">
        <v>663</v>
      </c>
      <c r="C76" s="258" t="s">
        <v>666</v>
      </c>
      <c r="D76" s="258" t="s">
        <v>667</v>
      </c>
      <c r="E76" s="133"/>
    </row>
    <row r="77" spans="1:6" customFormat="1" ht="15.75" hidden="1" customHeight="1" outlineLevel="1">
      <c r="A77" s="146" t="s">
        <v>572</v>
      </c>
      <c r="B77" s="713">
        <f>IF(OR(DBDiskSize1="--",LogDiskSize1="--"),"--",ROUNDUP(LogR0IOPS/(300*LogDiskIOCap1),0))</f>
        <v>3</v>
      </c>
      <c r="C77" s="713">
        <f>IF(OR(DBDiskSize2="--",LogDiskSize2="--"),"--",ROUNDUP(LogR0IOPS/(300*LogDiskIOCap2),0))</f>
        <v>3</v>
      </c>
      <c r="D77" s="713">
        <f>IF(OR(DBDiskSize3="--",LogDiskSize3="--"),"--",ROUNDUP(LogR0IOPS/(300*LogDiskIOCap2),0))</f>
        <v>3</v>
      </c>
      <c r="E77" s="74"/>
      <c r="F77" s="654"/>
    </row>
    <row r="78" spans="1:6" ht="15.75" hidden="1" customHeight="1" outlineLevel="1" thickBot="1">
      <c r="A78" s="357" t="s">
        <v>559</v>
      </c>
      <c r="B78" s="714">
        <f>IF(OR(DBDiskSize1="--",LogDiskSize1="--"),0,ROUNDUP(TotLOGLUNSpace/LogForDiskCap1,0))</f>
        <v>7</v>
      </c>
      <c r="C78" s="714">
        <f>IF(OR(DBDiskSize2="--",LogDiskSize2="--"),0,ROUNDUP(TotLOGLUNSpace/LogForDiskCap2,0))</f>
        <v>4</v>
      </c>
      <c r="D78" s="715">
        <f>IF(OR(DBDiskSize3="--",LogDiskSize3="--"),0,ROUNDUP(TotLOGLUNSpace/LogForDiskCap3,0))</f>
        <v>2</v>
      </c>
      <c r="E78" s="133"/>
    </row>
    <row r="79" spans="1:6" ht="15.75" hidden="1" customHeight="1" outlineLevel="1">
      <c r="A79" s="360" t="s">
        <v>216</v>
      </c>
      <c r="B79" s="558">
        <f>IF(OR(DBDiskSize1="--",LogDiskSize1="--"),0,CEILING(NumLogDiskCap1,VLOOKUP(RAID10Type,tblRAID10Types,2,FALSE))+((CEILING(NumLogDiskCap1,VLOOKUP(RAID10Type,tblRAID10Types,2,FALSE))/VLOOKUP(RAID10Type,tblRAID10Types,2,FALSE))*VLOOKUP(RAID10Type,tblRAID10Types,3,FALSE)))</f>
        <v>14</v>
      </c>
      <c r="C79" s="558">
        <f>IF(OR(DBDiskSize2="--",LogDiskSize2="--"),0,CEILING(NumLogDiskCap2,VLOOKUP(RAID10Type,tblRAID10Types,2,FALSE))+((CEILING(NumLogDiskCap2,VLOOKUP(RAID10Type,tblRAID10Types,2,FALSE))/VLOOKUP(RAID10Type,tblRAID10Types,2,FALSE))*VLOOKUP(RAID10Type,tblRAID10Types,3,FALSE)))</f>
        <v>8</v>
      </c>
      <c r="D79" s="558">
        <f>IF(OR(DBDiskSize3="--",LogDiskSize3="--"),0,CEILING(NumLogDiskCap3,VLOOKUP(RAID10Type,tblRAID10Types,2,FALSE))+((CEILING(NumLogDiskCap3,VLOOKUP(RAID10Type,tblRAID10Types,2,FALSE))/VLOOKUP(RAID10Type,tblRAID10Types,2,FALSE))*VLOOKUP(RAID10Type,tblRAID10Types,3,FALSE)))</f>
        <v>4</v>
      </c>
      <c r="E79" s="133"/>
    </row>
    <row r="80" spans="1:6" ht="15.75" hidden="1" customHeight="1" outlineLevel="1" thickBot="1">
      <c r="A80" s="148" t="s">
        <v>215</v>
      </c>
      <c r="B80" s="716">
        <f>IF(OR(DBDiskSize1="--",LogDiskSize1="--"),"--",CEILING(ROUNDUP(ReqLogR10IOPS/(300*LogDiskIOCap1),0),VLOOKUP(RAID10Type,tblRAID10Types,4,FALSE)))</f>
        <v>6</v>
      </c>
      <c r="C80" s="716">
        <f>IF(OR(DBDiskSize2="--",LogDiskSize2="--"),"--",CEILING(ROUNDUP(ReqLogR10IOPS/(300*LogDiskIOCap2),0),VLOOKUP(RAID10Type,tblRAID10Types,4,FALSE)))</f>
        <v>6</v>
      </c>
      <c r="D80" s="716">
        <f>IF(OR(DBDiskSize3="--",LogDiskSize3="--"),"--",CEILING(ROUNDUP(ReqLogR10IOPS/(300*LogDiskIOCap3),0),VLOOKUP(RAID10Type,tblRAID10Types,4,FALSE)))</f>
        <v>6</v>
      </c>
      <c r="E80" s="133"/>
    </row>
    <row r="81" spans="1:5" ht="15.75" hidden="1" customHeight="1" outlineLevel="1" thickBot="1">
      <c r="A81" s="762"/>
      <c r="B81" s="739"/>
      <c r="C81" s="92"/>
      <c r="D81" s="738"/>
      <c r="E81" s="133"/>
    </row>
    <row r="82" spans="1:5" ht="15.75" hidden="1" customHeight="1" outlineLevel="1" thickBot="1">
      <c r="A82" s="700" t="s">
        <v>356</v>
      </c>
      <c r="B82" s="258" t="s">
        <v>663</v>
      </c>
      <c r="C82" s="258" t="s">
        <v>666</v>
      </c>
      <c r="D82" s="258" t="s">
        <v>667</v>
      </c>
      <c r="E82" s="133"/>
    </row>
    <row r="83" spans="1:5" ht="15.75" hidden="1" customHeight="1" outlineLevel="1">
      <c r="A83" s="360" t="s">
        <v>3</v>
      </c>
      <c r="B83" s="118">
        <f>IF(ResDiskSize1="--",0,VLOOKUP(ResDiskSize1,tblDiskCapacity,2,FALSE))</f>
        <v>500</v>
      </c>
      <c r="C83" s="118">
        <f>IF(ResDiskSize2="--",0,VLOOKUP(ResDiskSize2,tblDiskCapacity,2,FALSE))</f>
        <v>500</v>
      </c>
      <c r="D83" s="118">
        <f>IF(ResDiskSize3="--",0,VLOOKUP(ResDiskSize3,tblDiskCapacity,2,FALSE))</f>
        <v>500</v>
      </c>
      <c r="E83" s="133"/>
    </row>
    <row r="84" spans="1:5" ht="15.75" hidden="1" customHeight="1" outlineLevel="1">
      <c r="A84" s="346" t="s">
        <v>4</v>
      </c>
      <c r="B84" s="451">
        <f>ResRawDiskCap1*0.917</f>
        <v>458.5</v>
      </c>
      <c r="C84" s="451">
        <f>ResRawDiskCap2*0.917</f>
        <v>458.5</v>
      </c>
      <c r="D84" s="451">
        <f>ResRawDiskCap3*0.917</f>
        <v>458.5</v>
      </c>
      <c r="E84" s="133"/>
    </row>
    <row r="85" spans="1:5" ht="15.75" hidden="1" customHeight="1" outlineLevel="1">
      <c r="A85" s="100" t="s">
        <v>15</v>
      </c>
      <c r="B85" s="733">
        <v>1</v>
      </c>
      <c r="C85" s="733">
        <v>1</v>
      </c>
      <c r="D85" s="733">
        <v>1</v>
      </c>
      <c r="E85" s="133"/>
    </row>
    <row r="86" spans="1:5" ht="15.75" hidden="1" customHeight="1" outlineLevel="1" thickBot="1">
      <c r="A86" s="357" t="s">
        <v>248</v>
      </c>
      <c r="B86" s="147">
        <f>VLOOKUP(ResDiskRPM1,TblDiskType,2,FALSE)</f>
        <v>50</v>
      </c>
      <c r="C86" s="147">
        <f>VLOOKUP(ResDiskRPM2,TblDiskType,2,FALSE)</f>
        <v>50</v>
      </c>
      <c r="D86" s="147">
        <f>VLOOKUP(ResDiskRPM3,TblDiskType,2,FALSE)</f>
        <v>50</v>
      </c>
      <c r="E86" s="133"/>
    </row>
    <row r="87" spans="1:5" ht="15.75" hidden="1" customHeight="1" outlineLevel="1" thickBot="1">
      <c r="A87" s="591"/>
      <c r="B87" s="568"/>
      <c r="C87" s="196"/>
      <c r="D87" s="738"/>
      <c r="E87" s="133"/>
    </row>
    <row r="88" spans="1:5" ht="15.75" hidden="1" customHeight="1" outlineLevel="1" thickBot="1">
      <c r="A88" s="700" t="s">
        <v>358</v>
      </c>
      <c r="B88" s="258" t="s">
        <v>663</v>
      </c>
      <c r="C88" s="258" t="s">
        <v>666</v>
      </c>
      <c r="D88" s="258" t="s">
        <v>667</v>
      </c>
      <c r="E88" s="133"/>
    </row>
    <row r="89" spans="1:5" ht="15.75" hidden="1" customHeight="1" outlineLevel="1">
      <c r="A89" s="350" t="s">
        <v>559</v>
      </c>
      <c r="B89" s="721">
        <f>IF(OR(DBDiskSize1="--",ResDiskSize1="--"),0,ROUNDUP(RestoreLUNSize/ResDiskForCap1,0))</f>
        <v>5</v>
      </c>
      <c r="C89" s="721">
        <f>IF(OR(DBDiskSize2="--",ResDiskSize2="--"),0,ROUNDUP(RestoreLUNSize/ResDiskForCap2,0))</f>
        <v>5</v>
      </c>
      <c r="D89" s="722">
        <f>IF(OR(DBDiskSize3="--",ResDiskSize3="--"),0,ROUNDUP(RestoreLUNSize/ResDiskForCap3,0))</f>
        <v>5</v>
      </c>
      <c r="E89" s="133"/>
    </row>
    <row r="90" spans="1:5" ht="15.75" hidden="1" customHeight="1" outlineLevel="1">
      <c r="A90" s="591" t="s">
        <v>573</v>
      </c>
      <c r="B90" s="723">
        <f>IF(RestoreLUN="Yes",IF(OR(DBDiskSize1="--",ResDiskSize1="--"),0,CEILING(ResLUNDiskCap1,VLOOKUP(RAID10Type,tblRAID10Types,2,FALSE))+((CEILING(ResLUNDiskCap1,VLOOKUP(RAID10Type,tblRAID10Types,2,FALSE))/VLOOKUP(RAID10Type,tblRAID10Types,2,FALSE))*VLOOKUP(RAID10Type,tblRAID10Types,3,FALSE))),0)</f>
        <v>10</v>
      </c>
      <c r="C90" s="723">
        <f>IF(RestoreLUN="Yes",IF(OR(DBDiskSize2="--",ResDiskSize2="--"),0,CEILING(ResLUNDiskCap2,VLOOKUP(RAID10Type,tblRAID10Types,2,FALSE))+((CEILING(ResLUNDiskCap2,VLOOKUP(RAID10Type,tblRAID10Types,2,FALSE))/VLOOKUP(RAID10Type,tblRAID10Types,2,FALSE))*VLOOKUP(RAID10Type,tblRAID10Types,3,FALSE))),0)</f>
        <v>10</v>
      </c>
      <c r="D90" s="723">
        <f>IF(RestoreLUN="Yes",IF(OR(DBDiskSize3="--",ResDiskSize3="--"),0,CEILING(ResLUNDiskCap3,VLOOKUP(RAID10Type,tblRAID10Types,2,FALSE))+((CEILING(ResLUNDiskCap3,VLOOKUP(RAID10Type,tblRAID10Types,2,FALSE))/VLOOKUP(RAID10Type,tblRAID10Types,2,FALSE))*VLOOKUP(RAID10Type,tblRAID10Types,3,FALSE))),0)</f>
        <v>10</v>
      </c>
      <c r="E90" s="133"/>
    </row>
    <row r="91" spans="1:5" ht="15.75" hidden="1" customHeight="1" outlineLevel="1">
      <c r="A91" s="701" t="s">
        <v>139</v>
      </c>
      <c r="B91" s="702">
        <f>IF(RestoreLUN="Yes",IF(OR(DBDiskSize1="--",ResDiskSize1="--"),0,CEILING(ResLUNDiskCap1,VLOOKUP(RAID5Type,TblRAID5Types,2,FALSE))+((CEILING(ResLUNDiskCap1,VLOOKUP(RAID5Type,TblRAID5Types,2,FALSE))/VLOOKUP(RAID5Type,TblRAID5Types,2,FALSE))*VLOOKUP(RAID5Type,TblRAID5Types,3,FALSE))),0)</f>
        <v>10</v>
      </c>
      <c r="C91" s="703">
        <f>IF(RestoreLUN="Yes",IF(OR(DBDiskSize2="--",ResDiskSize2="--"),0,CEILING(ResLUNDiskCap2,VLOOKUP(RAID5Type,TblRAID5Types,2,FALSE))+((CEILING(ResLUNDiskCap2,VLOOKUP(RAID5Type,TblRAID5Types,2,FALSE))/VLOOKUP(RAID5Type,TblRAID5Types,2,FALSE))*VLOOKUP(RAID5Type,TblRAID5Types,3,FALSE))),0)</f>
        <v>10</v>
      </c>
      <c r="D91" s="702">
        <f>IF(RestoreLUN="Yes",IF(OR(DBDiskSize3="--",ResDiskSize3="--"),0,CEILING(ResLUNDiskCap3,VLOOKUP(RAID5Type,TblRAID5Types,2,FALSE))+((CEILING(ResLUNDiskCap3,VLOOKUP(RAID5Type,TblRAID5Types,2,FALSE))/VLOOKUP(RAID5Type,TblRAID5Types,2,FALSE))*VLOOKUP(RAID5Type,TblRAID5Types,3,FALSE))),0)</f>
        <v>10</v>
      </c>
      <c r="E91" s="133"/>
    </row>
    <row r="92" spans="1:5" ht="15.75" hidden="1" customHeight="1" outlineLevel="1" thickBot="1">
      <c r="A92" s="704" t="s">
        <v>574</v>
      </c>
      <c r="B92" s="560">
        <f>IF(RestoreLUN="Yes",IF(OR(DBDiskSize1="--",ResDiskSize1="--"),0,CEILING(ResLUNDiskCap1,VLOOKUP(RAID6Type,TblRAID6Types,2,FALSE))+((CEILING(ResLUNDiskCap1,VLOOKUP(RAID6Type,TblRAID6Types,2,FALSE))/VLOOKUP(RAID6Type,TblRAID6Types,2,FALSE))*VLOOKUP(RAID6Type,TblRAID6Types,3,FALSE))),0)</f>
        <v>8</v>
      </c>
      <c r="C92" s="560">
        <f>IF(RestoreLUN="Yes",IF(OR(DBDiskSize2="--",ResDiskSize2="--"),0,CEILING(ResLUNDiskCap2,VLOOKUP(RAID6Type,TblRAID6Types,2,FALSE))+((CEILING(ResLUNDiskCap2,VLOOKUP(RAID6Type,TblRAID6Types,2,FALSE))/VLOOKUP(RAID6Type,TblRAID6Types,2,FALSE))*VLOOKUP(RAID6Type,TblRAID6Types,3,FALSE))),0)</f>
        <v>8</v>
      </c>
      <c r="D92" s="560">
        <f>IF(RestoreLUN="Yes",IF(OR(DBDiskSize3="--",ResDiskSize3="--"),0,CEILING(ResLUNDiskCap3,VLOOKUP(RAID6Type,TblRAID6Types,2,FALSE))+((CEILING(ResLUNDiskCap3,VLOOKUP(RAID6Type,TblRAID6Types,2,FALSE))/VLOOKUP(RAID6Type,TblRAID6Types,2,FALSE))*VLOOKUP(RAID6Type,TblRAID6Types,3,FALSE))),0)</f>
        <v>8</v>
      </c>
      <c r="E92" s="740"/>
    </row>
    <row r="93" spans="1:5" ht="15.75" hidden="1" customHeight="1" outlineLevel="1" thickBot="1">
      <c r="A93" s="591"/>
      <c r="B93" s="568"/>
      <c r="C93" s="568"/>
      <c r="D93" s="568"/>
      <c r="E93" s="133"/>
    </row>
    <row r="94" spans="1:5" ht="15.75" hidden="1" customHeight="1" outlineLevel="1" thickBot="1">
      <c r="A94" s="557" t="s">
        <v>570</v>
      </c>
      <c r="B94" s="258" t="s">
        <v>663</v>
      </c>
      <c r="C94" s="258" t="s">
        <v>666</v>
      </c>
      <c r="D94" s="258" t="s">
        <v>667</v>
      </c>
      <c r="E94" s="133"/>
    </row>
    <row r="95" spans="1:5" ht="15.75" hidden="1" customHeight="1" outlineLevel="1">
      <c r="A95" s="462" t="s">
        <v>562</v>
      </c>
      <c r="B95" s="679">
        <f>NumDBDiskIOR01</f>
        <v>10</v>
      </c>
      <c r="C95" s="679">
        <f>NumDBDiskIOR02</f>
        <v>12</v>
      </c>
      <c r="D95" s="679">
        <f>NumDBDiskIOR03</f>
        <v>31</v>
      </c>
      <c r="E95" s="133"/>
    </row>
    <row r="96" spans="1:5" ht="15.75" hidden="1" customHeight="1" outlineLevel="1" thickBot="1">
      <c r="A96" s="711" t="s">
        <v>563</v>
      </c>
      <c r="B96" s="684">
        <f>NumDBDiskCap1</f>
        <v>98</v>
      </c>
      <c r="C96" s="684">
        <f>NumDBDiskCap2</f>
        <v>48</v>
      </c>
      <c r="D96" s="684">
        <f>NumDBDiskCap3</f>
        <v>29</v>
      </c>
      <c r="E96" s="133"/>
    </row>
    <row r="97" spans="1:7" ht="15.75" hidden="1" customHeight="1" outlineLevel="1">
      <c r="A97" s="712" t="s">
        <v>564</v>
      </c>
      <c r="B97" s="679">
        <f>NumDBDiskIOR101</f>
        <v>22</v>
      </c>
      <c r="C97" s="679">
        <f>NumDBDiskIOR102</f>
        <v>28</v>
      </c>
      <c r="D97" s="679">
        <f>NumDBDiskIOR103</f>
        <v>70</v>
      </c>
      <c r="E97" s="133"/>
    </row>
    <row r="98" spans="1:7" ht="15.75" hidden="1" customHeight="1" outlineLevel="1" thickBot="1">
      <c r="A98" s="763" t="s">
        <v>565</v>
      </c>
      <c r="B98" s="684">
        <f>NumDBDiskCapR101</f>
        <v>196</v>
      </c>
      <c r="C98" s="684">
        <f>NumDBDiskCapR102</f>
        <v>96</v>
      </c>
      <c r="D98" s="684">
        <f>NumDBDiskCapR103</f>
        <v>58</v>
      </c>
      <c r="E98" s="133"/>
    </row>
    <row r="99" spans="1:7" ht="15.75" hidden="1" customHeight="1" outlineLevel="1">
      <c r="A99" s="462" t="s">
        <v>566</v>
      </c>
      <c r="B99" s="679">
        <f>NumDBDiskIOR51</f>
        <v>50</v>
      </c>
      <c r="C99" s="679">
        <f>NumDBDiskIOR52</f>
        <v>60</v>
      </c>
      <c r="D99" s="679">
        <f>NumDBDiskIOR53</f>
        <v>150</v>
      </c>
      <c r="E99" s="133"/>
    </row>
    <row r="100" spans="1:7" ht="15.75" hidden="1" customHeight="1" outlineLevel="1" thickBot="1">
      <c r="A100" s="711" t="s">
        <v>567</v>
      </c>
      <c r="B100" s="684">
        <f>NumDBDiskCapR51</f>
        <v>125</v>
      </c>
      <c r="C100" s="684">
        <f>NumDBDiskCapR52</f>
        <v>60</v>
      </c>
      <c r="D100" s="684">
        <f>NumDBDiskCapR53</f>
        <v>40</v>
      </c>
      <c r="E100" s="133"/>
    </row>
    <row r="101" spans="1:7" ht="15.75" hidden="1" customHeight="1" outlineLevel="1">
      <c r="A101" s="462" t="s">
        <v>568</v>
      </c>
      <c r="B101" s="679">
        <f>NumDBDiskIOR61</f>
        <v>64</v>
      </c>
      <c r="C101" s="679">
        <f>NumDBDiskIOR62</f>
        <v>80</v>
      </c>
      <c r="D101" s="679">
        <f>NumDBDiskIOR63</f>
        <v>208</v>
      </c>
      <c r="E101" s="133"/>
    </row>
    <row r="102" spans="1:7" ht="15.75" hidden="1" customHeight="1" outlineLevel="1" thickBot="1">
      <c r="A102" s="711" t="s">
        <v>569</v>
      </c>
      <c r="B102" s="684">
        <f>NumDBDiskCapR61</f>
        <v>136</v>
      </c>
      <c r="C102" s="684">
        <f>NumDBDiskCapR62</f>
        <v>64</v>
      </c>
      <c r="D102" s="684">
        <f>NumDBDiskCapR63</f>
        <v>40</v>
      </c>
      <c r="E102" s="133"/>
    </row>
    <row r="103" spans="1:7" ht="15.75" hidden="1" customHeight="1" outlineLevel="1" thickBot="1">
      <c r="A103" s="462"/>
      <c r="B103" s="705"/>
      <c r="C103" s="705"/>
      <c r="D103" s="705"/>
      <c r="E103" s="133"/>
    </row>
    <row r="104" spans="1:7" ht="15.75" hidden="1" customHeight="1" outlineLevel="1" thickBot="1">
      <c r="A104" s="557" t="s">
        <v>571</v>
      </c>
      <c r="B104" s="258" t="s">
        <v>663</v>
      </c>
      <c r="C104" s="258" t="s">
        <v>666</v>
      </c>
      <c r="D104" s="258" t="s">
        <v>667</v>
      </c>
      <c r="E104" s="133"/>
    </row>
    <row r="105" spans="1:7" ht="15.75" hidden="1" customHeight="1" outlineLevel="1">
      <c r="A105" s="462" t="s">
        <v>562</v>
      </c>
      <c r="B105" s="679">
        <f>NumLogDiskIOR01</f>
        <v>3</v>
      </c>
      <c r="C105" s="679">
        <f>NumLogDiskIOR02</f>
        <v>3</v>
      </c>
      <c r="D105" s="679">
        <f>NumLogDiskIOR03</f>
        <v>3</v>
      </c>
      <c r="E105" s="133"/>
    </row>
    <row r="106" spans="1:7" ht="15.75" hidden="1" customHeight="1" outlineLevel="1" thickBot="1">
      <c r="A106" s="711" t="s">
        <v>563</v>
      </c>
      <c r="B106" s="684">
        <f>NumLogDiskCap1</f>
        <v>7</v>
      </c>
      <c r="C106" s="684">
        <f>NumLogDiskCap2</f>
        <v>4</v>
      </c>
      <c r="D106" s="684">
        <f>NumLogDiskCap3</f>
        <v>2</v>
      </c>
      <c r="E106" s="133"/>
    </row>
    <row r="107" spans="1:7" ht="15.75" hidden="1" customHeight="1" outlineLevel="1">
      <c r="A107" s="712" t="s">
        <v>564</v>
      </c>
      <c r="B107" s="682">
        <f>NumLogDiskR10IO1</f>
        <v>6</v>
      </c>
      <c r="C107" s="682">
        <f>NumLogDiskR10IO2</f>
        <v>6</v>
      </c>
      <c r="D107" s="682">
        <f>NumLogDiskR10IO3</f>
        <v>6</v>
      </c>
      <c r="E107" s="133"/>
    </row>
    <row r="108" spans="1:7" ht="15.75" hidden="1" customHeight="1" outlineLevel="1" thickBot="1">
      <c r="A108" s="763" t="s">
        <v>565</v>
      </c>
      <c r="B108" s="681">
        <f>NumLogDiskR10Cap1</f>
        <v>14</v>
      </c>
      <c r="C108" s="681">
        <f>NumLogDiskR10Cap2</f>
        <v>8</v>
      </c>
      <c r="D108" s="681">
        <f>NumLogDiskR10Cap3</f>
        <v>4</v>
      </c>
      <c r="E108" s="133"/>
    </row>
    <row r="109" spans="1:7" ht="15.75" hidden="1" customHeight="1" outlineLevel="1" thickBot="1">
      <c r="A109" s="462"/>
      <c r="B109" s="705"/>
      <c r="C109" s="705"/>
      <c r="D109" s="705"/>
      <c r="E109" s="133"/>
    </row>
    <row r="110" spans="1:7" ht="15.75" hidden="1" customHeight="1" outlineLevel="1" thickBot="1">
      <c r="A110" s="557" t="s">
        <v>576</v>
      </c>
      <c r="B110" s="557" t="s">
        <v>577</v>
      </c>
      <c r="C110" s="745" t="s">
        <v>578</v>
      </c>
      <c r="E110" s="133"/>
    </row>
    <row r="111" spans="1:7" ht="15.75" hidden="1" customHeight="1" outlineLevel="1">
      <c r="A111" s="713">
        <f>OptDBDisks1</f>
        <v>125</v>
      </c>
      <c r="B111" s="717" t="str">
        <f>OptDBRAIDConfig1</f>
        <v>RAID-5</v>
      </c>
      <c r="C111" s="718" t="s">
        <v>663</v>
      </c>
      <c r="E111" s="133"/>
    </row>
    <row r="112" spans="1:7" ht="15.75" hidden="1" customHeight="1" outlineLevel="1">
      <c r="A112" s="559">
        <f>OptDBDisks2</f>
        <v>60</v>
      </c>
      <c r="B112" s="685" t="str">
        <f>OptDBRAIDConfig2</f>
        <v>RAID-5</v>
      </c>
      <c r="C112" s="719" t="s">
        <v>666</v>
      </c>
      <c r="E112" s="133"/>
      <c r="G112" s="699"/>
    </row>
    <row r="113" spans="1:7" ht="15.75" hidden="1" customHeight="1" outlineLevel="1" thickBot="1">
      <c r="A113" s="560">
        <f>OptDBDisks3</f>
        <v>70</v>
      </c>
      <c r="B113" s="560" t="str">
        <f>OptDBRAIDConfig3</f>
        <v>RAID-1/0</v>
      </c>
      <c r="C113" s="849" t="s">
        <v>667</v>
      </c>
      <c r="E113" s="133"/>
    </row>
    <row r="114" spans="1:7" ht="15.75" hidden="1" customHeight="1" outlineLevel="1" thickBot="1">
      <c r="A114" s="252"/>
      <c r="B114" s="568"/>
      <c r="C114" s="568"/>
      <c r="E114" s="133"/>
    </row>
    <row r="115" spans="1:7" ht="15.75" hidden="1" customHeight="1" outlineLevel="1" thickBot="1">
      <c r="A115" s="557" t="s">
        <v>579</v>
      </c>
      <c r="B115" s="744" t="s">
        <v>580</v>
      </c>
      <c r="C115" s="744" t="s">
        <v>357</v>
      </c>
      <c r="E115" s="133"/>
    </row>
    <row r="116" spans="1:7" ht="15.75" hidden="1" customHeight="1" outlineLevel="1">
      <c r="A116" s="564">
        <f>OptLogDisks1</f>
        <v>14</v>
      </c>
      <c r="B116" s="713" t="str">
        <f>OptLogRAIDConfig1</f>
        <v>RAID-1/0</v>
      </c>
      <c r="C116" s="718" t="s">
        <v>663</v>
      </c>
      <c r="E116" s="133"/>
    </row>
    <row r="117" spans="1:7" ht="15.75" hidden="1" customHeight="1" outlineLevel="1">
      <c r="A117" s="764">
        <f>OptLogDisks2</f>
        <v>8</v>
      </c>
      <c r="B117" s="685" t="str">
        <f>OptLogRAIDConfig2</f>
        <v>RAID-1/0</v>
      </c>
      <c r="C117" s="719" t="s">
        <v>666</v>
      </c>
      <c r="E117" s="133"/>
    </row>
    <row r="118" spans="1:7" ht="15.75" hidden="1" customHeight="1" outlineLevel="1" thickBot="1">
      <c r="A118" s="560">
        <f>OptLogDisks3</f>
        <v>6</v>
      </c>
      <c r="B118" s="560" t="str">
        <f>OptLogRAIDConfig3</f>
        <v>RAID-1/0</v>
      </c>
      <c r="C118" s="849" t="s">
        <v>667</v>
      </c>
      <c r="E118" s="133"/>
    </row>
    <row r="119" spans="1:7" ht="15.75" hidden="1" customHeight="1" outlineLevel="1" thickBot="1">
      <c r="A119" s="252"/>
      <c r="B119" s="568"/>
      <c r="C119" s="568"/>
      <c r="E119" s="133"/>
    </row>
    <row r="120" spans="1:7" ht="15.75" hidden="1" customHeight="1" outlineLevel="1" thickBot="1">
      <c r="A120" s="841" t="s">
        <v>672</v>
      </c>
      <c r="B120" s="557" t="s">
        <v>581</v>
      </c>
      <c r="C120" s="557" t="s">
        <v>582</v>
      </c>
      <c r="E120" s="133"/>
    </row>
    <row r="121" spans="1:7" ht="15.75" hidden="1" customHeight="1" outlineLevel="1">
      <c r="A121" s="765">
        <f>OptRLDisks1</f>
        <v>10</v>
      </c>
      <c r="B121" s="717" t="str">
        <f>OptRLRAIDConfig1</f>
        <v>RAID-5</v>
      </c>
      <c r="C121" s="718" t="s">
        <v>663</v>
      </c>
      <c r="E121" s="133"/>
    </row>
    <row r="122" spans="1:7" ht="15.75" hidden="1" customHeight="1" outlineLevel="1">
      <c r="A122" s="564">
        <f>OptRLDisks2</f>
        <v>10</v>
      </c>
      <c r="B122" s="685" t="str">
        <f>OptRLRAIDConfig2</f>
        <v>RAID-5</v>
      </c>
      <c r="C122" s="719" t="s">
        <v>666</v>
      </c>
      <c r="E122" s="133"/>
    </row>
    <row r="123" spans="1:7" ht="15.75" hidden="1" customHeight="1" outlineLevel="1" thickBot="1">
      <c r="A123" s="560">
        <f>OptRLDisks3</f>
        <v>10</v>
      </c>
      <c r="B123" s="720" t="str">
        <f>OptRLRAIDConfig3</f>
        <v>RAID-5</v>
      </c>
      <c r="C123" s="849" t="s">
        <v>667</v>
      </c>
      <c r="E123" s="133"/>
    </row>
    <row r="124" spans="1:7" ht="15.75" hidden="1" outlineLevel="1" thickBot="1">
      <c r="A124" s="843"/>
      <c r="B124" s="150"/>
      <c r="C124" s="844"/>
      <c r="D124" s="82"/>
      <c r="E124" s="90"/>
      <c r="G124" s="110"/>
    </row>
    <row r="125" spans="1:7" ht="16.5" hidden="1" outlineLevel="1" thickBot="1">
      <c r="A125" s="841" t="s">
        <v>669</v>
      </c>
      <c r="B125" s="557" t="s">
        <v>576</v>
      </c>
      <c r="C125" s="557" t="s">
        <v>579</v>
      </c>
      <c r="D125" s="841" t="s">
        <v>672</v>
      </c>
      <c r="E125" s="557" t="s">
        <v>670</v>
      </c>
      <c r="G125" s="110"/>
    </row>
    <row r="126" spans="1:7" ht="15" hidden="1" outlineLevel="1">
      <c r="A126" s="713">
        <f>IF(DBDiskSize1="--","--",SUM(OptDBDisks1,OptLogDisks1,OptRLDisks1))</f>
        <v>149</v>
      </c>
      <c r="B126" s="713">
        <f>OptDBDisks1</f>
        <v>125</v>
      </c>
      <c r="C126" s="564">
        <f>OptLogDisks1</f>
        <v>14</v>
      </c>
      <c r="D126" s="713">
        <f>OptRLDisks1</f>
        <v>10</v>
      </c>
      <c r="E126" s="718" t="s">
        <v>663</v>
      </c>
      <c r="G126" s="110"/>
    </row>
    <row r="127" spans="1:7" ht="15" hidden="1" outlineLevel="1">
      <c r="A127" s="845">
        <f>IF(DBDiskSize2="--","--",SUM(OptDBDisks2,OptLogDisks2,OptRLDisks2))</f>
        <v>78</v>
      </c>
      <c r="B127" s="559">
        <f>OptDBDisks2</f>
        <v>60</v>
      </c>
      <c r="C127" s="764">
        <f>OptLogDisks2</f>
        <v>8</v>
      </c>
      <c r="D127" s="845">
        <f>OptRLDisks2</f>
        <v>10</v>
      </c>
      <c r="E127" s="719" t="s">
        <v>666</v>
      </c>
      <c r="G127" s="110"/>
    </row>
    <row r="128" spans="1:7" ht="15.75" hidden="1" outlineLevel="1" thickBot="1">
      <c r="A128" s="560">
        <f>IF(DBDiskSize3="--","--",SUM(OptDBDisks3,OptLogDisks3,OptRLDisks3))</f>
        <v>86</v>
      </c>
      <c r="B128" s="560">
        <f>OptDBDisks3</f>
        <v>70</v>
      </c>
      <c r="C128" s="560">
        <f>OptLogDisks3</f>
        <v>6</v>
      </c>
      <c r="D128" s="560">
        <f>OptRLDisks3</f>
        <v>10</v>
      </c>
      <c r="E128" s="849" t="s">
        <v>667</v>
      </c>
      <c r="G128" s="110"/>
    </row>
    <row r="129" spans="1:7" ht="15.75" collapsed="1" thickBot="1">
      <c r="A129" s="843"/>
      <c r="B129" s="150"/>
      <c r="C129" s="842"/>
      <c r="D129" s="82"/>
      <c r="E129" s="90"/>
      <c r="G129" s="110"/>
    </row>
    <row r="130" spans="1:7" ht="16.5" thickBot="1">
      <c r="A130" s="1114" t="s">
        <v>77</v>
      </c>
      <c r="B130" s="918"/>
      <c r="C130" s="918"/>
      <c r="D130" s="918"/>
      <c r="E130" s="919"/>
      <c r="F130" s="91"/>
      <c r="G130" s="151"/>
    </row>
    <row r="131" spans="1:7" customFormat="1" ht="13.5" thickBot="1">
      <c r="A131" s="760"/>
      <c r="E131" s="727"/>
    </row>
    <row r="132" spans="1:7" s="668" customFormat="1" ht="16.5" thickBot="1">
      <c r="A132" s="129" t="s">
        <v>699</v>
      </c>
      <c r="B132" s="746" t="s">
        <v>663</v>
      </c>
      <c r="C132" s="746" t="s">
        <v>666</v>
      </c>
      <c r="D132" s="746" t="s">
        <v>667</v>
      </c>
      <c r="E132" s="669"/>
    </row>
    <row r="133" spans="1:7" s="668" customFormat="1" ht="15">
      <c r="A133" s="706" t="s">
        <v>610</v>
      </c>
      <c r="B133" s="682" t="str">
        <f>IF(DBDiskSize1="--","--",IF(OverrideRAID="No",IF(IF(NumDBDiskIOR101&lt;NumDBDiskCapR101,NumDBDiskCapR101,NumDBDiskIOR101)&lt;=IF(NumDBDiskIOR51&lt;NumDBDiskCapR51,NumDBDiskCapR51,NumDBDiskIOR51),"RAID-1/0","RAID-5"),DesRAIDConfig))</f>
        <v>RAID-5</v>
      </c>
      <c r="C133" s="679" t="str">
        <f>IF(DBDiskSize2="--","--",IF(OverrideRAID="No",IF(IF(NumDBDiskIOR102&lt;NumDBDiskCapR102,NumDBDiskCapR102,NumDBDiskIOR102)&lt;=IF(NumDBDiskIOR52&lt;NumDBDiskCapR52,NumDBDiskCapR52,NumDBDiskIOR52),"RAID-1/0","RAID-5"),DesRAIDConfig))</f>
        <v>RAID-5</v>
      </c>
      <c r="D133" s="679" t="str">
        <f>IF(DBDiskSize3="--","--",IF(OverrideRAID="No",IF(IF(NumDBDiskIOR103&lt;NumDBDiskCapR103,NumDBDiskCapR103,NumDBDiskIOR103)&lt;=IF(NumDBDiskIOR53&lt;NumDBDiskCapR53,NumDBDiskCapR53,NumDBDiskIOR53),"RAID-1/0","RAID-5"),DesRAIDConfig))</f>
        <v>RAID-1/0</v>
      </c>
      <c r="E133" s="669"/>
    </row>
    <row r="134" spans="1:7" s="668" customFormat="1" ht="15">
      <c r="A134" s="707" t="s">
        <v>611</v>
      </c>
      <c r="B134" s="683">
        <f>IF(OptDBRAIDConfig1="RAID-6",IF(NumDBDiskIOR61&lt;NumDBDiskCapR61,NumDBDiskCapR61,NumDBDiskIOR61),IF(OptDBRAIDConfig1="RAID-1/0",IF(NumDBDiskIOR101&lt;NumDBDiskCapR101,NumDBDiskCapR101,NumDBDiskIOR101),IF(OptDBRAIDConfig1="RAID-0",IF(NumDBDiskIOR01&lt;NumDBDiskCap1,NumDBDiskCap1,NumDBDiskIOR01),IF(NumDBDiskIOR51&lt;NumDBDiskCapR51,NumDBDiskCapR51,NumDBDiskIOR51))))</f>
        <v>125</v>
      </c>
      <c r="C134" s="683">
        <f>IF(OptDBRAIDConfig2="RAID-6",IF(NumDBDiskIOR62&lt;NumDBDiskCapR62,NumDBDiskCapR62,NumDBDiskIOR62),IF(OptDBRAIDConfig2="RAID-1/0",IF(NumDBDiskIOR102&lt;NumDBDiskCapR102,NumDBDiskCapR102,NumDBDiskIOR102),IF(OptDBRAIDConfig2="RAID-0",IF(NumDBDiskIOR02&lt;NumDBDiskCap2,NumDBDiskCap2,NumDBDiskIOR02),IF(NumDBDiskIOR52&lt;NumDBDiskCapR52,NumDBDiskCapR52,NumDBDiskIOR52))))</f>
        <v>60</v>
      </c>
      <c r="D134" s="683">
        <f>IF(OptDBRAIDConfig3="RAID-6",IF(NumDBDiskIOR63&lt;NumDBDiskCapR63,NumDBDiskCapR63,NumDBDiskIOR63),IF(OptDBRAIDConfig3="RAID-1/0",IF(NumDBDiskIOR103&lt;NumDBDiskCapR103,NumDBDiskCapR103,NumDBDiskIOR103),IF(OptDBRAIDConfig3="RAID-0",IF(NumDBDiskIOR03&lt;NumDBDiskCap3,NumDBDiskCap3,NumDBDiskIOR03),IF(NumDBDiskIOR53&lt;NumDBDiskCapR53,NumDBDiskCapR53,NumDBDiskIOR53))))</f>
        <v>70</v>
      </c>
      <c r="E134" s="669"/>
    </row>
    <row r="135" spans="1:7" s="668" customFormat="1" ht="15.75" thickBot="1">
      <c r="A135" s="708" t="s">
        <v>612</v>
      </c>
      <c r="B135" s="681">
        <f>IF(HAOption="LCR",B134,IF(HAOption="CCR",B134,"--"))</f>
        <v>125</v>
      </c>
      <c r="C135" s="681">
        <f>IF(HAOption="LCR",C134,IF(HAOption="CCR",C134,"--"))</f>
        <v>60</v>
      </c>
      <c r="D135" s="681">
        <f>IF(HAOption="LCR",D134,IF(HAOption="CCR",D134,"--"))</f>
        <v>70</v>
      </c>
      <c r="E135" s="669"/>
    </row>
    <row r="136" spans="1:7" s="668" customFormat="1" ht="15">
      <c r="A136" s="709" t="s">
        <v>613</v>
      </c>
      <c r="B136" s="680" t="str">
        <f>IF(DBDiskSize1="--","--",IF(OverrideRAID="Yes",IF(DesRAIDConfig="RAID-0","RAID-0","RAID-1/0"),"RAID-1/0"))</f>
        <v>RAID-1/0</v>
      </c>
      <c r="C136" s="680" t="str">
        <f>IF(OR(DBDiskSize2="--",LogDiskSize2="--"),"--",IF(OverrideRAID="Yes",IF(DesRAIDConfig="RAID-0","RAID-0","RAID-1/0"),"RAID-1/0"))</f>
        <v>RAID-1/0</v>
      </c>
      <c r="D136" s="680" t="str">
        <f>IF(OR(DBDiskSize3="--",LogDiskSize3="--"),"--",IF(OverrideRAID="Yes",IF(DesRAIDConfig="RAID-0","RAID-0","RAID-1/0"),"RAID-1/0"))</f>
        <v>RAID-1/0</v>
      </c>
      <c r="E136" s="669"/>
    </row>
    <row r="137" spans="1:7" s="668" customFormat="1" ht="15">
      <c r="A137" s="710" t="s">
        <v>614</v>
      </c>
      <c r="B137" s="683">
        <f>IF(OptLogRAIDConfig1="RAID-1/0",IF(NumLogDiskR10Cap1&gt;=NumLogDiskR10IO1,NumLogDiskR10Cap1,NumLogDiskR10IO1),IF(NumLogDiskCap1&gt;=NumLogDiskIOR01,NumLogDiskCap1,NumLogDiskIOR01))</f>
        <v>14</v>
      </c>
      <c r="C137" s="683">
        <f>IF(OptLogRAIDConfig2="RAID-1/0",IF(NumLogDiskR10Cap2&gt;=NumLogDiskR10IO2,NumLogDiskR10Cap2,NumLogDiskR10IO2),IF(NumLogDiskCap2&gt;=NumLogDiskIOR02,NumLogDiskCap2,NumLogDiskIOR02))</f>
        <v>8</v>
      </c>
      <c r="D137" s="683">
        <f>IF(OptLogRAIDConfig3="RAID-1/0",IF(NumLogDiskR10Cap3&gt;=NumLogDiskR10IO3,NumLogDiskR10Cap3,NumLogDiskR10IO3),IF(NumLogDiskCap3&gt;=NumLogDiskIOR03,NumLogDiskCap3,NumLogDiskIOR03))</f>
        <v>6</v>
      </c>
      <c r="E137" s="669"/>
    </row>
    <row r="138" spans="1:7" s="668" customFormat="1" ht="15.75" thickBot="1">
      <c r="A138" s="711" t="s">
        <v>615</v>
      </c>
      <c r="B138" s="600">
        <f>IF(HAOption="LCR",B137,IF(HAOption="CCR",B137,"--"))</f>
        <v>14</v>
      </c>
      <c r="C138" s="600">
        <f>IF(HAOption="LCR",C137,IF(HAOption="CCR",C137,"--"))</f>
        <v>8</v>
      </c>
      <c r="D138" s="600">
        <f>IF(HAOption="LCR",D137,IF(HAOption="CCR",D137,"--"))</f>
        <v>6</v>
      </c>
      <c r="E138" s="669"/>
    </row>
    <row r="139" spans="1:7" s="668" customFormat="1" ht="15">
      <c r="A139" s="712" t="s">
        <v>616</v>
      </c>
      <c r="B139" s="680" t="str">
        <f>IF(RestoreLUN="Yes",IF(DBDiskSize1="--","--",DesResLUNRAID),"--")</f>
        <v>RAID-5</v>
      </c>
      <c r="C139" s="682" t="str">
        <f>IF(RestoreLUN="Yes",IF(OR(DBDiskSize2="--",ResDiskSize2="--"),"--",DesResLUNRAID),"--")</f>
        <v>RAID-5</v>
      </c>
      <c r="D139" s="682" t="str">
        <f>IF(RestoreLUN="Yes",IF(OR(DBDiskSize3="--",ResDiskSize3="--"),"--",DesResLUNRAID),"--")</f>
        <v>RAID-5</v>
      </c>
      <c r="E139" s="669"/>
    </row>
    <row r="140" spans="1:7" s="668" customFormat="1" ht="15.75" thickBot="1">
      <c r="A140" s="708" t="s">
        <v>617</v>
      </c>
      <c r="B140" s="684">
        <f>IF(OptRLRAIDConfig1="RAID-0",ResLUNDiskCap1,IF(OptRLRAIDConfig1="RAID-1/0",ResLUNDisksR101,IF(OptRLRAIDConfig1="RAID-5",ResLUNDisksR51,ResLUNDisksR61)))</f>
        <v>10</v>
      </c>
      <c r="C140" s="684">
        <f>IF(OptRLRAIDConfig2="RAID-0",ResLUNDiskCap2,IF(OptRLRAIDConfig2="RAID-1/0",ResLUNDisksR102,IF(OptRLRAIDConfig2="RAID-5",ResLUNDisksR52,ResLUNDisksR62)))</f>
        <v>10</v>
      </c>
      <c r="D140" s="684">
        <f>IF(OptRLRAIDConfig3="RAID-0",ResLUNDiskCap3,IF(OptRLRAIDConfig3="RAID-1/0",ResLUNDisksR103,IF(OptRLRAIDConfig3="RAID-5",ResLUNDisksR53,ResLUNDisksR63)))</f>
        <v>10</v>
      </c>
      <c r="E140" s="669"/>
    </row>
    <row r="141" spans="1:7" ht="13.5" thickBot="1">
      <c r="A141" s="768"/>
      <c r="B141" s="649"/>
      <c r="C141" s="649"/>
      <c r="D141" s="649"/>
      <c r="E141" s="658"/>
      <c r="F141" s="91"/>
    </row>
    <row r="142" spans="1:7" ht="16.5" thickBot="1">
      <c r="A142" s="129" t="s">
        <v>575</v>
      </c>
      <c r="B142" s="657" t="s">
        <v>519</v>
      </c>
      <c r="C142" s="657" t="s">
        <v>518</v>
      </c>
      <c r="D142" s="657" t="s">
        <v>523</v>
      </c>
      <c r="E142" s="658"/>
      <c r="F142" s="91"/>
    </row>
    <row r="143" spans="1:7" ht="15">
      <c r="A143" s="712" t="s">
        <v>671</v>
      </c>
      <c r="B143" s="598" t="str">
        <f>VLOOKUP(MIN(Config1TotDisks,Config2TotDisks,Config3TotDisks),tblRecDiskLookup,5,FALSE)</f>
        <v>Configuration 2</v>
      </c>
      <c r="C143" s="459" t="str">
        <f>VLOOKUP(MIN(Config1TotDisks,Config2TotDisks,Config3TotDisks),tblRecDiskLookup,5,FALSE)</f>
        <v>Configuration 2</v>
      </c>
      <c r="D143" s="687" t="str">
        <f>IF(RestoreLUN="Yes",VLOOKUP(MIN(Config1TotDisks,Config2TotDisks,Config3TotDisks),tblRecDiskLookup,5,FALSE),"--")</f>
        <v>Configuration 2</v>
      </c>
      <c r="E143" s="658"/>
      <c r="F143" s="91"/>
    </row>
    <row r="144" spans="1:7" ht="15">
      <c r="A144" s="433" t="s">
        <v>520</v>
      </c>
      <c r="B144" s="685" t="str">
        <f>VLOOKUP(RecDBDisks,tblRecDBDisks,2,FALSE)</f>
        <v>RAID-5</v>
      </c>
      <c r="C144" s="407" t="str">
        <f>VLOOKUP(RecLogDisks,tblRecLogDisks,2,FALSE)</f>
        <v>RAID-1/0</v>
      </c>
      <c r="D144" s="686" t="str">
        <f>IF(RestoreLUN="Yes",VLOOKUP(RecRLDisks,tblRecRLDisks,2,FALSE),"--")</f>
        <v>RAID-5</v>
      </c>
      <c r="E144" s="658"/>
      <c r="F144" s="91"/>
    </row>
    <row r="145" spans="1:7" ht="15">
      <c r="A145" s="100" t="s">
        <v>608</v>
      </c>
      <c r="B145" s="369">
        <f>VLOOKUP(MIN(Config1TotDisks,Config2TotDisks,Config3TotDisks),tblRecDiskLookup,2,FALSE)</f>
        <v>60</v>
      </c>
      <c r="C145" s="342">
        <f>VLOOKUP(MIN(Config1TotDisks,Config2TotDisks,Config3TotDisks),tblRecDiskLookup,3,FALSE)</f>
        <v>8</v>
      </c>
      <c r="D145" s="342">
        <f>VLOOKUP(MIN(Config1TotDisks,Config2TotDisks,Config3TotDisks),tblRecDiskLookup,4,FALSE)</f>
        <v>10</v>
      </c>
      <c r="E145" s="658"/>
      <c r="F145" s="91"/>
    </row>
    <row r="146" spans="1:7" ht="15.75" thickBot="1">
      <c r="A146" s="758" t="s">
        <v>609</v>
      </c>
      <c r="B146" s="599">
        <f>IF(HAOption="LCR",RecDBDisks,IF(HAOption="CCR",RecDBDisks,"--"))</f>
        <v>60</v>
      </c>
      <c r="C146" s="600">
        <f>IF(HAOption="LCR",RecLogDisks,IF(HAOption="CCR",RecLogDisks,"--"))</f>
        <v>8</v>
      </c>
      <c r="D146" s="600">
        <f>IF(HAOption="CCR",RecRLDisks,"--")</f>
        <v>10</v>
      </c>
      <c r="E146" s="658"/>
      <c r="F146" s="91"/>
    </row>
    <row r="147" spans="1:7" ht="13.5" thickBot="1">
      <c r="A147" s="88"/>
      <c r="E147" s="658"/>
      <c r="F147" s="91"/>
    </row>
    <row r="148" spans="1:7" ht="35.25" customHeight="1" thickBot="1">
      <c r="A148" s="129" t="s">
        <v>110</v>
      </c>
      <c r="B148" s="638" t="s">
        <v>639</v>
      </c>
      <c r="C148" s="816"/>
      <c r="D148" s="119"/>
      <c r="E148" s="651"/>
      <c r="F148" s="91"/>
      <c r="G148" s="151"/>
    </row>
    <row r="149" spans="1:7" ht="15">
      <c r="A149" s="111" t="s">
        <v>521</v>
      </c>
      <c r="B149" s="1170">
        <f>RecDBDisks+RecLogDisks+RecRLDisks</f>
        <v>78</v>
      </c>
      <c r="C149" s="829"/>
      <c r="D149" s="119"/>
      <c r="E149" s="651"/>
      <c r="F149" s="91"/>
      <c r="G149" s="151"/>
    </row>
    <row r="150" spans="1:7" ht="15">
      <c r="A150" s="349" t="s">
        <v>522</v>
      </c>
      <c r="B150" s="703">
        <f>IF(HAOption="CCR",RecDBDisks,IF(HAOption="LCR",RecDBDisks,0))+IF(HAOption="CCR",RecLogDisks,IF(HAOption="LCR",RecLogDisks,0))+IF(RestoreLUN="Yes",IF(HAOption="CCR",RecRLDisks,0),0)</f>
        <v>78</v>
      </c>
      <c r="C150" s="829"/>
      <c r="D150" s="119"/>
      <c r="E150" s="651"/>
      <c r="F150" s="91"/>
      <c r="G150" s="151"/>
    </row>
    <row r="151" spans="1:7" ht="15.75" thickBot="1">
      <c r="A151" s="357" t="s">
        <v>288</v>
      </c>
      <c r="B151" s="586">
        <f>IF(numSCRTarget&lt;&gt;0,RecDBDisks+RecLogDisks+IF(RestoreLUN="Yes",RecRLDisks,0),0)</f>
        <v>78</v>
      </c>
      <c r="C151" s="830"/>
      <c r="D151" s="119"/>
      <c r="E151" s="651"/>
      <c r="F151" s="91"/>
      <c r="G151" s="151"/>
    </row>
    <row r="152" spans="1:7" ht="15.75" thickBot="1">
      <c r="A152" s="245" t="s">
        <v>640</v>
      </c>
      <c r="B152" s="1171">
        <f>((RecDBDisks+RecLogDisks+RecRLDisks)*NumMBXServers)+((IF(HAOption="CCR",RecDBDisks,IF(HAOption="LCR",RecDBDisks,0))+IF(HAOption="CCR",RecLogDisks,IF(HAOption="LCR",RecLogDisks,0))+IF(RestoreLUN="Yes",IF(HAOption="CCR",RecRLDisks,0),0))*NumMBXServers)+((IF(numSCRTarget&lt;&gt;0,RecDBDisks+RecLogDisks+IF(RestoreLUN="Yes",RecRLDisks,0),0))*IF(AND(HAOption="CCR",SCRHAOption="Match Source Configuration"),numSCRServers*2,numSCRServers))</f>
        <v>234</v>
      </c>
      <c r="C152" s="219"/>
      <c r="D152" s="119"/>
      <c r="E152" s="812"/>
      <c r="F152" s="91"/>
      <c r="G152" s="151"/>
    </row>
    <row r="153" spans="1:7" ht="13.5" thickBot="1">
      <c r="A153" s="769"/>
      <c r="B153" s="123"/>
      <c r="C153" s="123"/>
      <c r="D153" s="123"/>
      <c r="E153" s="124"/>
      <c r="F153" s="91"/>
      <c r="G153" s="91"/>
    </row>
    <row r="154" spans="1:7">
      <c r="A154" s="196"/>
      <c r="B154" s="196"/>
      <c r="C154" s="196"/>
      <c r="D154" s="196"/>
      <c r="E154" s="196"/>
      <c r="F154" s="91"/>
      <c r="G154" s="91"/>
    </row>
    <row r="155" spans="1:7" ht="15">
      <c r="E155" s="152"/>
    </row>
    <row r="156" spans="1:7" ht="15">
      <c r="E156" s="152"/>
    </row>
  </sheetData>
  <mergeCells count="18">
    <mergeCell ref="A130:E130"/>
    <mergeCell ref="A9:D9"/>
    <mergeCell ref="A13:E13"/>
    <mergeCell ref="A25:E25"/>
    <mergeCell ref="A26:E26"/>
    <mergeCell ref="A10:D10"/>
    <mergeCell ref="A42:B42"/>
    <mergeCell ref="A12:E12"/>
    <mergeCell ref="A40:E40"/>
    <mergeCell ref="A20:B20"/>
    <mergeCell ref="A15:B15"/>
    <mergeCell ref="D15:E15"/>
    <mergeCell ref="A1:D1"/>
    <mergeCell ref="A7:D7"/>
    <mergeCell ref="A8:D8"/>
    <mergeCell ref="A2:E2"/>
    <mergeCell ref="A6:E6"/>
    <mergeCell ref="A3:E4"/>
  </mergeCells>
  <phoneticPr fontId="36" type="noConversion"/>
  <conditionalFormatting sqref="E60:E69 B124 B129">
    <cfRule type="cellIs" dxfId="9" priority="95" stopIfTrue="1" operator="greaterThan">
      <formula>$B$65</formula>
    </cfRule>
  </conditionalFormatting>
  <conditionalFormatting sqref="D17:E17">
    <cfRule type="expression" dxfId="8" priority="21">
      <formula>IF(OverrideRAID="No",TRUE,FALSE)</formula>
    </cfRule>
  </conditionalFormatting>
  <conditionalFormatting sqref="B95:D95 B97:D97 B99:D99 B101:D101">
    <cfRule type="cellIs" dxfId="7" priority="20" operator="greaterThanOrEqual">
      <formula>B96</formula>
    </cfRule>
  </conditionalFormatting>
  <conditionalFormatting sqref="B96:D96 B98:D98 B100:D100 B102:D102">
    <cfRule type="cellIs" dxfId="6" priority="19" operator="greaterThan">
      <formula>B95</formula>
    </cfRule>
  </conditionalFormatting>
  <conditionalFormatting sqref="D37 D33 D29">
    <cfRule type="expression" dxfId="5" priority="12">
      <formula>IF(AND(RestoreLUN="Yes",ResDiskSize1="--",ResDiskSize2="--",ResDiskSize3="--"),TRUE,FALSE)</formula>
    </cfRule>
  </conditionalFormatting>
  <conditionalFormatting sqref="C37 C33 C29">
    <cfRule type="expression" dxfId="4" priority="6">
      <formula>IF(AND(LogDiskSize1="--",LogDiskSize2="--",LogDiskSize3="--"),TRUE,FALSE)</formula>
    </cfRule>
  </conditionalFormatting>
  <conditionalFormatting sqref="B37 B33 B29">
    <cfRule type="expression" dxfId="3" priority="4">
      <formula>IF(AND(DBDiskSize1="--",DBDiskSize2="--",DBDiskSize3="--"),TRUE,FALSE)</formula>
    </cfRule>
  </conditionalFormatting>
  <conditionalFormatting sqref="C33:D34 B34">
    <cfRule type="expression" dxfId="2" priority="3">
      <formula>IF(DBDiskSize2="--",TRUE,FALSE)</formula>
    </cfRule>
  </conditionalFormatting>
  <conditionalFormatting sqref="C37:D38 B38">
    <cfRule type="expression" dxfId="1" priority="2">
      <formula>IF(DBDiskSize3="--",TRUE,FALSE)</formula>
    </cfRule>
  </conditionalFormatting>
  <conditionalFormatting sqref="C29:D30 B30">
    <cfRule type="expression" dxfId="0" priority="1">
      <formula>IF(DBDiskSize1="--",TRUE,FALSE)</formula>
    </cfRule>
  </conditionalFormatting>
  <dataValidations count="7">
    <dataValidation type="list" allowBlank="1" showInputMessage="1" showErrorMessage="1" sqref="B37:D37 B29:D29 B33:D33">
      <formula1>varDiskSize</formula1>
    </dataValidation>
    <dataValidation type="list" allowBlank="1" showInputMessage="1" showErrorMessage="1" sqref="B38:D38 C34:D34 B34:B35 C30:D30 B30:B31">
      <formula1>varDiskType</formula1>
    </dataValidation>
    <dataValidation type="list" allowBlank="1" showInputMessage="1" showErrorMessage="1" sqref="E17:E18">
      <formula1>varRAIDOptions</formula1>
    </dataValidation>
    <dataValidation type="list" allowBlank="1" showInputMessage="1" showErrorMessage="1" sqref="B17">
      <formula1>varRAID5Types</formula1>
    </dataValidation>
    <dataValidation type="list" allowBlank="1" showInputMessage="1" showErrorMessage="1" sqref="B18">
      <formula1>varRAID6Types</formula1>
    </dataValidation>
    <dataValidation type="list" allowBlank="1" showInputMessage="1" showErrorMessage="1" sqref="B16">
      <formula1>varRAID10Types</formula1>
    </dataValidation>
    <dataValidation type="list" allowBlank="1" showInputMessage="1" showErrorMessage="1" sqref="E16">
      <formula1>varYNQuestion</formula1>
    </dataValidation>
  </dataValidations>
  <pageMargins left="0.7" right="0.7" top="0.75" bottom="0.75" header="0.3" footer="0.3"/>
  <pageSetup scale="55" orientation="portrait" r:id="rId1"/>
  <legacyDrawing r:id="rId2"/>
</worksheet>
</file>

<file path=xl/worksheets/sheet7.xml><?xml version="1.0" encoding="utf-8"?>
<worksheet xmlns="http://schemas.openxmlformats.org/spreadsheetml/2006/main" xmlns:r="http://schemas.openxmlformats.org/officeDocument/2006/relationships">
  <dimension ref="A1:K37"/>
  <sheetViews>
    <sheetView zoomScale="85" workbookViewId="0">
      <selection activeCell="G5" sqref="G5:G11"/>
    </sheetView>
  </sheetViews>
  <sheetFormatPr defaultRowHeight="12.75"/>
  <cols>
    <col min="1" max="1" width="22.42578125" bestFit="1" customWidth="1"/>
    <col min="2" max="2" width="15.42578125" bestFit="1" customWidth="1"/>
    <col min="3" max="3" width="15.42578125" customWidth="1"/>
    <col min="4" max="4" width="22.42578125" bestFit="1" customWidth="1"/>
    <col min="5" max="5" width="31.85546875" customWidth="1"/>
    <col min="6" max="6" width="19.140625" bestFit="1" customWidth="1"/>
    <col min="8" max="8" width="15.7109375" bestFit="1" customWidth="1"/>
    <col min="9" max="9" width="22.140625" bestFit="1" customWidth="1"/>
    <col min="10" max="10" width="27.42578125" bestFit="1" customWidth="1"/>
    <col min="11" max="11" width="23.7109375" customWidth="1"/>
  </cols>
  <sheetData>
    <row r="1" spans="1:11">
      <c r="A1" s="1122" t="s">
        <v>2</v>
      </c>
      <c r="B1" s="1122"/>
      <c r="C1" s="1122"/>
      <c r="D1" s="1122"/>
      <c r="E1" s="1122"/>
      <c r="F1" s="1122"/>
      <c r="G1" s="45"/>
      <c r="H1" s="45"/>
      <c r="I1" s="156"/>
      <c r="J1" s="156"/>
      <c r="K1" s="156"/>
    </row>
    <row r="2" spans="1:11" ht="13.5" thickBot="1">
      <c r="A2" s="46"/>
      <c r="B2" s="46"/>
      <c r="C2" s="46"/>
      <c r="D2" s="46"/>
      <c r="E2" s="64"/>
      <c r="F2" s="45"/>
      <c r="G2" s="64"/>
      <c r="H2" s="64"/>
      <c r="I2" s="58"/>
      <c r="J2" s="58"/>
      <c r="K2" s="58"/>
    </row>
    <row r="3" spans="1:11" s="2" customFormat="1" ht="16.5" thickBot="1">
      <c r="A3" s="63" t="s">
        <v>417</v>
      </c>
      <c r="B3" s="63" t="s">
        <v>11</v>
      </c>
      <c r="C3" s="63" t="s">
        <v>82</v>
      </c>
      <c r="D3" s="63" t="s">
        <v>84</v>
      </c>
      <c r="E3" s="63" t="s">
        <v>61</v>
      </c>
      <c r="F3" s="63" t="s">
        <v>189</v>
      </c>
      <c r="G3" s="161" t="s">
        <v>255</v>
      </c>
      <c r="H3" s="63" t="s">
        <v>310</v>
      </c>
      <c r="I3" s="2" t="s">
        <v>555</v>
      </c>
      <c r="J3" s="63" t="s">
        <v>628</v>
      </c>
      <c r="K3" s="63" t="s">
        <v>631</v>
      </c>
    </row>
    <row r="4" spans="1:11" ht="14.25">
      <c r="A4" s="66" t="s">
        <v>418</v>
      </c>
      <c r="B4" s="33" t="s">
        <v>12</v>
      </c>
      <c r="C4" s="33" t="s">
        <v>82</v>
      </c>
      <c r="D4" s="33">
        <v>32</v>
      </c>
      <c r="E4" s="66" t="s">
        <v>198</v>
      </c>
      <c r="F4" s="60" t="s">
        <v>190</v>
      </c>
      <c r="G4" s="111">
        <v>1</v>
      </c>
      <c r="H4" s="248">
        <v>0</v>
      </c>
      <c r="I4" s="670" t="s">
        <v>556</v>
      </c>
      <c r="J4" s="66" t="s">
        <v>629</v>
      </c>
      <c r="K4" s="66" t="s">
        <v>632</v>
      </c>
    </row>
    <row r="5" spans="1:11" ht="14.25">
      <c r="A5" s="66" t="s">
        <v>419</v>
      </c>
      <c r="B5" s="33" t="s">
        <v>13</v>
      </c>
      <c r="C5" s="33" t="s">
        <v>83</v>
      </c>
      <c r="D5" s="33"/>
      <c r="E5" s="67" t="s">
        <v>199</v>
      </c>
      <c r="F5" s="60" t="s">
        <v>191</v>
      </c>
      <c r="G5" s="100">
        <v>2</v>
      </c>
      <c r="H5" s="248">
        <v>1</v>
      </c>
      <c r="I5" s="670" t="s">
        <v>54</v>
      </c>
      <c r="J5" s="66" t="s">
        <v>630</v>
      </c>
      <c r="K5" s="66" t="s">
        <v>633</v>
      </c>
    </row>
    <row r="6" spans="1:11" ht="14.25">
      <c r="A6" s="248"/>
      <c r="B6" s="14"/>
      <c r="C6" s="14"/>
      <c r="D6" s="33"/>
      <c r="E6" s="33" t="s">
        <v>63</v>
      </c>
      <c r="F6" s="61"/>
      <c r="G6" s="100">
        <v>3</v>
      </c>
      <c r="H6" s="248">
        <v>2</v>
      </c>
      <c r="I6" s="670" t="s">
        <v>557</v>
      </c>
      <c r="J6" s="248"/>
      <c r="K6" s="248"/>
    </row>
    <row r="7" spans="1:11" ht="14.25">
      <c r="A7" s="11"/>
      <c r="B7" s="14"/>
      <c r="C7" s="14"/>
      <c r="D7" s="33"/>
      <c r="E7" s="33" t="s">
        <v>64</v>
      </c>
      <c r="F7" s="61"/>
      <c r="G7" s="100">
        <v>4</v>
      </c>
      <c r="H7" s="248">
        <v>3</v>
      </c>
      <c r="I7" s="248" t="s">
        <v>558</v>
      </c>
      <c r="J7" s="248"/>
      <c r="K7" s="248"/>
    </row>
    <row r="8" spans="1:11" ht="14.25">
      <c r="A8" s="11"/>
      <c r="B8" s="14"/>
      <c r="C8" s="14"/>
      <c r="D8" s="33"/>
      <c r="E8" s="14"/>
      <c r="F8" s="61"/>
      <c r="G8" s="100">
        <v>5</v>
      </c>
      <c r="H8" s="248">
        <v>4</v>
      </c>
      <c r="I8" s="248"/>
      <c r="J8" s="248"/>
      <c r="K8" s="248"/>
    </row>
    <row r="9" spans="1:11" ht="14.25">
      <c r="A9" s="11"/>
      <c r="B9" s="14"/>
      <c r="C9" s="14"/>
      <c r="D9" s="33"/>
      <c r="E9" s="14"/>
      <c r="F9" s="61"/>
      <c r="G9" s="100">
        <v>6</v>
      </c>
      <c r="H9" s="248"/>
      <c r="I9" s="248"/>
      <c r="J9" s="248"/>
      <c r="K9" s="248"/>
    </row>
    <row r="10" spans="1:11" ht="14.25">
      <c r="A10" s="11"/>
      <c r="B10" s="14"/>
      <c r="C10" s="14"/>
      <c r="D10" s="33"/>
      <c r="E10" s="14"/>
      <c r="F10" s="61"/>
      <c r="G10" s="100">
        <v>7</v>
      </c>
      <c r="H10" s="248"/>
      <c r="I10" s="248"/>
      <c r="J10" s="248"/>
      <c r="K10" s="248"/>
    </row>
    <row r="11" spans="1:11" ht="14.25">
      <c r="A11" s="11"/>
      <c r="B11" s="14"/>
      <c r="C11" s="14"/>
      <c r="D11" s="14"/>
      <c r="E11" s="14"/>
      <c r="F11" s="61"/>
      <c r="G11" s="100">
        <v>8</v>
      </c>
      <c r="H11" s="248"/>
      <c r="I11" s="248"/>
      <c r="J11" s="248"/>
      <c r="K11" s="248"/>
    </row>
    <row r="12" spans="1:11" ht="14.25">
      <c r="A12" s="11"/>
      <c r="B12" s="14"/>
      <c r="C12" s="14"/>
      <c r="D12" s="14"/>
      <c r="E12" s="14"/>
      <c r="F12" s="61"/>
      <c r="G12" s="100">
        <v>9</v>
      </c>
      <c r="H12" s="248"/>
      <c r="I12" s="61"/>
      <c r="J12" s="61"/>
      <c r="K12" s="61"/>
    </row>
    <row r="13" spans="1:11" ht="14.25">
      <c r="A13" s="11"/>
      <c r="B13" s="14"/>
      <c r="C13" s="14"/>
      <c r="D13" s="14"/>
      <c r="E13" s="14"/>
      <c r="F13" s="61"/>
      <c r="G13" s="100">
        <v>10</v>
      </c>
      <c r="H13" s="248"/>
      <c r="I13" s="61"/>
      <c r="J13" s="61"/>
      <c r="K13" s="61"/>
    </row>
    <row r="14" spans="1:11" ht="14.25">
      <c r="A14" s="11"/>
      <c r="B14" s="14"/>
      <c r="C14" s="14"/>
      <c r="D14" s="14"/>
      <c r="E14" s="11"/>
      <c r="F14" s="61"/>
      <c r="G14" s="100">
        <v>11</v>
      </c>
      <c r="H14" s="248"/>
      <c r="I14" s="61"/>
      <c r="J14" s="61"/>
      <c r="K14" s="61"/>
    </row>
    <row r="15" spans="1:11" ht="14.25">
      <c r="A15" s="11"/>
      <c r="B15" s="14"/>
      <c r="C15" s="14"/>
      <c r="D15" s="14"/>
      <c r="E15" s="11"/>
      <c r="F15" s="61"/>
      <c r="G15" s="100">
        <v>12</v>
      </c>
      <c r="H15" s="248"/>
      <c r="I15" s="61"/>
      <c r="J15" s="61"/>
      <c r="K15" s="61"/>
    </row>
    <row r="16" spans="1:11" ht="14.25">
      <c r="A16" s="159"/>
      <c r="B16" s="61"/>
      <c r="C16" s="61"/>
      <c r="D16" s="61"/>
      <c r="E16" s="61"/>
      <c r="G16" s="100">
        <v>13</v>
      </c>
      <c r="H16" s="248"/>
      <c r="I16" s="61"/>
      <c r="J16" s="61"/>
      <c r="K16" s="61"/>
    </row>
    <row r="17" spans="1:11" ht="14.25">
      <c r="A17" s="159"/>
      <c r="B17" s="61"/>
      <c r="C17" s="61"/>
      <c r="D17" s="61"/>
      <c r="E17" s="61"/>
      <c r="G17" s="100">
        <v>14</v>
      </c>
      <c r="H17" s="248"/>
      <c r="I17" s="61"/>
      <c r="J17" s="61"/>
      <c r="K17" s="61"/>
    </row>
    <row r="18" spans="1:11" ht="14.25">
      <c r="A18" s="159"/>
      <c r="B18" s="61"/>
      <c r="C18" s="61"/>
      <c r="D18" s="61"/>
      <c r="E18" s="61"/>
      <c r="G18" s="100">
        <v>15</v>
      </c>
      <c r="H18" s="248"/>
      <c r="I18" s="61"/>
      <c r="J18" s="61"/>
      <c r="K18" s="61"/>
    </row>
    <row r="19" spans="1:11" ht="14.25">
      <c r="A19" s="159"/>
      <c r="B19" s="61"/>
      <c r="C19" s="61"/>
      <c r="D19" s="61"/>
      <c r="E19" s="61"/>
      <c r="G19" s="100">
        <v>16</v>
      </c>
      <c r="H19" s="248"/>
      <c r="I19" s="61"/>
      <c r="J19" s="61"/>
      <c r="K19" s="61"/>
    </row>
    <row r="20" spans="1:11" ht="14.25">
      <c r="A20" s="159"/>
      <c r="B20" s="61"/>
      <c r="C20" s="61"/>
      <c r="D20" s="61"/>
      <c r="E20" s="61"/>
      <c r="G20" s="100">
        <v>17</v>
      </c>
      <c r="H20" s="248"/>
      <c r="I20" s="61"/>
      <c r="J20" s="61"/>
      <c r="K20" s="61"/>
    </row>
    <row r="21" spans="1:11" ht="14.25">
      <c r="A21" s="159"/>
      <c r="B21" s="61"/>
      <c r="C21" s="61"/>
      <c r="D21" s="61"/>
      <c r="E21" s="61"/>
      <c r="G21" s="100">
        <v>18</v>
      </c>
      <c r="H21" s="248"/>
      <c r="I21" s="61"/>
      <c r="J21" s="61"/>
      <c r="K21" s="61"/>
    </row>
    <row r="22" spans="1:11" ht="14.25">
      <c r="A22" s="159"/>
      <c r="B22" s="61"/>
      <c r="C22" s="61"/>
      <c r="D22" s="61"/>
      <c r="E22" s="61"/>
      <c r="G22" s="100">
        <v>19</v>
      </c>
      <c r="H22" s="248"/>
      <c r="I22" s="61"/>
      <c r="J22" s="61"/>
      <c r="K22" s="61"/>
    </row>
    <row r="23" spans="1:11" ht="14.25">
      <c r="A23" s="159"/>
      <c r="B23" s="61"/>
      <c r="C23" s="61"/>
      <c r="D23" s="61"/>
      <c r="E23" s="61"/>
      <c r="G23" s="160">
        <v>20</v>
      </c>
      <c r="H23" s="248"/>
      <c r="I23" s="61"/>
      <c r="J23" s="61"/>
      <c r="K23" s="61"/>
    </row>
    <row r="24" spans="1:11" ht="14.25">
      <c r="A24" s="159"/>
      <c r="B24" s="61"/>
      <c r="C24" s="61"/>
      <c r="D24" s="61"/>
      <c r="E24" s="61"/>
      <c r="G24" s="160">
        <v>21</v>
      </c>
      <c r="H24" s="248"/>
      <c r="I24" s="61"/>
      <c r="J24" s="61"/>
      <c r="K24" s="61"/>
    </row>
    <row r="25" spans="1:11" ht="14.25">
      <c r="A25" s="159"/>
      <c r="B25" s="61"/>
      <c r="C25" s="61"/>
      <c r="D25" s="61"/>
      <c r="E25" s="61"/>
      <c r="G25" s="100">
        <v>22</v>
      </c>
      <c r="H25" s="248"/>
      <c r="I25" s="61"/>
      <c r="J25" s="61"/>
      <c r="K25" s="61"/>
    </row>
    <row r="26" spans="1:11" ht="14.25">
      <c r="A26" s="159"/>
      <c r="B26" s="61"/>
      <c r="C26" s="61"/>
      <c r="D26" s="61"/>
      <c r="E26" s="61"/>
      <c r="G26" s="100">
        <v>23</v>
      </c>
      <c r="H26" s="248"/>
      <c r="I26" s="61"/>
      <c r="J26" s="61"/>
      <c r="K26" s="61"/>
    </row>
    <row r="27" spans="1:11" ht="15" thickBot="1">
      <c r="A27" s="158"/>
      <c r="B27" s="62"/>
      <c r="C27" s="62"/>
      <c r="D27" s="62"/>
      <c r="E27" s="62"/>
      <c r="F27" s="157"/>
      <c r="G27" s="106">
        <v>24</v>
      </c>
      <c r="H27" s="249"/>
      <c r="I27" s="271"/>
      <c r="J27" s="271"/>
      <c r="K27" s="271"/>
    </row>
    <row r="28" spans="1:11" ht="16.5" thickBot="1">
      <c r="A28" s="1132" t="s">
        <v>337</v>
      </c>
      <c r="B28" s="1133"/>
      <c r="C28" s="1133"/>
      <c r="D28" s="1133"/>
      <c r="E28" s="1133"/>
      <c r="F28" s="1133"/>
      <c r="G28" s="1133"/>
      <c r="H28" s="1133"/>
      <c r="I28" s="1134"/>
    </row>
    <row r="29" spans="1:11" ht="12.75" customHeight="1">
      <c r="A29" s="1123" t="s">
        <v>549</v>
      </c>
      <c r="B29" s="1124"/>
      <c r="C29" s="1124"/>
      <c r="D29" s="1124"/>
      <c r="E29" s="1124"/>
      <c r="F29" s="1124"/>
      <c r="G29" s="1124"/>
      <c r="H29" s="1124"/>
      <c r="I29" s="1125"/>
    </row>
    <row r="30" spans="1:11" ht="12.75" customHeight="1">
      <c r="A30" s="1126"/>
      <c r="B30" s="1127"/>
      <c r="C30" s="1127"/>
      <c r="D30" s="1127"/>
      <c r="E30" s="1127"/>
      <c r="F30" s="1127"/>
      <c r="G30" s="1127"/>
      <c r="H30" s="1127"/>
      <c r="I30" s="1128"/>
    </row>
    <row r="31" spans="1:11" ht="12.75" customHeight="1">
      <c r="A31" s="1126"/>
      <c r="B31" s="1127"/>
      <c r="C31" s="1127"/>
      <c r="D31" s="1127"/>
      <c r="E31" s="1127"/>
      <c r="F31" s="1127"/>
      <c r="G31" s="1127"/>
      <c r="H31" s="1127"/>
      <c r="I31" s="1128"/>
    </row>
    <row r="32" spans="1:11" s="280" customFormat="1" ht="12.75" customHeight="1">
      <c r="A32" s="1126"/>
      <c r="B32" s="1127"/>
      <c r="C32" s="1127"/>
      <c r="D32" s="1127"/>
      <c r="E32" s="1127"/>
      <c r="F32" s="1127"/>
      <c r="G32" s="1127"/>
      <c r="H32" s="1127"/>
      <c r="I32" s="1128"/>
    </row>
    <row r="33" spans="1:9" ht="13.5" customHeight="1" thickBot="1">
      <c r="A33" s="1129"/>
      <c r="B33" s="1130"/>
      <c r="C33" s="1130"/>
      <c r="D33" s="1130"/>
      <c r="E33" s="1130"/>
      <c r="F33" s="1130"/>
      <c r="G33" s="1130"/>
      <c r="H33" s="1130"/>
      <c r="I33" s="1131"/>
    </row>
    <row r="34" spans="1:9" ht="16.5" thickBot="1">
      <c r="A34" s="1135" t="s">
        <v>380</v>
      </c>
      <c r="B34" s="1135"/>
      <c r="C34" s="1135"/>
      <c r="D34" s="1135"/>
      <c r="E34" s="1135"/>
      <c r="F34" s="1135"/>
      <c r="G34" s="1135"/>
      <c r="H34" s="1135"/>
      <c r="I34" s="1136"/>
    </row>
    <row r="35" spans="1:9" ht="12.75" customHeight="1">
      <c r="A35" s="1123" t="s">
        <v>539</v>
      </c>
      <c r="B35" s="1124"/>
      <c r="C35" s="1124"/>
      <c r="D35" s="1124"/>
      <c r="E35" s="1124"/>
      <c r="F35" s="1124"/>
      <c r="G35" s="1124"/>
      <c r="H35" s="1124"/>
      <c r="I35" s="1125"/>
    </row>
    <row r="36" spans="1:9" ht="12.75" customHeight="1">
      <c r="A36" s="1126"/>
      <c r="B36" s="1127"/>
      <c r="C36" s="1127"/>
      <c r="D36" s="1127"/>
      <c r="E36" s="1127"/>
      <c r="F36" s="1127"/>
      <c r="G36" s="1127"/>
      <c r="H36" s="1127"/>
      <c r="I36" s="1128"/>
    </row>
    <row r="37" spans="1:9" ht="13.5" customHeight="1" thickBot="1">
      <c r="A37" s="1129"/>
      <c r="B37" s="1130"/>
      <c r="C37" s="1130"/>
      <c r="D37" s="1130"/>
      <c r="E37" s="1130"/>
      <c r="F37" s="1130"/>
      <c r="G37" s="1130"/>
      <c r="H37" s="1130"/>
      <c r="I37" s="1131"/>
    </row>
  </sheetData>
  <mergeCells count="5">
    <mergeCell ref="A1:F1"/>
    <mergeCell ref="A29:I33"/>
    <mergeCell ref="A28:I28"/>
    <mergeCell ref="A34:I34"/>
    <mergeCell ref="A35:I37"/>
  </mergeCells>
  <phoneticPr fontId="6" type="noConversion"/>
  <pageMargins left="0.75" right="0.75" top="1" bottom="1" header="0.5" footer="0.5"/>
  <pageSetup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dimension ref="A1:I252"/>
  <sheetViews>
    <sheetView topLeftCell="A184" zoomScale="85" zoomScaleNormal="85" workbookViewId="0">
      <selection activeCell="C201" sqref="C201"/>
    </sheetView>
  </sheetViews>
  <sheetFormatPr defaultRowHeight="12.75"/>
  <cols>
    <col min="1" max="1" width="36.5703125" bestFit="1" customWidth="1"/>
    <col min="2" max="2" width="44.28515625" customWidth="1"/>
    <col min="3" max="4" width="40.7109375" bestFit="1" customWidth="1"/>
    <col min="5" max="5" width="20.7109375" customWidth="1"/>
  </cols>
  <sheetData>
    <row r="1" spans="1:9">
      <c r="A1" s="1137" t="s">
        <v>2</v>
      </c>
      <c r="B1" s="1137"/>
      <c r="C1" s="1137"/>
      <c r="D1" s="15"/>
      <c r="H1" s="1"/>
      <c r="I1" s="1"/>
    </row>
    <row r="2" spans="1:9" ht="15" thickBot="1">
      <c r="A2" s="16"/>
      <c r="B2" s="16"/>
      <c r="C2" s="17"/>
      <c r="D2" s="18"/>
    </row>
    <row r="3" spans="1:9" ht="15.75" thickBot="1">
      <c r="A3" s="19" t="s">
        <v>332</v>
      </c>
      <c r="B3" s="20" t="s">
        <v>22</v>
      </c>
      <c r="C3" s="19" t="s">
        <v>119</v>
      </c>
      <c r="D3" s="48" t="s">
        <v>208</v>
      </c>
    </row>
    <row r="4" spans="1:9" ht="14.25">
      <c r="A4" s="21" t="s">
        <v>18</v>
      </c>
      <c r="B4" s="22" t="s">
        <v>23</v>
      </c>
      <c r="C4" s="14">
        <v>25</v>
      </c>
      <c r="D4" s="68">
        <v>6</v>
      </c>
      <c r="E4" s="284"/>
      <c r="G4" s="294"/>
    </row>
    <row r="5" spans="1:9" ht="14.25">
      <c r="A5" s="23" t="s">
        <v>19</v>
      </c>
      <c r="B5" s="24" t="s">
        <v>24</v>
      </c>
      <c r="C5" s="14">
        <v>50</v>
      </c>
      <c r="D5" s="68">
        <v>12</v>
      </c>
      <c r="E5" s="284"/>
    </row>
    <row r="6" spans="1:9" ht="14.25">
      <c r="A6" s="23" t="s">
        <v>20</v>
      </c>
      <c r="B6" s="24" t="s">
        <v>25</v>
      </c>
      <c r="C6" s="14">
        <v>100</v>
      </c>
      <c r="D6" s="68">
        <v>24</v>
      </c>
      <c r="E6" s="284"/>
    </row>
    <row r="7" spans="1:9" ht="15" thickBot="1">
      <c r="A7" s="25" t="s">
        <v>21</v>
      </c>
      <c r="B7" s="26" t="s">
        <v>27</v>
      </c>
      <c r="C7" s="27">
        <v>150</v>
      </c>
      <c r="D7" s="3">
        <v>36</v>
      </c>
      <c r="E7" s="284"/>
    </row>
    <row r="8" spans="1:9" ht="14.25">
      <c r="A8" s="28"/>
      <c r="B8" s="29"/>
      <c r="C8" s="29"/>
      <c r="D8" s="18"/>
    </row>
    <row r="9" spans="1:9" ht="15" thickBot="1">
      <c r="A9" s="30"/>
      <c r="B9" s="16"/>
      <c r="C9" s="29"/>
      <c r="D9" s="18"/>
    </row>
    <row r="10" spans="1:9" ht="15.75" thickBot="1">
      <c r="A10" s="31" t="s">
        <v>22</v>
      </c>
      <c r="B10" s="20" t="s">
        <v>26</v>
      </c>
      <c r="C10" s="29"/>
      <c r="D10" s="18"/>
    </row>
    <row r="11" spans="1:9" s="198" customFormat="1" ht="15" thickBot="1">
      <c r="A11" s="204" t="s">
        <v>69</v>
      </c>
      <c r="B11" s="203">
        <v>0</v>
      </c>
      <c r="C11" s="29"/>
      <c r="D11" s="18"/>
    </row>
    <row r="12" spans="1:9" ht="14.25">
      <c r="A12" s="21" t="s">
        <v>48</v>
      </c>
      <c r="B12" s="22">
        <v>2</v>
      </c>
      <c r="C12" s="29"/>
      <c r="D12" s="18"/>
    </row>
    <row r="13" spans="1:9" ht="14.25">
      <c r="A13" s="23" t="s">
        <v>49</v>
      </c>
      <c r="B13" s="24">
        <v>3.5</v>
      </c>
      <c r="C13" s="29"/>
      <c r="D13" s="18"/>
    </row>
    <row r="14" spans="1:9" ht="15" thickBot="1">
      <c r="A14" s="32" t="s">
        <v>50</v>
      </c>
      <c r="B14" s="26">
        <v>5</v>
      </c>
      <c r="C14" s="29"/>
      <c r="D14" s="18"/>
    </row>
    <row r="15" spans="1:9" s="461" customFormat="1" ht="14.25">
      <c r="A15" s="473"/>
      <c r="B15" s="472"/>
      <c r="C15" s="29"/>
      <c r="D15" s="18"/>
    </row>
    <row r="16" spans="1:9" s="461" customFormat="1" ht="15" thickBot="1">
      <c r="A16" s="474"/>
      <c r="B16" s="475"/>
      <c r="C16" s="29"/>
      <c r="D16" s="18"/>
    </row>
    <row r="17" spans="1:4" s="461" customFormat="1" ht="15.75" thickBot="1">
      <c r="A17" s="476" t="s">
        <v>398</v>
      </c>
      <c r="B17" s="477" t="s">
        <v>399</v>
      </c>
      <c r="C17" s="477" t="s">
        <v>399</v>
      </c>
      <c r="D17" s="18"/>
    </row>
    <row r="18" spans="1:4" s="461" customFormat="1" ht="14.25">
      <c r="A18" s="467">
        <v>0</v>
      </c>
      <c r="B18" s="43" t="s">
        <v>48</v>
      </c>
      <c r="C18" s="262" t="s">
        <v>491</v>
      </c>
      <c r="D18" s="18"/>
    </row>
    <row r="19" spans="1:4" s="461" customFormat="1" ht="14.25">
      <c r="A19" s="468">
        <v>2</v>
      </c>
      <c r="B19" s="24" t="s">
        <v>48</v>
      </c>
      <c r="C19" s="203" t="s">
        <v>491</v>
      </c>
      <c r="D19" s="18"/>
    </row>
    <row r="20" spans="1:4" s="461" customFormat="1" ht="14.25">
      <c r="A20" s="469">
        <v>2.1</v>
      </c>
      <c r="B20" s="24" t="s">
        <v>49</v>
      </c>
      <c r="C20" s="203" t="s">
        <v>492</v>
      </c>
      <c r="D20" s="18"/>
    </row>
    <row r="21" spans="1:4" s="461" customFormat="1" ht="14.25">
      <c r="A21" s="466">
        <v>3.5</v>
      </c>
      <c r="B21" s="24" t="s">
        <v>49</v>
      </c>
      <c r="C21" s="203" t="s">
        <v>492</v>
      </c>
      <c r="D21" s="18"/>
    </row>
    <row r="22" spans="1:4" s="461" customFormat="1" ht="14.25">
      <c r="A22" s="470">
        <v>3.6</v>
      </c>
      <c r="B22" s="33" t="s">
        <v>50</v>
      </c>
      <c r="C22" s="66" t="s">
        <v>493</v>
      </c>
      <c r="D22" s="18"/>
    </row>
    <row r="23" spans="1:4" s="461" customFormat="1" ht="15" thickBot="1">
      <c r="A23" s="471">
        <v>5</v>
      </c>
      <c r="B23" s="26" t="s">
        <v>50</v>
      </c>
      <c r="C23" s="574" t="s">
        <v>493</v>
      </c>
      <c r="D23" s="18"/>
    </row>
    <row r="24" spans="1:4" ht="14.25">
      <c r="A24" s="34"/>
      <c r="B24" s="12"/>
      <c r="C24" s="65"/>
      <c r="D24" s="18"/>
    </row>
    <row r="25" spans="1:4" ht="15" thickBot="1">
      <c r="A25" s="29"/>
      <c r="B25" s="29"/>
      <c r="C25" s="72"/>
      <c r="D25" s="18"/>
    </row>
    <row r="26" spans="1:4" ht="15.75" thickBot="1">
      <c r="A26" s="35" t="s">
        <v>38</v>
      </c>
      <c r="B26" s="31" t="s">
        <v>80</v>
      </c>
      <c r="C26" s="29"/>
      <c r="D26" s="18"/>
    </row>
    <row r="27" spans="1:4" ht="14.25">
      <c r="A27" s="819" t="s">
        <v>37</v>
      </c>
      <c r="B27" s="56">
        <v>100</v>
      </c>
      <c r="C27" s="29"/>
      <c r="D27" s="18"/>
    </row>
    <row r="28" spans="1:4" ht="14.25">
      <c r="A28" s="819" t="s">
        <v>36</v>
      </c>
      <c r="B28" s="14">
        <v>200</v>
      </c>
      <c r="C28" s="29"/>
      <c r="D28" s="18"/>
    </row>
    <row r="29" spans="1:4" s="233" customFormat="1" ht="14.25">
      <c r="A29" s="817" t="s">
        <v>35</v>
      </c>
      <c r="B29" s="820">
        <v>200</v>
      </c>
      <c r="C29" s="29"/>
      <c r="D29" s="18"/>
    </row>
    <row r="30" spans="1:4" s="813" customFormat="1" ht="15" thickBot="1">
      <c r="A30" s="818" t="s">
        <v>644</v>
      </c>
      <c r="B30" s="543">
        <v>100</v>
      </c>
      <c r="C30" s="29"/>
      <c r="D30" s="18"/>
    </row>
    <row r="31" spans="1:4" ht="14.25">
      <c r="A31" s="831"/>
      <c r="B31" s="29"/>
      <c r="C31" s="29"/>
      <c r="D31" s="18"/>
    </row>
    <row r="32" spans="1:4" ht="15" thickBot="1">
      <c r="A32" s="29"/>
      <c r="B32" s="16"/>
      <c r="C32" s="29"/>
      <c r="D32" s="18"/>
    </row>
    <row r="33" spans="1:4" ht="15.75" thickBot="1">
      <c r="A33" s="31" t="s">
        <v>71</v>
      </c>
      <c r="B33" s="57" t="s">
        <v>153</v>
      </c>
      <c r="C33" s="19" t="s">
        <v>415</v>
      </c>
      <c r="D33" s="19" t="s">
        <v>416</v>
      </c>
    </row>
    <row r="34" spans="1:4" ht="14.25">
      <c r="A34" s="11">
        <v>1</v>
      </c>
      <c r="B34" s="51" t="s">
        <v>154</v>
      </c>
      <c r="C34" s="56">
        <v>2</v>
      </c>
      <c r="D34" s="56">
        <v>2</v>
      </c>
    </row>
    <row r="35" spans="1:4" ht="14.25">
      <c r="A35" s="11">
        <v>5</v>
      </c>
      <c r="B35" s="52" t="s">
        <v>155</v>
      </c>
      <c r="C35" s="14">
        <v>4</v>
      </c>
      <c r="D35" s="14">
        <v>4</v>
      </c>
    </row>
    <row r="36" spans="1:4" ht="14.25">
      <c r="A36" s="11">
        <v>9</v>
      </c>
      <c r="B36" s="52" t="s">
        <v>156</v>
      </c>
      <c r="C36" s="14">
        <v>6</v>
      </c>
      <c r="D36" s="14">
        <v>5</v>
      </c>
    </row>
    <row r="37" spans="1:4" ht="14.25">
      <c r="A37" s="11">
        <v>13</v>
      </c>
      <c r="B37" s="52" t="s">
        <v>157</v>
      </c>
      <c r="C37" s="14">
        <v>8</v>
      </c>
      <c r="D37" s="14">
        <v>6</v>
      </c>
    </row>
    <row r="38" spans="1:4" ht="14.25">
      <c r="A38" s="11">
        <v>17</v>
      </c>
      <c r="B38" s="52" t="s">
        <v>158</v>
      </c>
      <c r="C38" s="14">
        <v>10</v>
      </c>
      <c r="D38" s="14">
        <v>7</v>
      </c>
    </row>
    <row r="39" spans="1:4" ht="14.25">
      <c r="A39" s="11">
        <v>21</v>
      </c>
      <c r="B39" s="53" t="s">
        <v>159</v>
      </c>
      <c r="C39" s="14">
        <v>12</v>
      </c>
      <c r="D39" s="14">
        <v>8</v>
      </c>
    </row>
    <row r="40" spans="1:4" ht="14.25">
      <c r="A40" s="11">
        <v>25</v>
      </c>
      <c r="B40" s="53" t="s">
        <v>160</v>
      </c>
      <c r="C40" s="14">
        <v>14</v>
      </c>
      <c r="D40" s="14">
        <v>9</v>
      </c>
    </row>
    <row r="41" spans="1:4" ht="14.25">
      <c r="A41" s="11">
        <v>29</v>
      </c>
      <c r="B41" s="53" t="s">
        <v>161</v>
      </c>
      <c r="C41" s="14">
        <v>16</v>
      </c>
      <c r="D41" s="14">
        <v>10</v>
      </c>
    </row>
    <row r="42" spans="1:4" ht="14.25">
      <c r="A42" s="11">
        <v>33</v>
      </c>
      <c r="B42" s="53" t="s">
        <v>162</v>
      </c>
      <c r="C42" s="14">
        <v>18</v>
      </c>
      <c r="D42" s="14">
        <v>11</v>
      </c>
    </row>
    <row r="43" spans="1:4" ht="14.25">
      <c r="A43" s="11">
        <v>37</v>
      </c>
      <c r="B43" s="53" t="s">
        <v>163</v>
      </c>
      <c r="C43" s="14">
        <v>20</v>
      </c>
      <c r="D43" s="14">
        <v>12</v>
      </c>
    </row>
    <row r="44" spans="1:4" ht="14.25">
      <c r="A44" s="11">
        <v>41</v>
      </c>
      <c r="B44" s="53" t="s">
        <v>164</v>
      </c>
      <c r="C44" s="14">
        <v>22</v>
      </c>
      <c r="D44" s="14">
        <v>13</v>
      </c>
    </row>
    <row r="45" spans="1:4" ht="14.25">
      <c r="A45" s="11">
        <v>45</v>
      </c>
      <c r="B45" s="53" t="s">
        <v>165</v>
      </c>
      <c r="C45" s="14">
        <v>24</v>
      </c>
      <c r="D45" s="14">
        <v>14</v>
      </c>
    </row>
    <row r="46" spans="1:4" ht="14.25">
      <c r="A46" s="11">
        <v>49</v>
      </c>
      <c r="B46" s="54">
        <v>49</v>
      </c>
      <c r="C46" s="14">
        <v>26</v>
      </c>
      <c r="D46" s="14">
        <v>15</v>
      </c>
    </row>
    <row r="47" spans="1:4" ht="15" thickBot="1">
      <c r="A47" s="7">
        <v>50</v>
      </c>
      <c r="B47" s="55">
        <v>50</v>
      </c>
      <c r="C47" s="27">
        <v>26</v>
      </c>
      <c r="D47" s="27">
        <v>15</v>
      </c>
    </row>
    <row r="48" spans="1:4" ht="14.25">
      <c r="A48" s="29"/>
      <c r="B48" s="29"/>
      <c r="C48" s="29"/>
      <c r="D48" s="18"/>
    </row>
    <row r="49" spans="1:4" ht="15" thickBot="1">
      <c r="A49" s="29"/>
      <c r="B49" s="29"/>
      <c r="C49" s="29"/>
      <c r="D49" s="18"/>
    </row>
    <row r="50" spans="1:4" ht="15.75" thickBot="1">
      <c r="A50" s="19" t="s">
        <v>60</v>
      </c>
      <c r="B50" s="19" t="s">
        <v>68</v>
      </c>
      <c r="C50" s="29"/>
      <c r="D50" s="18"/>
    </row>
    <row r="51" spans="1:4" ht="14.25">
      <c r="A51" s="11" t="s">
        <v>62</v>
      </c>
      <c r="B51" s="36" t="s">
        <v>69</v>
      </c>
      <c r="C51" s="29"/>
      <c r="D51" s="18"/>
    </row>
    <row r="52" spans="1:4" ht="14.25">
      <c r="A52" s="11" t="s">
        <v>63</v>
      </c>
      <c r="B52" s="24" t="s">
        <v>65</v>
      </c>
      <c r="C52" s="29"/>
      <c r="D52" s="18"/>
    </row>
    <row r="53" spans="1:4" ht="14.25">
      <c r="A53" s="11" t="s">
        <v>63</v>
      </c>
      <c r="B53" s="24" t="s">
        <v>66</v>
      </c>
      <c r="C53" s="29"/>
      <c r="D53" s="18"/>
    </row>
    <row r="54" spans="1:4" ht="14.25">
      <c r="A54" s="11" t="s">
        <v>63</v>
      </c>
      <c r="B54" s="24" t="s">
        <v>67</v>
      </c>
      <c r="C54" s="29"/>
      <c r="D54" s="18"/>
    </row>
    <row r="55" spans="1:4" ht="14.25">
      <c r="A55" s="11" t="s">
        <v>64</v>
      </c>
      <c r="B55" s="24" t="s">
        <v>65</v>
      </c>
      <c r="C55" s="29"/>
      <c r="D55" s="18"/>
    </row>
    <row r="56" spans="1:4" ht="14.25">
      <c r="A56" s="11" t="s">
        <v>64</v>
      </c>
      <c r="B56" s="24" t="s">
        <v>66</v>
      </c>
      <c r="C56" s="29"/>
      <c r="D56" s="18"/>
    </row>
    <row r="57" spans="1:4" ht="15" thickBot="1">
      <c r="A57" s="7" t="s">
        <v>64</v>
      </c>
      <c r="B57" s="26" t="s">
        <v>67</v>
      </c>
      <c r="C57" s="29"/>
      <c r="D57" s="18"/>
    </row>
    <row r="58" spans="1:4" ht="14.25">
      <c r="A58" s="29"/>
      <c r="B58" s="29"/>
      <c r="C58" s="29"/>
      <c r="D58" s="18"/>
    </row>
    <row r="59" spans="1:4" ht="15" thickBot="1">
      <c r="A59" s="29"/>
      <c r="B59" s="29"/>
      <c r="C59" s="29"/>
      <c r="D59" s="18"/>
    </row>
    <row r="60" spans="1:4" ht="15.75" thickBot="1">
      <c r="A60" s="19" t="s">
        <v>68</v>
      </c>
      <c r="B60" s="31" t="s">
        <v>70</v>
      </c>
      <c r="C60" s="29"/>
      <c r="D60" s="18"/>
    </row>
    <row r="61" spans="1:4" ht="14.25">
      <c r="A61" s="24" t="s">
        <v>65</v>
      </c>
      <c r="B61" s="11">
        <v>1</v>
      </c>
      <c r="C61" s="29"/>
      <c r="D61" s="18"/>
    </row>
    <row r="62" spans="1:4" ht="14.25">
      <c r="A62" s="24" t="s">
        <v>66</v>
      </c>
      <c r="B62" s="255" t="s">
        <v>329</v>
      </c>
      <c r="C62" s="29"/>
      <c r="D62" s="18"/>
    </row>
    <row r="63" spans="1:4" ht="15" thickBot="1">
      <c r="A63" s="26" t="s">
        <v>67</v>
      </c>
      <c r="B63" s="256" t="s">
        <v>329</v>
      </c>
      <c r="C63" s="29"/>
      <c r="D63" s="18"/>
    </row>
    <row r="64" spans="1:4" ht="14.25">
      <c r="A64" s="70"/>
      <c r="B64" s="71"/>
      <c r="C64" s="72"/>
      <c r="D64" s="18"/>
    </row>
    <row r="65" spans="1:4" ht="15" thickBot="1">
      <c r="A65" s="44"/>
      <c r="B65" s="12"/>
      <c r="C65" s="45"/>
      <c r="D65" s="156"/>
    </row>
    <row r="66" spans="1:4" ht="15.75" thickBot="1">
      <c r="A66" s="19" t="s">
        <v>127</v>
      </c>
      <c r="B66" s="31" t="s">
        <v>195</v>
      </c>
      <c r="C66" s="45"/>
      <c r="D66" s="156"/>
    </row>
    <row r="67" spans="1:4" ht="14.25">
      <c r="A67" s="262">
        <v>1</v>
      </c>
      <c r="B67" s="259">
        <v>1</v>
      </c>
      <c r="C67" s="45"/>
      <c r="D67" s="156"/>
    </row>
    <row r="68" spans="1:4" ht="14.25">
      <c r="A68" s="203">
        <v>2</v>
      </c>
      <c r="B68" s="203">
        <v>1</v>
      </c>
      <c r="C68" s="45"/>
      <c r="D68" s="156"/>
    </row>
    <row r="69" spans="1:4" ht="14.25">
      <c r="A69" s="203">
        <v>3</v>
      </c>
      <c r="B69" s="203">
        <v>1</v>
      </c>
      <c r="C69" s="45"/>
      <c r="D69" s="156"/>
    </row>
    <row r="70" spans="1:4" ht="14.25">
      <c r="A70" s="260">
        <v>4</v>
      </c>
      <c r="B70" s="260">
        <v>1</v>
      </c>
      <c r="C70" s="46"/>
      <c r="D70" s="156"/>
    </row>
    <row r="71" spans="1:4" ht="14.25">
      <c r="A71" s="66">
        <v>5</v>
      </c>
      <c r="B71" s="66">
        <v>1</v>
      </c>
      <c r="C71" s="45"/>
      <c r="D71" s="156"/>
    </row>
    <row r="72" spans="1:4" ht="14.25">
      <c r="A72" s="66">
        <v>6</v>
      </c>
      <c r="B72" s="66">
        <v>1</v>
      </c>
      <c r="C72" s="45"/>
      <c r="D72" s="156"/>
    </row>
    <row r="73" spans="1:4" ht="14.25">
      <c r="A73" s="60">
        <v>7</v>
      </c>
      <c r="B73" s="68">
        <v>1</v>
      </c>
      <c r="C73" s="45"/>
      <c r="D73" s="156"/>
    </row>
    <row r="74" spans="1:4" ht="14.25">
      <c r="A74" s="60">
        <v>14</v>
      </c>
      <c r="B74" s="68">
        <v>2</v>
      </c>
      <c r="C74" s="45"/>
      <c r="D74" s="156"/>
    </row>
    <row r="75" spans="1:4" ht="14.25">
      <c r="A75" s="160">
        <v>21</v>
      </c>
      <c r="B75" s="68">
        <v>3</v>
      </c>
      <c r="C75" s="45"/>
      <c r="D75" s="156"/>
    </row>
    <row r="76" spans="1:4" ht="14.25">
      <c r="A76" s="160">
        <v>28</v>
      </c>
      <c r="B76" s="68">
        <v>4</v>
      </c>
      <c r="C76" s="45"/>
      <c r="D76" s="156"/>
    </row>
    <row r="77" spans="1:4" ht="14.25">
      <c r="A77" s="160">
        <v>35</v>
      </c>
      <c r="B77" s="68">
        <v>5</v>
      </c>
      <c r="C77" s="45"/>
      <c r="D77" s="156"/>
    </row>
    <row r="78" spans="1:4" ht="14.25">
      <c r="A78" s="160">
        <v>42</v>
      </c>
      <c r="B78" s="68">
        <v>6</v>
      </c>
      <c r="C78" s="45"/>
      <c r="D78" s="156"/>
    </row>
    <row r="79" spans="1:4" ht="14.25">
      <c r="A79" s="160">
        <v>49</v>
      </c>
      <c r="B79" s="68">
        <v>7</v>
      </c>
      <c r="C79" s="45"/>
      <c r="D79" s="156"/>
    </row>
    <row r="80" spans="1:4" ht="15" thickBot="1">
      <c r="A80" s="3">
        <v>50</v>
      </c>
      <c r="B80" s="261">
        <v>7</v>
      </c>
      <c r="C80" s="274"/>
      <c r="D80" s="156"/>
    </row>
    <row r="81" spans="1:4" ht="13.5" hidden="1" thickBot="1">
      <c r="A81" s="13"/>
      <c r="B81" s="8"/>
      <c r="C81" s="64"/>
      <c r="D81" s="58"/>
    </row>
    <row r="82" spans="1:4" hidden="1">
      <c r="C82" s="46"/>
      <c r="D82" s="46"/>
    </row>
    <row r="83" spans="1:4" hidden="1">
      <c r="C83" s="46"/>
      <c r="D83" s="46"/>
    </row>
    <row r="84" spans="1:4" ht="15.75" hidden="1" thickBot="1">
      <c r="A84" s="19" t="s">
        <v>29</v>
      </c>
      <c r="B84" s="19" t="s">
        <v>30</v>
      </c>
      <c r="C84" s="275" t="s">
        <v>89</v>
      </c>
      <c r="D84" s="46"/>
    </row>
    <row r="85" spans="1:4" ht="14.25" hidden="1">
      <c r="A85" s="33" t="s">
        <v>90</v>
      </c>
      <c r="B85" s="14">
        <v>36</v>
      </c>
      <c r="C85" s="276">
        <v>130</v>
      </c>
      <c r="D85" s="46"/>
    </row>
    <row r="86" spans="1:4" ht="14.25" hidden="1">
      <c r="A86" s="33" t="s">
        <v>92</v>
      </c>
      <c r="B86" s="14">
        <v>36</v>
      </c>
      <c r="C86" s="277">
        <v>180</v>
      </c>
      <c r="D86" s="46"/>
    </row>
    <row r="87" spans="1:4" ht="14.25" hidden="1">
      <c r="A87" s="33" t="s">
        <v>93</v>
      </c>
      <c r="B87" s="14">
        <v>36</v>
      </c>
      <c r="C87" s="277">
        <v>165</v>
      </c>
      <c r="D87" s="46"/>
    </row>
    <row r="88" spans="1:4" ht="14.25" hidden="1">
      <c r="A88" s="37" t="s">
        <v>94</v>
      </c>
      <c r="B88" s="38">
        <v>36</v>
      </c>
      <c r="C88" s="277"/>
      <c r="D88" s="46"/>
    </row>
    <row r="89" spans="1:4" ht="14.25" hidden="1">
      <c r="A89" s="33" t="s">
        <v>91</v>
      </c>
      <c r="B89" s="14">
        <v>72</v>
      </c>
      <c r="C89" s="276">
        <v>130</v>
      </c>
      <c r="D89" s="46"/>
    </row>
    <row r="90" spans="1:4" ht="14.25" hidden="1">
      <c r="A90" s="33" t="s">
        <v>99</v>
      </c>
      <c r="B90" s="14">
        <v>72</v>
      </c>
      <c r="C90" s="277">
        <v>180</v>
      </c>
      <c r="D90" s="46"/>
    </row>
    <row r="91" spans="1:4" ht="14.25" hidden="1">
      <c r="A91" s="33" t="s">
        <v>95</v>
      </c>
      <c r="B91" s="14">
        <v>72</v>
      </c>
      <c r="C91" s="277">
        <v>165</v>
      </c>
      <c r="D91" s="46"/>
    </row>
    <row r="92" spans="1:4" ht="14.25" hidden="1">
      <c r="A92" s="37" t="s">
        <v>96</v>
      </c>
      <c r="B92" s="38">
        <v>72</v>
      </c>
      <c r="C92" s="277"/>
      <c r="D92" s="46"/>
    </row>
    <row r="93" spans="1:4" ht="14.25" hidden="1">
      <c r="A93" s="33" t="s">
        <v>100</v>
      </c>
      <c r="B93" s="14">
        <v>146</v>
      </c>
      <c r="C93" s="277">
        <v>130</v>
      </c>
      <c r="D93" s="46"/>
    </row>
    <row r="94" spans="1:4" ht="14.25" hidden="1">
      <c r="A94" s="33" t="s">
        <v>101</v>
      </c>
      <c r="B94" s="14">
        <v>146</v>
      </c>
      <c r="C94" s="277">
        <v>180</v>
      </c>
      <c r="D94" s="46"/>
    </row>
    <row r="95" spans="1:4" ht="14.25" hidden="1">
      <c r="A95" s="33" t="s">
        <v>97</v>
      </c>
      <c r="B95" s="14">
        <v>146</v>
      </c>
      <c r="C95" s="277">
        <v>165</v>
      </c>
      <c r="D95" s="46"/>
    </row>
    <row r="96" spans="1:4" ht="14.25" hidden="1">
      <c r="A96" s="37" t="s">
        <v>98</v>
      </c>
      <c r="B96" s="38">
        <v>146</v>
      </c>
      <c r="C96" s="277"/>
      <c r="D96" s="46"/>
    </row>
    <row r="97" spans="1:6" ht="14.25" hidden="1">
      <c r="A97" s="33" t="s">
        <v>85</v>
      </c>
      <c r="B97" s="14">
        <v>250</v>
      </c>
      <c r="C97" s="277">
        <v>90</v>
      </c>
      <c r="D97" s="46"/>
    </row>
    <row r="98" spans="1:6" ht="14.25" hidden="1">
      <c r="A98" s="33" t="s">
        <v>86</v>
      </c>
      <c r="B98" s="14">
        <v>250</v>
      </c>
      <c r="C98" s="277">
        <v>75</v>
      </c>
      <c r="D98" s="46"/>
    </row>
    <row r="99" spans="1:6" ht="14.25" hidden="1">
      <c r="A99" s="39" t="s">
        <v>102</v>
      </c>
      <c r="B99" s="40">
        <v>300</v>
      </c>
      <c r="C99" s="277">
        <v>130</v>
      </c>
      <c r="D99" s="46"/>
    </row>
    <row r="100" spans="1:6" ht="14.25" hidden="1">
      <c r="A100" s="37" t="s">
        <v>103</v>
      </c>
      <c r="B100" s="38">
        <v>300</v>
      </c>
      <c r="C100" s="277">
        <v>180</v>
      </c>
      <c r="D100" s="46"/>
    </row>
    <row r="101" spans="1:6" ht="14.25" hidden="1">
      <c r="A101" s="33" t="s">
        <v>87</v>
      </c>
      <c r="B101" s="14">
        <v>500</v>
      </c>
      <c r="C101" s="277">
        <v>90</v>
      </c>
      <c r="D101" s="46"/>
    </row>
    <row r="102" spans="1:6" ht="15" hidden="1" thickBot="1">
      <c r="A102" s="33" t="s">
        <v>88</v>
      </c>
      <c r="B102" s="27">
        <v>500</v>
      </c>
      <c r="C102" s="278">
        <v>75</v>
      </c>
      <c r="D102" s="46"/>
    </row>
    <row r="103" spans="1:6" hidden="1">
      <c r="C103" s="46"/>
      <c r="D103" s="46"/>
    </row>
    <row r="104" spans="1:6">
      <c r="A104" s="46"/>
      <c r="B104" s="45"/>
      <c r="C104" s="45"/>
      <c r="D104" s="156"/>
    </row>
    <row r="105" spans="1:6" ht="13.5" thickBot="1">
      <c r="A105" s="64"/>
      <c r="B105" s="46"/>
      <c r="C105" s="46"/>
      <c r="D105" s="156"/>
    </row>
    <row r="106" spans="1:6" ht="15.75" thickBot="1">
      <c r="A106" s="272" t="s">
        <v>333</v>
      </c>
      <c r="B106" s="19" t="s">
        <v>334</v>
      </c>
      <c r="C106" s="46"/>
      <c r="D106" s="156"/>
    </row>
    <row r="107" spans="1:6" ht="14.25">
      <c r="A107" s="181">
        <v>1</v>
      </c>
      <c r="B107" s="149">
        <v>1</v>
      </c>
      <c r="C107" s="46"/>
      <c r="D107" s="156"/>
    </row>
    <row r="108" spans="1:6" ht="14.25">
      <c r="A108" s="181">
        <v>7</v>
      </c>
      <c r="B108" s="146">
        <v>1</v>
      </c>
      <c r="C108" s="46"/>
      <c r="D108" s="156"/>
    </row>
    <row r="109" spans="1:6" ht="14.25">
      <c r="A109" s="181">
        <v>8</v>
      </c>
      <c r="B109" s="146">
        <v>2</v>
      </c>
      <c r="C109" s="46"/>
      <c r="D109" s="156"/>
      <c r="F109" s="265"/>
    </row>
    <row r="110" spans="1:6" ht="14.25">
      <c r="A110" s="181">
        <v>9</v>
      </c>
      <c r="B110" s="146">
        <v>3</v>
      </c>
      <c r="C110" s="46"/>
      <c r="D110" s="156"/>
      <c r="F110" s="265"/>
    </row>
    <row r="111" spans="1:6" ht="14.25">
      <c r="A111" s="181">
        <v>10</v>
      </c>
      <c r="B111" s="146">
        <v>2</v>
      </c>
      <c r="C111" s="46"/>
      <c r="D111" s="156"/>
      <c r="F111" s="265"/>
    </row>
    <row r="112" spans="1:6" ht="14.25">
      <c r="A112" s="181">
        <v>11</v>
      </c>
      <c r="B112" s="146">
        <v>3</v>
      </c>
      <c r="C112" s="46"/>
      <c r="D112" s="156"/>
      <c r="F112" s="265"/>
    </row>
    <row r="113" spans="1:6" ht="14.25">
      <c r="A113" s="181">
        <v>12</v>
      </c>
      <c r="B113" s="146">
        <v>3</v>
      </c>
      <c r="C113" s="46"/>
      <c r="D113" s="156"/>
      <c r="F113" s="265"/>
    </row>
    <row r="114" spans="1:6" ht="14.25">
      <c r="A114" s="181">
        <v>13</v>
      </c>
      <c r="B114" s="146">
        <v>3</v>
      </c>
      <c r="C114" s="46"/>
      <c r="D114" s="156"/>
      <c r="F114" s="265"/>
    </row>
    <row r="115" spans="1:6" ht="14.25">
      <c r="A115" s="181">
        <v>14</v>
      </c>
      <c r="B115" s="146">
        <v>2</v>
      </c>
      <c r="C115" s="46"/>
      <c r="D115" s="156"/>
      <c r="F115" s="265"/>
    </row>
    <row r="116" spans="1:6" ht="14.25">
      <c r="A116" s="181">
        <v>15</v>
      </c>
      <c r="B116" s="146">
        <v>3</v>
      </c>
      <c r="C116" s="46"/>
      <c r="D116" s="156"/>
      <c r="F116" s="265"/>
    </row>
    <row r="117" spans="1:6" ht="14.25">
      <c r="A117" s="181">
        <v>16</v>
      </c>
      <c r="B117" s="146">
        <v>4</v>
      </c>
      <c r="C117" s="46"/>
      <c r="D117" s="156"/>
      <c r="F117" s="265"/>
    </row>
    <row r="118" spans="1:6" ht="14.25">
      <c r="A118" s="181">
        <v>17</v>
      </c>
      <c r="B118" s="146">
        <v>4</v>
      </c>
      <c r="C118" s="46"/>
      <c r="D118" s="156"/>
      <c r="F118" s="265"/>
    </row>
    <row r="119" spans="1:6" ht="14.25">
      <c r="A119" s="181">
        <v>18</v>
      </c>
      <c r="B119" s="146">
        <v>3</v>
      </c>
      <c r="C119" s="46"/>
      <c r="D119" s="156"/>
      <c r="F119" s="265"/>
    </row>
    <row r="120" spans="1:6" ht="14.25">
      <c r="A120" s="181">
        <v>19</v>
      </c>
      <c r="B120" s="146">
        <v>3</v>
      </c>
      <c r="C120" s="46"/>
      <c r="D120" s="156"/>
      <c r="F120" s="265"/>
    </row>
    <row r="121" spans="1:6" ht="14.25">
      <c r="A121" s="181">
        <v>20</v>
      </c>
      <c r="B121" s="146">
        <v>4</v>
      </c>
      <c r="C121" s="46"/>
      <c r="D121" s="156"/>
      <c r="F121" s="265"/>
    </row>
    <row r="122" spans="1:6" ht="14.25">
      <c r="A122" s="181">
        <v>21</v>
      </c>
      <c r="B122" s="146">
        <v>3</v>
      </c>
      <c r="C122" s="46"/>
      <c r="D122" s="156"/>
      <c r="F122" s="265"/>
    </row>
    <row r="123" spans="1:6" ht="14.25">
      <c r="A123" s="181">
        <v>22</v>
      </c>
      <c r="B123" s="146">
        <v>4</v>
      </c>
      <c r="C123" s="46"/>
      <c r="D123" s="156"/>
      <c r="F123" s="265"/>
    </row>
    <row r="124" spans="1:6" ht="14.25">
      <c r="A124" s="181">
        <v>23</v>
      </c>
      <c r="B124" s="146">
        <v>4</v>
      </c>
      <c r="C124" s="46"/>
      <c r="D124" s="156"/>
      <c r="F124" s="265"/>
    </row>
    <row r="125" spans="1:6" ht="14.25">
      <c r="A125" s="181">
        <v>24</v>
      </c>
      <c r="B125" s="146">
        <v>4</v>
      </c>
      <c r="C125" s="46"/>
      <c r="D125" s="156"/>
      <c r="F125" s="265"/>
    </row>
    <row r="126" spans="1:6" ht="14.25">
      <c r="A126" s="181">
        <v>25</v>
      </c>
      <c r="B126" s="146">
        <v>5</v>
      </c>
      <c r="C126" s="46"/>
      <c r="D126" s="156"/>
      <c r="F126" s="265"/>
    </row>
    <row r="127" spans="1:6" ht="14.25">
      <c r="A127" s="181">
        <v>26</v>
      </c>
      <c r="B127" s="146">
        <v>4</v>
      </c>
      <c r="C127" s="46"/>
      <c r="D127" s="156"/>
      <c r="F127" s="265"/>
    </row>
    <row r="128" spans="1:6" ht="14.25">
      <c r="A128" s="181">
        <v>27</v>
      </c>
      <c r="B128" s="146">
        <v>4</v>
      </c>
      <c r="C128" s="46"/>
      <c r="D128" s="156"/>
      <c r="F128" s="265"/>
    </row>
    <row r="129" spans="1:6" ht="14.25">
      <c r="A129" s="181">
        <v>28</v>
      </c>
      <c r="B129" s="146">
        <v>4</v>
      </c>
      <c r="C129" s="46"/>
      <c r="D129" s="156"/>
      <c r="F129" s="265"/>
    </row>
    <row r="130" spans="1:6" ht="14.25">
      <c r="A130" s="181">
        <v>29</v>
      </c>
      <c r="B130" s="146">
        <v>5</v>
      </c>
      <c r="C130" s="46"/>
      <c r="D130" s="156"/>
      <c r="F130" s="265"/>
    </row>
    <row r="131" spans="1:6" ht="14.25">
      <c r="A131" s="181">
        <v>35</v>
      </c>
      <c r="B131" s="146">
        <v>5</v>
      </c>
      <c r="C131" s="46"/>
      <c r="D131" s="156"/>
      <c r="F131" s="265"/>
    </row>
    <row r="132" spans="1:6" ht="14.25">
      <c r="A132" s="181">
        <v>36</v>
      </c>
      <c r="B132" s="146">
        <v>6</v>
      </c>
      <c r="C132" s="46"/>
      <c r="D132" s="156"/>
      <c r="F132" s="265"/>
    </row>
    <row r="133" spans="1:6" ht="14.25">
      <c r="A133" s="181">
        <v>42</v>
      </c>
      <c r="B133" s="146">
        <v>6</v>
      </c>
      <c r="C133" s="46"/>
      <c r="D133" s="156"/>
      <c r="F133" s="265"/>
    </row>
    <row r="134" spans="1:6" ht="14.25">
      <c r="A134" s="181">
        <v>43</v>
      </c>
      <c r="B134" s="146">
        <v>7</v>
      </c>
      <c r="C134" s="46"/>
      <c r="D134" s="156"/>
      <c r="F134" s="265"/>
    </row>
    <row r="135" spans="1:6" ht="15" thickBot="1">
      <c r="A135" s="273">
        <v>49</v>
      </c>
      <c r="B135" s="148">
        <v>7</v>
      </c>
      <c r="C135" s="46"/>
      <c r="D135" s="156"/>
      <c r="F135" s="265"/>
    </row>
    <row r="136" spans="1:6">
      <c r="A136" s="46"/>
      <c r="B136" s="46"/>
      <c r="C136" s="46"/>
      <c r="D136" s="156"/>
      <c r="F136" s="265"/>
    </row>
    <row r="137" spans="1:6" s="487" customFormat="1" ht="13.5" thickBot="1">
      <c r="A137" s="46"/>
      <c r="B137" s="46"/>
      <c r="C137" s="46"/>
      <c r="D137" s="156"/>
    </row>
    <row r="138" spans="1:6" s="487" customFormat="1" ht="15.75" thickBot="1">
      <c r="A138" s="272" t="s">
        <v>430</v>
      </c>
      <c r="B138" s="19" t="s">
        <v>431</v>
      </c>
      <c r="C138" s="46"/>
      <c r="D138" s="156"/>
    </row>
    <row r="139" spans="1:6" s="487" customFormat="1" ht="14.25">
      <c r="A139" s="499" t="s">
        <v>421</v>
      </c>
      <c r="B139" s="149">
        <v>64000</v>
      </c>
      <c r="C139" s="46"/>
      <c r="D139" s="156"/>
    </row>
    <row r="140" spans="1:6" s="487" customFormat="1" ht="14.25">
      <c r="A140" s="500" t="s">
        <v>422</v>
      </c>
      <c r="B140" s="146">
        <v>128000</v>
      </c>
      <c r="C140" s="46"/>
      <c r="D140" s="156"/>
    </row>
    <row r="141" spans="1:6" s="487" customFormat="1" ht="14.25">
      <c r="A141" s="500" t="s">
        <v>423</v>
      </c>
      <c r="B141" s="146">
        <v>192000</v>
      </c>
      <c r="C141" s="46"/>
      <c r="D141" s="156"/>
    </row>
    <row r="142" spans="1:6" s="487" customFormat="1" ht="14.25">
      <c r="A142" s="500" t="s">
        <v>424</v>
      </c>
      <c r="B142" s="146">
        <v>256000</v>
      </c>
      <c r="C142" s="46"/>
      <c r="D142" s="156"/>
    </row>
    <row r="143" spans="1:6" s="487" customFormat="1" ht="14.25">
      <c r="A143" s="500" t="s">
        <v>425</v>
      </c>
      <c r="B143" s="146">
        <v>384000</v>
      </c>
      <c r="C143" s="46"/>
      <c r="D143" s="156"/>
    </row>
    <row r="144" spans="1:6" s="487" customFormat="1" ht="14.25">
      <c r="A144" s="500" t="s">
        <v>460</v>
      </c>
      <c r="B144" s="146">
        <v>768000</v>
      </c>
      <c r="C144" s="46"/>
      <c r="D144" s="156"/>
    </row>
    <row r="145" spans="1:4" s="487" customFormat="1" ht="14.25">
      <c r="A145" s="500" t="s">
        <v>475</v>
      </c>
      <c r="B145" s="146">
        <v>1544000</v>
      </c>
      <c r="C145" s="46"/>
      <c r="D145" s="156"/>
    </row>
    <row r="146" spans="1:4" s="487" customFormat="1" ht="14.25">
      <c r="A146" s="500" t="s">
        <v>476</v>
      </c>
      <c r="B146" s="146">
        <v>2048000</v>
      </c>
      <c r="C146" s="46"/>
      <c r="D146" s="156"/>
    </row>
    <row r="147" spans="1:4" s="487" customFormat="1" ht="14.25">
      <c r="A147" s="500" t="s">
        <v>477</v>
      </c>
      <c r="B147" s="146">
        <v>6312000</v>
      </c>
      <c r="C147" s="46"/>
      <c r="D147" s="156"/>
    </row>
    <row r="148" spans="1:4" s="487" customFormat="1" ht="14.25">
      <c r="A148" s="500" t="s">
        <v>478</v>
      </c>
      <c r="B148" s="146">
        <v>8448000</v>
      </c>
      <c r="C148" s="46"/>
      <c r="D148" s="156"/>
    </row>
    <row r="149" spans="1:4" s="487" customFormat="1" ht="14.25">
      <c r="A149" s="500" t="s">
        <v>426</v>
      </c>
      <c r="B149" s="146">
        <v>10000000</v>
      </c>
      <c r="D149" s="548"/>
    </row>
    <row r="150" spans="1:4" s="487" customFormat="1" ht="14.25">
      <c r="A150" s="500" t="s">
        <v>447</v>
      </c>
      <c r="B150" s="146">
        <v>16000000</v>
      </c>
      <c r="C150" s="46"/>
      <c r="D150" s="156"/>
    </row>
    <row r="151" spans="1:4" s="487" customFormat="1" ht="14.25">
      <c r="A151" s="500" t="s">
        <v>479</v>
      </c>
      <c r="B151" s="146">
        <v>34368000</v>
      </c>
      <c r="C151" s="46"/>
      <c r="D151" s="156"/>
    </row>
    <row r="152" spans="1:4" s="487" customFormat="1" ht="14.25">
      <c r="A152" s="500" t="s">
        <v>480</v>
      </c>
      <c r="B152" s="146">
        <v>44736000</v>
      </c>
      <c r="C152" s="46"/>
      <c r="D152" s="156"/>
    </row>
    <row r="153" spans="1:4" s="487" customFormat="1" ht="14.25">
      <c r="A153" s="100" t="s">
        <v>481</v>
      </c>
      <c r="B153" s="449">
        <v>51840000</v>
      </c>
      <c r="C153" s="46"/>
      <c r="D153" s="156"/>
    </row>
    <row r="154" spans="1:4" s="487" customFormat="1" ht="14.25">
      <c r="A154" s="146" t="s">
        <v>428</v>
      </c>
      <c r="B154" s="289">
        <v>100000000</v>
      </c>
      <c r="C154" s="46"/>
      <c r="D154" s="156"/>
    </row>
    <row r="155" spans="1:4" s="487" customFormat="1" ht="14.25">
      <c r="A155" s="146" t="s">
        <v>482</v>
      </c>
      <c r="B155" s="289">
        <v>155520000</v>
      </c>
      <c r="C155" s="46"/>
      <c r="D155" s="156"/>
    </row>
    <row r="156" spans="1:4" s="547" customFormat="1" ht="14.25">
      <c r="A156" s="289" t="s">
        <v>483</v>
      </c>
      <c r="B156" s="289">
        <v>622080000</v>
      </c>
      <c r="C156" s="46"/>
      <c r="D156" s="156"/>
    </row>
    <row r="157" spans="1:4" s="547" customFormat="1" ht="14.25">
      <c r="A157" s="146" t="s">
        <v>429</v>
      </c>
      <c r="B157" s="146">
        <v>1000000000</v>
      </c>
      <c r="C157" s="46"/>
      <c r="D157" s="156"/>
    </row>
    <row r="158" spans="1:4" s="547" customFormat="1" ht="14.25">
      <c r="A158" s="289" t="s">
        <v>485</v>
      </c>
      <c r="B158" s="289">
        <v>1243680000</v>
      </c>
      <c r="C158" s="46"/>
      <c r="D158" s="156"/>
    </row>
    <row r="159" spans="1:4" s="547" customFormat="1" ht="14.25">
      <c r="A159" s="103" t="s">
        <v>484</v>
      </c>
      <c r="B159" s="449">
        <v>2488320000</v>
      </c>
      <c r="C159" s="46"/>
      <c r="D159" s="156"/>
    </row>
    <row r="160" spans="1:4" s="547" customFormat="1" ht="14.25">
      <c r="A160" s="103" t="s">
        <v>486</v>
      </c>
      <c r="B160" s="449">
        <v>4976640000</v>
      </c>
      <c r="C160" s="46"/>
      <c r="D160" s="156"/>
    </row>
    <row r="161" spans="1:4" s="547" customFormat="1" ht="15" thickBot="1">
      <c r="A161" s="450" t="s">
        <v>454</v>
      </c>
      <c r="B161" s="450">
        <v>10000000000</v>
      </c>
      <c r="C161" s="46"/>
      <c r="D161" s="156"/>
    </row>
    <row r="162" spans="1:4" s="547" customFormat="1">
      <c r="A162" s="46"/>
      <c r="B162" s="46"/>
      <c r="C162" s="46"/>
      <c r="D162" s="156"/>
    </row>
    <row r="163" spans="1:4" s="513" customFormat="1" ht="13.5" thickBot="1">
      <c r="A163" s="46"/>
      <c r="B163" s="46"/>
      <c r="C163" s="46"/>
      <c r="D163" s="156"/>
    </row>
    <row r="164" spans="1:4" s="513" customFormat="1" ht="15.75" thickBot="1">
      <c r="A164" s="272" t="s">
        <v>467</v>
      </c>
      <c r="B164" s="19" t="s">
        <v>463</v>
      </c>
      <c r="C164" s="46"/>
      <c r="D164" s="156"/>
    </row>
    <row r="165" spans="1:4" s="513" customFormat="1" ht="14.25">
      <c r="A165" s="561" t="s">
        <v>69</v>
      </c>
      <c r="B165" s="528" t="s">
        <v>443</v>
      </c>
      <c r="C165" s="46"/>
      <c r="D165" s="156"/>
    </row>
    <row r="166" spans="1:4" s="549" customFormat="1" ht="14.25">
      <c r="A166" s="526">
        <v>0</v>
      </c>
      <c r="B166" s="529" t="s">
        <v>443</v>
      </c>
      <c r="C166" s="46"/>
      <c r="D166" s="156"/>
    </row>
    <row r="167" spans="1:4" s="513" customFormat="1" ht="14.25">
      <c r="A167" s="526">
        <v>65535</v>
      </c>
      <c r="B167" s="529" t="s">
        <v>443</v>
      </c>
      <c r="C167" s="46"/>
      <c r="D167" s="156"/>
    </row>
    <row r="168" spans="1:4" s="513" customFormat="1" ht="14.25">
      <c r="A168" s="526">
        <v>65536</v>
      </c>
      <c r="B168" s="529">
        <v>131070</v>
      </c>
      <c r="C168" s="46"/>
      <c r="D168" s="156"/>
    </row>
    <row r="169" spans="1:4" s="513" customFormat="1" ht="14.25">
      <c r="A169" s="529">
        <v>131070</v>
      </c>
      <c r="B169" s="529">
        <v>131070</v>
      </c>
      <c r="C169" s="46"/>
      <c r="D169" s="156"/>
    </row>
    <row r="170" spans="1:4" s="513" customFormat="1" ht="14.25">
      <c r="A170" s="529">
        <v>131071</v>
      </c>
      <c r="B170" s="530">
        <v>262140</v>
      </c>
      <c r="C170" s="46"/>
      <c r="D170" s="156"/>
    </row>
    <row r="171" spans="1:4" s="513" customFormat="1" ht="14.25">
      <c r="A171" s="527">
        <v>262140</v>
      </c>
      <c r="B171" s="530">
        <v>262140</v>
      </c>
      <c r="C171" s="46"/>
      <c r="D171" s="156"/>
    </row>
    <row r="172" spans="1:4" s="513" customFormat="1" ht="14.25">
      <c r="A172" s="527">
        <v>262141</v>
      </c>
      <c r="B172" s="530">
        <v>524280</v>
      </c>
      <c r="C172" s="46"/>
      <c r="D172" s="156"/>
    </row>
    <row r="173" spans="1:4" s="513" customFormat="1" ht="14.25">
      <c r="A173" s="527">
        <v>524280</v>
      </c>
      <c r="B173" s="530">
        <v>524280</v>
      </c>
      <c r="C173" s="46"/>
      <c r="D173" s="156"/>
    </row>
    <row r="174" spans="1:4" s="513" customFormat="1" ht="14.25">
      <c r="A174" s="527">
        <v>524281</v>
      </c>
      <c r="B174" s="530">
        <v>1048560</v>
      </c>
      <c r="C174" s="46"/>
      <c r="D174" s="156"/>
    </row>
    <row r="175" spans="1:4" s="513" customFormat="1" ht="14.25">
      <c r="A175" s="527">
        <v>1048560</v>
      </c>
      <c r="B175" s="530">
        <v>1048560</v>
      </c>
      <c r="C175" s="46"/>
      <c r="D175" s="156"/>
    </row>
    <row r="176" spans="1:4" s="549" customFormat="1" ht="14.25">
      <c r="A176" s="527">
        <v>1048561</v>
      </c>
      <c r="B176" s="530">
        <v>2097120</v>
      </c>
      <c r="C176" s="46"/>
      <c r="D176" s="156"/>
    </row>
    <row r="177" spans="1:4" s="549" customFormat="1" ht="14.25">
      <c r="A177" s="527">
        <v>2097120</v>
      </c>
      <c r="B177" s="530">
        <v>2097120</v>
      </c>
      <c r="C177" s="46"/>
      <c r="D177" s="156"/>
    </row>
    <row r="178" spans="1:4" s="549" customFormat="1" ht="14.25">
      <c r="A178" s="527">
        <v>2097121</v>
      </c>
      <c r="B178" s="530">
        <v>4194240</v>
      </c>
      <c r="C178" s="46"/>
      <c r="D178" s="156"/>
    </row>
    <row r="179" spans="1:4" s="549" customFormat="1" ht="14.25">
      <c r="A179" s="530">
        <v>4194240</v>
      </c>
      <c r="B179" s="530">
        <v>4194240</v>
      </c>
      <c r="C179" s="46"/>
      <c r="D179" s="156"/>
    </row>
    <row r="180" spans="1:4" s="549" customFormat="1" ht="14.25">
      <c r="A180" s="530">
        <v>4194241</v>
      </c>
      <c r="B180" s="530">
        <v>8388480</v>
      </c>
      <c r="C180" s="46"/>
      <c r="D180" s="156"/>
    </row>
    <row r="181" spans="1:4" s="549" customFormat="1" ht="14.25">
      <c r="A181" s="530">
        <v>8388480</v>
      </c>
      <c r="B181" s="530">
        <v>8388480</v>
      </c>
      <c r="C181" s="46"/>
      <c r="D181" s="156"/>
    </row>
    <row r="182" spans="1:4" s="549" customFormat="1" ht="14.25">
      <c r="A182" s="530">
        <v>8388481</v>
      </c>
      <c r="B182" s="530">
        <v>16776960</v>
      </c>
      <c r="C182" s="46"/>
      <c r="D182" s="156"/>
    </row>
    <row r="183" spans="1:4" s="549" customFormat="1" ht="14.25">
      <c r="A183" s="530">
        <v>16776960</v>
      </c>
      <c r="B183" s="530">
        <v>16776960</v>
      </c>
      <c r="C183" s="46"/>
      <c r="D183" s="156"/>
    </row>
    <row r="184" spans="1:4" s="549" customFormat="1" ht="14.25">
      <c r="A184" s="530">
        <v>16776961</v>
      </c>
      <c r="B184" s="530">
        <v>33553920</v>
      </c>
      <c r="C184" s="46"/>
      <c r="D184" s="156"/>
    </row>
    <row r="185" spans="1:4" s="549" customFormat="1" ht="14.25">
      <c r="A185" s="530">
        <v>33553920</v>
      </c>
      <c r="B185" s="530">
        <v>33553920</v>
      </c>
      <c r="C185" s="46"/>
      <c r="D185" s="156"/>
    </row>
    <row r="186" spans="1:4" s="549" customFormat="1" ht="14.25">
      <c r="A186" s="530">
        <v>33553921</v>
      </c>
      <c r="B186" s="530">
        <v>67107840</v>
      </c>
      <c r="C186" s="46"/>
      <c r="D186" s="156"/>
    </row>
    <row r="187" spans="1:4" s="549" customFormat="1" ht="14.25">
      <c r="A187" s="530">
        <v>67107840</v>
      </c>
      <c r="B187" s="530">
        <v>67107840</v>
      </c>
      <c r="C187" s="46"/>
      <c r="D187" s="156"/>
    </row>
    <row r="188" spans="1:4" s="549" customFormat="1" ht="14.25">
      <c r="A188" s="530">
        <v>67107841</v>
      </c>
      <c r="B188" s="530">
        <v>134215680</v>
      </c>
      <c r="C188" s="46"/>
      <c r="D188" s="156"/>
    </row>
    <row r="189" spans="1:4" s="549" customFormat="1" ht="14.25">
      <c r="A189" s="530">
        <v>134215680</v>
      </c>
      <c r="B189" s="530">
        <v>134215680</v>
      </c>
      <c r="C189" s="46"/>
      <c r="D189" s="156"/>
    </row>
    <row r="190" spans="1:4" s="549" customFormat="1" ht="14.25">
      <c r="A190" s="530">
        <v>134215681</v>
      </c>
      <c r="B190" s="530">
        <v>268431360</v>
      </c>
      <c r="C190" s="46"/>
      <c r="D190" s="156"/>
    </row>
    <row r="191" spans="1:4" s="549" customFormat="1" ht="14.25">
      <c r="A191" s="530">
        <v>268431360</v>
      </c>
      <c r="B191" s="530">
        <v>268431360</v>
      </c>
      <c r="C191" s="46"/>
      <c r="D191" s="156"/>
    </row>
    <row r="192" spans="1:4" s="549" customFormat="1" ht="14.25">
      <c r="A192" s="530">
        <v>268431361</v>
      </c>
      <c r="B192" s="530">
        <v>536862720</v>
      </c>
      <c r="C192" s="46"/>
      <c r="D192" s="156"/>
    </row>
    <row r="193" spans="1:6" s="549" customFormat="1" ht="14.25">
      <c r="A193" s="530">
        <v>536862720</v>
      </c>
      <c r="B193" s="530">
        <v>536862720</v>
      </c>
      <c r="C193" s="46"/>
      <c r="D193" s="156"/>
    </row>
    <row r="194" spans="1:6" s="549" customFormat="1" ht="14.25">
      <c r="A194" s="530">
        <v>536862721</v>
      </c>
      <c r="B194" s="530">
        <v>1073725440</v>
      </c>
      <c r="C194" s="46"/>
      <c r="D194" s="156"/>
    </row>
    <row r="195" spans="1:6" s="549" customFormat="1" ht="15" thickBot="1">
      <c r="A195" s="562">
        <v>1073725440</v>
      </c>
      <c r="B195" s="562">
        <v>1073725440</v>
      </c>
      <c r="C195" s="46"/>
      <c r="D195" s="156"/>
    </row>
    <row r="196" spans="1:6" s="513" customFormat="1" ht="13.5" thickBot="1">
      <c r="A196" s="46"/>
      <c r="B196" s="46"/>
      <c r="C196" s="46"/>
      <c r="D196" s="156"/>
    </row>
    <row r="197" spans="1:6" ht="15.75" thickBot="1">
      <c r="A197" s="19" t="s">
        <v>175</v>
      </c>
      <c r="B197" s="31" t="s">
        <v>135</v>
      </c>
      <c r="C197" s="48" t="s">
        <v>137</v>
      </c>
      <c r="D197" s="49" t="s">
        <v>151</v>
      </c>
      <c r="F197" s="265"/>
    </row>
    <row r="198" spans="1:6" ht="14.25">
      <c r="A198" s="59" t="s">
        <v>180</v>
      </c>
      <c r="B198" s="535">
        <v>1</v>
      </c>
      <c r="C198" s="535">
        <v>1</v>
      </c>
      <c r="D198" s="59">
        <v>2</v>
      </c>
      <c r="F198" s="265"/>
    </row>
    <row r="199" spans="1:6" ht="14.25">
      <c r="A199" s="532" t="s">
        <v>174</v>
      </c>
      <c r="B199" s="9">
        <v>2</v>
      </c>
      <c r="C199" s="9">
        <v>2</v>
      </c>
      <c r="D199" s="536">
        <v>4</v>
      </c>
    </row>
    <row r="200" spans="1:6" s="847" customFormat="1" ht="14.25">
      <c r="A200" s="848" t="s">
        <v>678</v>
      </c>
      <c r="B200" s="9">
        <v>3</v>
      </c>
      <c r="C200" s="9">
        <v>3</v>
      </c>
      <c r="D200" s="536">
        <v>6</v>
      </c>
    </row>
    <row r="201" spans="1:6" ht="15" thickBot="1">
      <c r="A201" s="533" t="s">
        <v>173</v>
      </c>
      <c r="B201" s="534">
        <v>4</v>
      </c>
      <c r="C201" s="534">
        <v>4</v>
      </c>
      <c r="D201" s="534">
        <v>8</v>
      </c>
    </row>
    <row r="202" spans="1:6" ht="14.25">
      <c r="A202" s="695"/>
      <c r="B202" s="65"/>
      <c r="C202" s="71"/>
      <c r="D202" s="696"/>
    </row>
    <row r="203" spans="1:6" ht="13.5" thickBot="1">
      <c r="A203" s="274"/>
      <c r="B203" s="45"/>
      <c r="C203" s="64"/>
      <c r="D203" s="58"/>
    </row>
    <row r="204" spans="1:6" ht="15.75" thickBot="1">
      <c r="A204" s="19" t="s">
        <v>123</v>
      </c>
      <c r="B204" s="31" t="s">
        <v>135</v>
      </c>
      <c r="C204" s="48" t="s">
        <v>137</v>
      </c>
      <c r="D204" s="49" t="s">
        <v>151</v>
      </c>
    </row>
    <row r="205" spans="1:6" ht="14.25">
      <c r="A205" s="66" t="s">
        <v>274</v>
      </c>
      <c r="B205" s="203">
        <v>2</v>
      </c>
      <c r="C205" s="208">
        <v>1</v>
      </c>
      <c r="D205" s="209">
        <v>3</v>
      </c>
    </row>
    <row r="206" spans="1:6" ht="14.25">
      <c r="A206" s="540" t="s">
        <v>121</v>
      </c>
      <c r="B206" s="538">
        <v>3</v>
      </c>
      <c r="C206" s="537">
        <v>1</v>
      </c>
      <c r="D206" s="536">
        <v>4</v>
      </c>
    </row>
    <row r="207" spans="1:6" ht="14.25">
      <c r="A207" s="540" t="s">
        <v>132</v>
      </c>
      <c r="B207" s="538">
        <v>4</v>
      </c>
      <c r="C207" s="537">
        <v>1</v>
      </c>
      <c r="D207" s="536">
        <v>5</v>
      </c>
    </row>
    <row r="208" spans="1:6" ht="14.25">
      <c r="A208" s="66" t="s">
        <v>273</v>
      </c>
      <c r="B208" s="538">
        <v>5</v>
      </c>
      <c r="C208" s="537">
        <v>1</v>
      </c>
      <c r="D208" s="536">
        <v>6</v>
      </c>
    </row>
    <row r="209" spans="1:4" ht="14.25">
      <c r="A209" s="540" t="s">
        <v>133</v>
      </c>
      <c r="B209" s="538">
        <v>6</v>
      </c>
      <c r="C209" s="537">
        <v>1</v>
      </c>
      <c r="D209" s="537">
        <v>7</v>
      </c>
    </row>
    <row r="210" spans="1:4" ht="14.25">
      <c r="A210" s="33" t="s">
        <v>122</v>
      </c>
      <c r="B210" s="539">
        <v>7</v>
      </c>
      <c r="C210" s="537">
        <v>1</v>
      </c>
      <c r="D210" s="10">
        <v>8</v>
      </c>
    </row>
    <row r="211" spans="1:4" s="652" customFormat="1" ht="14.25">
      <c r="A211" s="66" t="s">
        <v>134</v>
      </c>
      <c r="B211" s="11">
        <v>8</v>
      </c>
      <c r="C211" s="536">
        <v>1</v>
      </c>
      <c r="D211" s="10">
        <v>9</v>
      </c>
    </row>
    <row r="212" spans="1:4" s="652" customFormat="1" ht="14.25">
      <c r="A212" s="66" t="s">
        <v>592</v>
      </c>
      <c r="B212" s="11">
        <v>9</v>
      </c>
      <c r="C212" s="536">
        <v>1</v>
      </c>
      <c r="D212" s="10">
        <v>10</v>
      </c>
    </row>
    <row r="213" spans="1:4" s="652" customFormat="1" ht="14.25">
      <c r="A213" s="66" t="s">
        <v>593</v>
      </c>
      <c r="B213" s="11">
        <v>10</v>
      </c>
      <c r="C213" s="536">
        <v>1</v>
      </c>
      <c r="D213" s="10">
        <v>11</v>
      </c>
    </row>
    <row r="214" spans="1:4" s="652" customFormat="1" ht="14.25">
      <c r="A214" s="66" t="s">
        <v>594</v>
      </c>
      <c r="B214" s="11">
        <v>11</v>
      </c>
      <c r="C214" s="536">
        <v>1</v>
      </c>
      <c r="D214" s="10">
        <v>12</v>
      </c>
    </row>
    <row r="215" spans="1:4" s="652" customFormat="1" ht="14.25">
      <c r="A215" s="66" t="s">
        <v>595</v>
      </c>
      <c r="B215" s="11">
        <v>12</v>
      </c>
      <c r="C215" s="536">
        <v>1</v>
      </c>
      <c r="D215" s="10">
        <v>13</v>
      </c>
    </row>
    <row r="216" spans="1:4" s="652" customFormat="1" ht="14.25">
      <c r="A216" s="66" t="s">
        <v>596</v>
      </c>
      <c r="B216" s="11">
        <v>13</v>
      </c>
      <c r="C216" s="536">
        <v>1</v>
      </c>
      <c r="D216" s="10">
        <v>14</v>
      </c>
    </row>
    <row r="217" spans="1:4" s="652" customFormat="1" ht="14.25">
      <c r="A217" s="66" t="s">
        <v>597</v>
      </c>
      <c r="B217" s="11">
        <v>14</v>
      </c>
      <c r="C217" s="536">
        <v>1</v>
      </c>
      <c r="D217" s="10">
        <v>15</v>
      </c>
    </row>
    <row r="218" spans="1:4" s="652" customFormat="1" ht="14.25">
      <c r="A218" s="66" t="s">
        <v>598</v>
      </c>
      <c r="B218" s="11">
        <v>15</v>
      </c>
      <c r="C218" s="536">
        <v>1</v>
      </c>
      <c r="D218" s="10">
        <v>16</v>
      </c>
    </row>
    <row r="219" spans="1:4" s="652" customFormat="1" ht="14.25">
      <c r="A219" s="66" t="s">
        <v>599</v>
      </c>
      <c r="B219" s="11">
        <v>16</v>
      </c>
      <c r="C219" s="536">
        <v>1</v>
      </c>
      <c r="D219" s="10">
        <v>17</v>
      </c>
    </row>
    <row r="220" spans="1:4" s="652" customFormat="1" ht="14.25">
      <c r="A220" s="66" t="s">
        <v>600</v>
      </c>
      <c r="B220" s="11">
        <v>17</v>
      </c>
      <c r="C220" s="536">
        <v>1</v>
      </c>
      <c r="D220" s="10">
        <v>18</v>
      </c>
    </row>
    <row r="221" spans="1:4" s="652" customFormat="1" ht="14.25">
      <c r="A221" s="66" t="s">
        <v>601</v>
      </c>
      <c r="B221" s="11">
        <v>18</v>
      </c>
      <c r="C221" s="536">
        <v>1</v>
      </c>
      <c r="D221" s="10">
        <v>19</v>
      </c>
    </row>
    <row r="222" spans="1:4" s="652" customFormat="1" ht="14.25">
      <c r="A222" s="66" t="s">
        <v>602</v>
      </c>
      <c r="B222" s="11">
        <v>19</v>
      </c>
      <c r="C222" s="536">
        <v>1</v>
      </c>
      <c r="D222" s="10">
        <v>20</v>
      </c>
    </row>
    <row r="223" spans="1:4" ht="15" thickBot="1">
      <c r="A223" s="542" t="s">
        <v>603</v>
      </c>
      <c r="B223" s="7">
        <v>20</v>
      </c>
      <c r="C223" s="534">
        <v>1</v>
      </c>
      <c r="D223" s="534">
        <v>21</v>
      </c>
    </row>
    <row r="224" spans="1:4" ht="14.25">
      <c r="A224" s="5"/>
      <c r="B224" s="6"/>
      <c r="C224" s="4"/>
      <c r="D224" s="692"/>
    </row>
    <row r="225" spans="1:4" ht="15" thickBot="1">
      <c r="A225" s="5"/>
      <c r="B225" s="6"/>
      <c r="C225" s="6"/>
      <c r="D225" s="693"/>
    </row>
    <row r="226" spans="1:4" ht="15.75" thickBot="1">
      <c r="A226" s="19" t="s">
        <v>124</v>
      </c>
      <c r="B226" s="31" t="s">
        <v>135</v>
      </c>
      <c r="C226" s="48" t="s">
        <v>137</v>
      </c>
      <c r="D226" s="49" t="s">
        <v>151</v>
      </c>
    </row>
    <row r="227" spans="1:4" ht="15" thickBot="1">
      <c r="A227" s="531" t="s">
        <v>125</v>
      </c>
      <c r="B227" s="42">
        <v>6</v>
      </c>
      <c r="C227" s="47">
        <v>2</v>
      </c>
      <c r="D227" s="50">
        <v>8</v>
      </c>
    </row>
    <row r="228" spans="1:4">
      <c r="A228" s="130"/>
      <c r="B228" s="108"/>
      <c r="C228" s="108"/>
      <c r="D228" s="694"/>
    </row>
    <row r="229" spans="1:4" ht="13.5" thickBot="1">
      <c r="A229" s="130"/>
      <c r="B229" s="108"/>
      <c r="C229" s="108"/>
      <c r="D229" s="90"/>
    </row>
    <row r="230" spans="1:4" ht="15.75" thickBot="1">
      <c r="A230" s="19" t="s">
        <v>224</v>
      </c>
      <c r="B230" s="19" t="s">
        <v>367</v>
      </c>
      <c r="C230" s="12"/>
      <c r="D230" s="18"/>
    </row>
    <row r="231" spans="1:4" ht="14.25">
      <c r="A231" s="697" t="s">
        <v>69</v>
      </c>
      <c r="B231" s="698" t="s">
        <v>69</v>
      </c>
      <c r="C231" s="12"/>
      <c r="D231" s="18"/>
    </row>
    <row r="232" spans="1:4" s="652" customFormat="1" ht="14.25">
      <c r="A232" s="66" t="s">
        <v>360</v>
      </c>
      <c r="B232" s="14">
        <v>36</v>
      </c>
      <c r="C232" s="12"/>
      <c r="D232" s="18"/>
    </row>
    <row r="233" spans="1:4" ht="14.25">
      <c r="A233" s="66" t="s">
        <v>361</v>
      </c>
      <c r="B233" s="539">
        <v>72</v>
      </c>
      <c r="C233" s="12"/>
      <c r="D233" s="18"/>
    </row>
    <row r="234" spans="1:4" ht="14.25">
      <c r="A234" s="541" t="s">
        <v>362</v>
      </c>
      <c r="B234" s="14">
        <v>146</v>
      </c>
      <c r="C234" s="12"/>
      <c r="D234" s="18"/>
    </row>
    <row r="235" spans="1:4" ht="14.25">
      <c r="A235" s="541" t="s">
        <v>363</v>
      </c>
      <c r="B235" s="539">
        <v>250</v>
      </c>
      <c r="C235" s="12"/>
      <c r="D235" s="18"/>
    </row>
    <row r="236" spans="1:4" ht="14.25">
      <c r="A236" s="541" t="s">
        <v>364</v>
      </c>
      <c r="B236" s="539">
        <v>300</v>
      </c>
      <c r="C236" s="12"/>
      <c r="D236" s="18"/>
    </row>
    <row r="237" spans="1:4" ht="14.25">
      <c r="A237" s="541" t="s">
        <v>497</v>
      </c>
      <c r="B237" s="539">
        <v>400</v>
      </c>
      <c r="C237" s="12"/>
      <c r="D237" s="18"/>
    </row>
    <row r="238" spans="1:4" s="839" customFormat="1" ht="14.25">
      <c r="A238" s="541" t="s">
        <v>673</v>
      </c>
      <c r="B238" s="539">
        <v>450</v>
      </c>
      <c r="C238" s="12"/>
      <c r="D238" s="18"/>
    </row>
    <row r="239" spans="1:4" ht="14.25">
      <c r="A239" s="541" t="s">
        <v>365</v>
      </c>
      <c r="B239" s="539">
        <v>500</v>
      </c>
      <c r="C239" s="12"/>
      <c r="D239" s="18"/>
    </row>
    <row r="240" spans="1:4" ht="14.25">
      <c r="A240" s="541" t="s">
        <v>366</v>
      </c>
      <c r="B240" s="538">
        <v>750</v>
      </c>
      <c r="C240" s="12"/>
      <c r="D240" s="18"/>
    </row>
    <row r="241" spans="1:4" ht="15" thickBot="1">
      <c r="A241" s="542" t="s">
        <v>553</v>
      </c>
      <c r="B241" s="543">
        <v>1000</v>
      </c>
      <c r="C241" s="12"/>
      <c r="D241" s="18"/>
    </row>
    <row r="242" spans="1:4" ht="14.25">
      <c r="A242" s="41"/>
      <c r="B242" s="12"/>
      <c r="C242" s="12"/>
      <c r="D242" s="18"/>
    </row>
    <row r="243" spans="1:4" s="813" customFormat="1" ht="15" thickBot="1">
      <c r="A243" s="41"/>
      <c r="B243" s="12"/>
      <c r="C243" s="12"/>
      <c r="D243" s="18"/>
    </row>
    <row r="244" spans="1:4" s="813" customFormat="1" ht="15.75" thickBot="1">
      <c r="A244" s="19" t="s">
        <v>29</v>
      </c>
      <c r="B244" s="31" t="s">
        <v>89</v>
      </c>
      <c r="C244" s="12"/>
      <c r="D244" s="18"/>
    </row>
    <row r="245" spans="1:4" s="813" customFormat="1" ht="14.25">
      <c r="A245" s="66" t="s">
        <v>225</v>
      </c>
      <c r="B245" s="11">
        <v>130</v>
      </c>
      <c r="C245" s="12"/>
      <c r="D245" s="18"/>
    </row>
    <row r="246" spans="1:4" s="813" customFormat="1" ht="14.25">
      <c r="A246" s="544" t="s">
        <v>226</v>
      </c>
      <c r="B246" s="11">
        <v>180</v>
      </c>
      <c r="C246" s="12"/>
      <c r="D246" s="18"/>
    </row>
    <row r="247" spans="1:4" s="813" customFormat="1" ht="14.25">
      <c r="A247" s="544" t="s">
        <v>227</v>
      </c>
      <c r="B247" s="538">
        <v>165</v>
      </c>
      <c r="C247" s="12"/>
      <c r="D247" s="18"/>
    </row>
    <row r="248" spans="1:4" s="813" customFormat="1" ht="14.25">
      <c r="A248" s="544" t="s">
        <v>496</v>
      </c>
      <c r="B248" s="538">
        <v>230</v>
      </c>
      <c r="C248" s="12"/>
      <c r="D248" s="18"/>
    </row>
    <row r="249" spans="1:4" s="813" customFormat="1" ht="15" thickBot="1">
      <c r="A249" s="69" t="s">
        <v>247</v>
      </c>
      <c r="B249" s="543">
        <v>50</v>
      </c>
      <c r="C249" s="12"/>
      <c r="D249" s="18"/>
    </row>
    <row r="250" spans="1:4" s="813" customFormat="1" ht="14.25">
      <c r="A250" s="41"/>
      <c r="B250" s="12"/>
      <c r="C250" s="12"/>
      <c r="D250" s="18"/>
    </row>
    <row r="251" spans="1:4" s="813" customFormat="1" ht="14.25">
      <c r="A251" s="41"/>
      <c r="B251" s="12"/>
      <c r="C251" s="12"/>
      <c r="D251" s="18"/>
    </row>
    <row r="252" spans="1:4" ht="13.5" thickBot="1">
      <c r="A252" s="64"/>
      <c r="B252" s="64"/>
      <c r="C252" s="64"/>
      <c r="D252" s="58"/>
    </row>
  </sheetData>
  <mergeCells count="1">
    <mergeCell ref="A1:C1"/>
  </mergeCells>
  <phoneticPr fontId="36" type="noConversion"/>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dimension ref="A1:Q132"/>
  <sheetViews>
    <sheetView showGridLines="0" showRowColHeaders="0" topLeftCell="A93" zoomScale="85" zoomScaleNormal="85" workbookViewId="0">
      <selection activeCell="A128" sqref="A128:P130"/>
    </sheetView>
  </sheetViews>
  <sheetFormatPr defaultRowHeight="12.75"/>
  <cols>
    <col min="16" max="16" width="48" customWidth="1"/>
  </cols>
  <sheetData>
    <row r="1" spans="1:16">
      <c r="A1" s="1163" t="s">
        <v>109</v>
      </c>
      <c r="B1" s="1164"/>
      <c r="C1" s="1164"/>
      <c r="D1" s="1164"/>
      <c r="E1" s="1164"/>
      <c r="F1" s="1164"/>
      <c r="G1" s="1164"/>
      <c r="H1" s="1164"/>
      <c r="I1" s="1164"/>
      <c r="J1" s="1164"/>
      <c r="K1" s="1164"/>
      <c r="L1" s="1164"/>
      <c r="M1" s="1164"/>
      <c r="N1" s="1164"/>
      <c r="O1" s="1164"/>
      <c r="P1" s="1165"/>
    </row>
    <row r="2" spans="1:16" ht="14.25">
      <c r="A2" s="41"/>
      <c r="B2" s="12"/>
      <c r="C2" s="12"/>
      <c r="D2" s="12"/>
      <c r="E2" s="12"/>
      <c r="F2" s="12"/>
      <c r="G2" s="12"/>
      <c r="H2" s="12"/>
      <c r="I2" s="12"/>
      <c r="J2" s="12"/>
      <c r="K2" s="12"/>
      <c r="L2" s="12"/>
      <c r="M2" s="12"/>
      <c r="N2" s="12"/>
      <c r="O2" s="12"/>
      <c r="P2" s="18"/>
    </row>
    <row r="3" spans="1:16" ht="14.25">
      <c r="A3" s="1166" t="s">
        <v>112</v>
      </c>
      <c r="B3" s="1146"/>
      <c r="C3" s="1146"/>
      <c r="D3" s="1146"/>
      <c r="E3" s="1146"/>
      <c r="F3" s="1146"/>
      <c r="G3" s="1146"/>
      <c r="H3" s="1146"/>
      <c r="I3" s="1146"/>
      <c r="J3" s="1146"/>
      <c r="K3" s="1146"/>
      <c r="L3" s="1146"/>
      <c r="M3" s="1146"/>
      <c r="N3" s="1146"/>
      <c r="O3" s="1146"/>
      <c r="P3" s="1147"/>
    </row>
    <row r="4" spans="1:16" ht="14.25">
      <c r="A4" s="1166" t="s">
        <v>113</v>
      </c>
      <c r="B4" s="1146"/>
      <c r="C4" s="1146"/>
      <c r="D4" s="1146"/>
      <c r="E4" s="1146"/>
      <c r="F4" s="1146"/>
      <c r="G4" s="1146"/>
      <c r="H4" s="1146"/>
      <c r="I4" s="1146"/>
      <c r="J4" s="1146"/>
      <c r="K4" s="1146"/>
      <c r="L4" s="1146"/>
      <c r="M4" s="1146"/>
      <c r="N4" s="1146"/>
      <c r="O4" s="1146"/>
      <c r="P4" s="1147"/>
    </row>
    <row r="5" spans="1:16" ht="14.25">
      <c r="A5" s="1145" t="s">
        <v>179</v>
      </c>
      <c r="B5" s="1146"/>
      <c r="C5" s="1146"/>
      <c r="D5" s="1146"/>
      <c r="E5" s="1146"/>
      <c r="F5" s="1146"/>
      <c r="G5" s="1146"/>
      <c r="H5" s="1146"/>
      <c r="I5" s="1146"/>
      <c r="J5" s="1146"/>
      <c r="K5" s="1146"/>
      <c r="L5" s="1146"/>
      <c r="M5" s="1146"/>
      <c r="N5" s="1146"/>
      <c r="O5" s="1146"/>
      <c r="P5" s="1147"/>
    </row>
    <row r="6" spans="1:16" ht="14.25">
      <c r="A6" s="1166" t="s">
        <v>120</v>
      </c>
      <c r="B6" s="1146"/>
      <c r="C6" s="1146"/>
      <c r="D6" s="1146"/>
      <c r="E6" s="1146"/>
      <c r="F6" s="1146"/>
      <c r="G6" s="1146"/>
      <c r="H6" s="1146"/>
      <c r="I6" s="1146"/>
      <c r="J6" s="1146"/>
      <c r="K6" s="1146"/>
      <c r="L6" s="1146"/>
      <c r="M6" s="1146"/>
      <c r="N6" s="1146"/>
      <c r="O6" s="1146"/>
      <c r="P6" s="1147"/>
    </row>
    <row r="7" spans="1:16" ht="14.25">
      <c r="A7" s="1166" t="s">
        <v>126</v>
      </c>
      <c r="B7" s="1146"/>
      <c r="C7" s="1146"/>
      <c r="D7" s="1146"/>
      <c r="E7" s="1146"/>
      <c r="F7" s="1146"/>
      <c r="G7" s="1146"/>
      <c r="H7" s="1146"/>
      <c r="I7" s="1146"/>
      <c r="J7" s="1146"/>
      <c r="K7" s="1146"/>
      <c r="L7" s="1146"/>
      <c r="M7" s="1146"/>
      <c r="N7" s="1146"/>
      <c r="O7" s="1146"/>
      <c r="P7" s="1147"/>
    </row>
    <row r="8" spans="1:16" ht="14.25">
      <c r="A8" s="1166" t="s">
        <v>136</v>
      </c>
      <c r="B8" s="1146"/>
      <c r="C8" s="1146"/>
      <c r="D8" s="1146"/>
      <c r="E8" s="1146"/>
      <c r="F8" s="1146"/>
      <c r="G8" s="1146"/>
      <c r="H8" s="1146"/>
      <c r="I8" s="1146"/>
      <c r="J8" s="1146"/>
      <c r="K8" s="1146"/>
      <c r="L8" s="1146"/>
      <c r="M8" s="1146"/>
      <c r="N8" s="1146"/>
      <c r="O8" s="1146"/>
      <c r="P8" s="1147"/>
    </row>
    <row r="9" spans="1:16" s="652" customFormat="1" ht="14.25">
      <c r="A9" s="666" t="s">
        <v>138</v>
      </c>
      <c r="B9" s="661"/>
      <c r="C9" s="661"/>
      <c r="D9" s="661"/>
      <c r="E9" s="661"/>
      <c r="F9" s="661"/>
      <c r="G9" s="661"/>
      <c r="H9" s="661"/>
      <c r="I9" s="661"/>
      <c r="J9" s="661"/>
      <c r="K9" s="661"/>
      <c r="L9" s="661"/>
      <c r="M9" s="661"/>
      <c r="N9" s="661"/>
      <c r="O9" s="661"/>
      <c r="P9" s="662"/>
    </row>
    <row r="10" spans="1:16" ht="14.25">
      <c r="A10" s="1166" t="s">
        <v>141</v>
      </c>
      <c r="B10" s="1146"/>
      <c r="C10" s="1146"/>
      <c r="D10" s="1146"/>
      <c r="E10" s="1146"/>
      <c r="F10" s="1146"/>
      <c r="G10" s="1146"/>
      <c r="H10" s="1146"/>
      <c r="I10" s="1146"/>
      <c r="J10" s="1146"/>
      <c r="K10" s="1146"/>
      <c r="L10" s="1146"/>
      <c r="M10" s="1146"/>
      <c r="N10" s="1146"/>
      <c r="O10" s="1146"/>
      <c r="P10" s="1147"/>
    </row>
    <row r="11" spans="1:16" ht="14.25">
      <c r="A11" s="1166" t="s">
        <v>152</v>
      </c>
      <c r="B11" s="1146"/>
      <c r="C11" s="1146"/>
      <c r="D11" s="1146"/>
      <c r="E11" s="1146"/>
      <c r="F11" s="1146"/>
      <c r="G11" s="1146"/>
      <c r="H11" s="1146"/>
      <c r="I11" s="1146"/>
      <c r="J11" s="1146"/>
      <c r="K11" s="1146"/>
      <c r="L11" s="1146"/>
      <c r="M11" s="1146"/>
      <c r="N11" s="1146"/>
      <c r="O11" s="1146"/>
      <c r="P11" s="1147"/>
    </row>
    <row r="12" spans="1:16" ht="14.25">
      <c r="A12" s="1166" t="s">
        <v>166</v>
      </c>
      <c r="B12" s="1146"/>
      <c r="C12" s="1146"/>
      <c r="D12" s="1146"/>
      <c r="E12" s="1146"/>
      <c r="F12" s="1146"/>
      <c r="G12" s="1146"/>
      <c r="H12" s="1146"/>
      <c r="I12" s="1146"/>
      <c r="J12" s="1146"/>
      <c r="K12" s="1146"/>
      <c r="L12" s="1146"/>
      <c r="M12" s="1146"/>
      <c r="N12" s="1146"/>
      <c r="O12" s="1146"/>
      <c r="P12" s="1147"/>
    </row>
    <row r="13" spans="1:16" ht="14.25">
      <c r="A13" s="1166" t="s">
        <v>168</v>
      </c>
      <c r="B13" s="1146"/>
      <c r="C13" s="1146"/>
      <c r="D13" s="1146"/>
      <c r="E13" s="1146"/>
      <c r="F13" s="1146"/>
      <c r="G13" s="1146"/>
      <c r="H13" s="1146"/>
      <c r="I13" s="1146"/>
      <c r="J13" s="1146"/>
      <c r="K13" s="1146"/>
      <c r="L13" s="1146"/>
      <c r="M13" s="1146"/>
      <c r="N13" s="1146"/>
      <c r="O13" s="1146"/>
      <c r="P13" s="1147"/>
    </row>
    <row r="14" spans="1:16" ht="14.25">
      <c r="A14" s="1145" t="s">
        <v>270</v>
      </c>
      <c r="B14" s="1146"/>
      <c r="C14" s="1146"/>
      <c r="D14" s="1146"/>
      <c r="E14" s="1146"/>
      <c r="F14" s="1146"/>
      <c r="G14" s="1146"/>
      <c r="H14" s="1146"/>
      <c r="I14" s="1146"/>
      <c r="J14" s="1146"/>
      <c r="K14" s="1146"/>
      <c r="L14" s="1146"/>
      <c r="M14" s="1146"/>
      <c r="N14" s="1146"/>
      <c r="O14" s="1146"/>
      <c r="P14" s="1147"/>
    </row>
    <row r="15" spans="1:16" s="652" customFormat="1" ht="14.25">
      <c r="A15" s="462" t="s">
        <v>182</v>
      </c>
      <c r="B15" s="464"/>
      <c r="C15" s="464"/>
      <c r="D15" s="464"/>
      <c r="E15" s="463"/>
      <c r="F15" s="661"/>
      <c r="G15" s="661"/>
      <c r="H15" s="661"/>
      <c r="I15" s="661"/>
      <c r="J15" s="661"/>
      <c r="K15" s="661"/>
      <c r="L15" s="661"/>
      <c r="M15" s="661"/>
      <c r="N15" s="661"/>
      <c r="O15" s="661"/>
      <c r="P15" s="662"/>
    </row>
    <row r="16" spans="1:16" s="652" customFormat="1" ht="14.25">
      <c r="A16" s="462" t="s">
        <v>176</v>
      </c>
      <c r="B16" s="464"/>
      <c r="C16" s="464"/>
      <c r="D16" s="464"/>
      <c r="E16" s="463"/>
      <c r="F16" s="661"/>
      <c r="G16" s="661"/>
      <c r="H16" s="661"/>
      <c r="I16" s="661"/>
      <c r="J16" s="661"/>
      <c r="K16" s="661"/>
      <c r="L16" s="661"/>
      <c r="M16" s="661"/>
      <c r="N16" s="661"/>
      <c r="O16" s="661"/>
      <c r="P16" s="662"/>
    </row>
    <row r="17" spans="1:16" s="652" customFormat="1" ht="14.25">
      <c r="A17" s="462" t="s">
        <v>178</v>
      </c>
      <c r="B17" s="464"/>
      <c r="C17" s="464"/>
      <c r="D17" s="464"/>
      <c r="E17" s="463"/>
      <c r="F17" s="661"/>
      <c r="G17" s="661"/>
      <c r="H17" s="661"/>
      <c r="I17" s="661"/>
      <c r="J17" s="661"/>
      <c r="K17" s="661"/>
      <c r="L17" s="661"/>
      <c r="M17" s="661"/>
      <c r="N17" s="661"/>
      <c r="O17" s="661"/>
      <c r="P17" s="662"/>
    </row>
    <row r="18" spans="1:16" s="652" customFormat="1" ht="14.25">
      <c r="A18" s="462" t="s">
        <v>183</v>
      </c>
      <c r="B18" s="464"/>
      <c r="C18" s="464"/>
      <c r="D18" s="464"/>
      <c r="E18" s="463"/>
      <c r="F18" s="661"/>
      <c r="G18" s="661"/>
      <c r="H18" s="661"/>
      <c r="I18" s="661"/>
      <c r="J18" s="661"/>
      <c r="K18" s="661"/>
      <c r="L18" s="661"/>
      <c r="M18" s="661"/>
      <c r="N18" s="661"/>
      <c r="O18" s="661"/>
      <c r="P18" s="662"/>
    </row>
    <row r="19" spans="1:16" s="652" customFormat="1" ht="14.25">
      <c r="A19" s="462" t="s">
        <v>181</v>
      </c>
      <c r="B19" s="464"/>
      <c r="C19" s="464"/>
      <c r="D19" s="464"/>
      <c r="E19" s="464"/>
      <c r="F19" s="661"/>
      <c r="G19" s="661"/>
      <c r="H19" s="661"/>
      <c r="I19" s="661"/>
      <c r="J19" s="661"/>
      <c r="K19" s="661"/>
      <c r="L19" s="661"/>
      <c r="M19" s="661"/>
      <c r="N19" s="661"/>
      <c r="O19" s="661"/>
      <c r="P19" s="662"/>
    </row>
    <row r="20" spans="1:16" ht="14.25">
      <c r="A20" s="1145" t="s">
        <v>193</v>
      </c>
      <c r="B20" s="1146"/>
      <c r="C20" s="1146"/>
      <c r="D20" s="1146"/>
      <c r="E20" s="1146"/>
      <c r="F20" s="1146"/>
      <c r="G20" s="1146"/>
      <c r="H20" s="1146"/>
      <c r="I20" s="1146"/>
      <c r="J20" s="1146"/>
      <c r="K20" s="1146"/>
      <c r="L20" s="1146"/>
      <c r="M20" s="1146"/>
      <c r="N20" s="1146"/>
      <c r="O20" s="1146"/>
      <c r="P20" s="1147"/>
    </row>
    <row r="21" spans="1:16" ht="14.25">
      <c r="A21" s="1145" t="s">
        <v>194</v>
      </c>
      <c r="B21" s="1146"/>
      <c r="C21" s="1146"/>
      <c r="D21" s="1146"/>
      <c r="E21" s="1146"/>
      <c r="F21" s="1146"/>
      <c r="G21" s="1146"/>
      <c r="H21" s="1146"/>
      <c r="I21" s="1146"/>
      <c r="J21" s="1146"/>
      <c r="K21" s="1146"/>
      <c r="L21" s="1146"/>
      <c r="M21" s="1146"/>
      <c r="N21" s="1146"/>
      <c r="O21" s="1146"/>
      <c r="P21" s="1147"/>
    </row>
    <row r="22" spans="1:16" ht="14.25">
      <c r="A22" s="1145" t="s">
        <v>196</v>
      </c>
      <c r="B22" s="1146"/>
      <c r="C22" s="1146"/>
      <c r="D22" s="1146"/>
      <c r="E22" s="1146"/>
      <c r="F22" s="1146"/>
      <c r="G22" s="1146"/>
      <c r="H22" s="1146"/>
      <c r="I22" s="1146"/>
      <c r="J22" s="1146"/>
      <c r="K22" s="1146"/>
      <c r="L22" s="1146"/>
      <c r="M22" s="1146"/>
      <c r="N22" s="1146"/>
      <c r="O22" s="1146"/>
      <c r="P22" s="1147"/>
    </row>
    <row r="23" spans="1:16" ht="14.25">
      <c r="A23" s="1145" t="s">
        <v>197</v>
      </c>
      <c r="B23" s="1146"/>
      <c r="C23" s="1146"/>
      <c r="D23" s="1146"/>
      <c r="E23" s="1146"/>
      <c r="F23" s="1146"/>
      <c r="G23" s="1146"/>
      <c r="H23" s="1146"/>
      <c r="I23" s="1146"/>
      <c r="J23" s="1146"/>
      <c r="K23" s="1146"/>
      <c r="L23" s="1146"/>
      <c r="M23" s="1146"/>
      <c r="N23" s="1146"/>
      <c r="O23" s="1146"/>
      <c r="P23" s="1147"/>
    </row>
    <row r="24" spans="1:16" ht="14.25">
      <c r="A24" s="1145" t="s">
        <v>201</v>
      </c>
      <c r="B24" s="1146"/>
      <c r="C24" s="1146"/>
      <c r="D24" s="1146"/>
      <c r="E24" s="1146"/>
      <c r="F24" s="1146"/>
      <c r="G24" s="1146"/>
      <c r="H24" s="1146"/>
      <c r="I24" s="1146"/>
      <c r="J24" s="1146"/>
      <c r="K24" s="1146"/>
      <c r="L24" s="1146"/>
      <c r="M24" s="1146"/>
      <c r="N24" s="1146"/>
      <c r="O24" s="1146"/>
      <c r="P24" s="1147"/>
    </row>
    <row r="25" spans="1:16" s="652" customFormat="1" ht="14.25">
      <c r="A25" s="181" t="s">
        <v>202</v>
      </c>
      <c r="B25" s="181"/>
      <c r="C25" s="181"/>
      <c r="D25" s="181"/>
      <c r="E25" s="181"/>
      <c r="F25" s="181"/>
      <c r="G25" s="181"/>
      <c r="H25" s="181"/>
      <c r="I25" s="181"/>
      <c r="J25" s="181"/>
      <c r="K25" s="181"/>
      <c r="L25" s="181"/>
      <c r="M25" s="181"/>
      <c r="N25" s="181"/>
      <c r="O25" s="181"/>
      <c r="P25" s="289"/>
    </row>
    <row r="26" spans="1:16" ht="14.25">
      <c r="A26" s="1145" t="s">
        <v>203</v>
      </c>
      <c r="B26" s="1146"/>
      <c r="C26" s="1146"/>
      <c r="D26" s="1146"/>
      <c r="E26" s="1146"/>
      <c r="F26" s="1146"/>
      <c r="G26" s="1146"/>
      <c r="H26" s="1146"/>
      <c r="I26" s="1146"/>
      <c r="J26" s="1146"/>
      <c r="K26" s="1146"/>
      <c r="L26" s="1146"/>
      <c r="M26" s="1146"/>
      <c r="N26" s="1146"/>
      <c r="O26" s="1146"/>
      <c r="P26" s="1147"/>
    </row>
    <row r="27" spans="1:16" s="652" customFormat="1" ht="14.25">
      <c r="A27" s="1145" t="s">
        <v>204</v>
      </c>
      <c r="B27" s="1162"/>
      <c r="C27" s="1162"/>
      <c r="D27" s="1162"/>
      <c r="E27" s="1162"/>
      <c r="F27" s="661"/>
      <c r="G27" s="661"/>
      <c r="H27" s="661"/>
      <c r="I27" s="661"/>
      <c r="J27" s="661"/>
      <c r="K27" s="661"/>
      <c r="L27" s="661"/>
      <c r="M27" s="661"/>
      <c r="N27" s="661"/>
      <c r="O27" s="661"/>
      <c r="P27" s="662"/>
    </row>
    <row r="28" spans="1:16" ht="14.25">
      <c r="A28" s="1145" t="s">
        <v>205</v>
      </c>
      <c r="B28" s="1146"/>
      <c r="C28" s="1146"/>
      <c r="D28" s="1146"/>
      <c r="E28" s="1146"/>
      <c r="F28" s="1146"/>
      <c r="G28" s="1146"/>
      <c r="H28" s="1146"/>
      <c r="I28" s="1146"/>
      <c r="J28" s="1146"/>
      <c r="K28" s="1146"/>
      <c r="L28" s="1146"/>
      <c r="M28" s="1146"/>
      <c r="N28" s="1146"/>
      <c r="O28" s="1146"/>
      <c r="P28" s="1147"/>
    </row>
    <row r="29" spans="1:16" ht="14.25">
      <c r="A29" s="1145" t="s">
        <v>206</v>
      </c>
      <c r="B29" s="1146"/>
      <c r="C29" s="1146"/>
      <c r="D29" s="1146"/>
      <c r="E29" s="1146"/>
      <c r="F29" s="1146"/>
      <c r="G29" s="1146"/>
      <c r="H29" s="1146"/>
      <c r="I29" s="1146"/>
      <c r="J29" s="1146"/>
      <c r="K29" s="1146"/>
      <c r="L29" s="1146"/>
      <c r="M29" s="1146"/>
      <c r="N29" s="1146"/>
      <c r="O29" s="1146"/>
      <c r="P29" s="1147"/>
    </row>
    <row r="30" spans="1:16" ht="14.25">
      <c r="A30" s="1145" t="s">
        <v>210</v>
      </c>
      <c r="B30" s="1146"/>
      <c r="C30" s="1146"/>
      <c r="D30" s="1146"/>
      <c r="E30" s="1146"/>
      <c r="F30" s="1146"/>
      <c r="G30" s="1146"/>
      <c r="H30" s="1146"/>
      <c r="I30" s="1146"/>
      <c r="J30" s="1146"/>
      <c r="K30" s="1146"/>
      <c r="L30" s="1146"/>
      <c r="M30" s="1146"/>
      <c r="N30" s="1146"/>
      <c r="O30" s="1146"/>
      <c r="P30" s="1147"/>
    </row>
    <row r="31" spans="1:16" ht="14.25">
      <c r="A31" s="1159" t="s">
        <v>213</v>
      </c>
      <c r="B31" s="1160"/>
      <c r="C31" s="1160"/>
      <c r="D31" s="1160"/>
      <c r="E31" s="1160"/>
      <c r="F31" s="1160"/>
      <c r="G31" s="1160"/>
      <c r="H31" s="1160"/>
      <c r="I31" s="1160"/>
      <c r="J31" s="1160"/>
      <c r="K31" s="1160"/>
      <c r="L31" s="1160"/>
      <c r="M31" s="1160"/>
      <c r="N31" s="1160"/>
      <c r="O31" s="1160"/>
      <c r="P31" s="1161"/>
    </row>
    <row r="32" spans="1:16" s="652" customFormat="1" ht="14.25">
      <c r="A32" s="462" t="s">
        <v>214</v>
      </c>
      <c r="B32" s="464"/>
      <c r="C32" s="464"/>
      <c r="D32" s="464"/>
      <c r="E32" s="463"/>
      <c r="F32" s="663"/>
      <c r="G32" s="663"/>
      <c r="H32" s="663"/>
      <c r="I32" s="663"/>
      <c r="J32" s="663"/>
      <c r="K32" s="663"/>
      <c r="L32" s="663"/>
      <c r="M32" s="663"/>
      <c r="N32" s="663"/>
      <c r="O32" s="663"/>
      <c r="P32" s="664"/>
    </row>
    <row r="33" spans="1:16" s="652" customFormat="1" ht="14.25">
      <c r="A33" s="462" t="s">
        <v>223</v>
      </c>
      <c r="B33" s="464"/>
      <c r="C33" s="464"/>
      <c r="D33" s="464"/>
      <c r="E33" s="463"/>
      <c r="F33" s="663"/>
      <c r="G33" s="663"/>
      <c r="H33" s="663"/>
      <c r="I33" s="663"/>
      <c r="J33" s="663"/>
      <c r="K33" s="663"/>
      <c r="L33" s="663"/>
      <c r="M33" s="663"/>
      <c r="N33" s="663"/>
      <c r="O33" s="663"/>
      <c r="P33" s="664"/>
    </row>
    <row r="34" spans="1:16" s="652" customFormat="1" ht="14.25">
      <c r="A34" s="462" t="s">
        <v>220</v>
      </c>
      <c r="B34" s="464"/>
      <c r="C34" s="464"/>
      <c r="D34" s="464"/>
      <c r="E34" s="463"/>
      <c r="F34" s="663"/>
      <c r="G34" s="663"/>
      <c r="H34" s="663"/>
      <c r="I34" s="663"/>
      <c r="J34" s="663"/>
      <c r="K34" s="663"/>
      <c r="L34" s="663"/>
      <c r="M34" s="663"/>
      <c r="N34" s="663"/>
      <c r="O34" s="663"/>
      <c r="P34" s="664"/>
    </row>
    <row r="35" spans="1:16" s="652" customFormat="1" ht="14.25">
      <c r="A35" s="462" t="s">
        <v>222</v>
      </c>
      <c r="B35" s="464"/>
      <c r="C35" s="464"/>
      <c r="D35" s="464"/>
      <c r="E35" s="463"/>
      <c r="F35" s="663"/>
      <c r="G35" s="663"/>
      <c r="H35" s="663"/>
      <c r="I35" s="663"/>
      <c r="J35" s="663"/>
      <c r="K35" s="663"/>
      <c r="L35" s="663"/>
      <c r="M35" s="663"/>
      <c r="N35" s="663"/>
      <c r="O35" s="663"/>
      <c r="P35" s="664"/>
    </row>
    <row r="36" spans="1:16" ht="14.25">
      <c r="A36" s="1145" t="s">
        <v>229</v>
      </c>
      <c r="B36" s="1146"/>
      <c r="C36" s="1146"/>
      <c r="D36" s="1146"/>
      <c r="E36" s="1146"/>
      <c r="F36" s="1146"/>
      <c r="G36" s="1146"/>
      <c r="H36" s="1146"/>
      <c r="I36" s="1146"/>
      <c r="J36" s="1146"/>
      <c r="K36" s="1146"/>
      <c r="L36" s="1146"/>
      <c r="M36" s="1146"/>
      <c r="N36" s="1146"/>
      <c r="O36" s="1146"/>
      <c r="P36" s="1147"/>
    </row>
    <row r="37" spans="1:16" ht="14.25">
      <c r="A37" s="1145" t="s">
        <v>241</v>
      </c>
      <c r="B37" s="1146"/>
      <c r="C37" s="1146"/>
      <c r="D37" s="1146"/>
      <c r="E37" s="1146"/>
      <c r="F37" s="1146"/>
      <c r="G37" s="1146"/>
      <c r="H37" s="1146"/>
      <c r="I37" s="1146"/>
      <c r="J37" s="1146"/>
      <c r="K37" s="1146"/>
      <c r="L37" s="1146"/>
      <c r="M37" s="1146"/>
      <c r="N37" s="1146"/>
      <c r="O37" s="1146"/>
      <c r="P37" s="1147"/>
    </row>
    <row r="38" spans="1:16" ht="14.25">
      <c r="A38" s="1145" t="s">
        <v>242</v>
      </c>
      <c r="B38" s="1146"/>
      <c r="C38" s="1146"/>
      <c r="D38" s="1146"/>
      <c r="E38" s="1146"/>
      <c r="F38" s="1146"/>
      <c r="G38" s="1146"/>
      <c r="H38" s="1146"/>
      <c r="I38" s="1146"/>
      <c r="J38" s="1146"/>
      <c r="K38" s="1146"/>
      <c r="L38" s="1146"/>
      <c r="M38" s="1146"/>
      <c r="N38" s="1146"/>
      <c r="O38" s="1146"/>
      <c r="P38" s="1147"/>
    </row>
    <row r="39" spans="1:16" ht="14.25">
      <c r="A39" s="1145" t="s">
        <v>243</v>
      </c>
      <c r="B39" s="1146"/>
      <c r="C39" s="1146"/>
      <c r="D39" s="1146"/>
      <c r="E39" s="1146"/>
      <c r="F39" s="1146"/>
      <c r="G39" s="1146"/>
      <c r="H39" s="1146"/>
      <c r="I39" s="1146"/>
      <c r="J39" s="1146"/>
      <c r="K39" s="1146"/>
      <c r="L39" s="1146"/>
      <c r="M39" s="1146"/>
      <c r="N39" s="1146"/>
      <c r="O39" s="1146"/>
      <c r="P39" s="1147"/>
    </row>
    <row r="40" spans="1:16" s="652" customFormat="1" ht="14.25">
      <c r="A40" s="462" t="s">
        <v>244</v>
      </c>
      <c r="B40" s="464"/>
      <c r="C40" s="464"/>
      <c r="D40" s="464"/>
      <c r="E40" s="463"/>
      <c r="F40" s="661"/>
      <c r="G40" s="661"/>
      <c r="H40" s="661"/>
      <c r="I40" s="661"/>
      <c r="J40" s="661"/>
      <c r="K40" s="661"/>
      <c r="L40" s="661"/>
      <c r="M40" s="661"/>
      <c r="N40" s="661"/>
      <c r="O40" s="661"/>
      <c r="P40" s="662"/>
    </row>
    <row r="41" spans="1:16" s="652" customFormat="1" ht="14.25">
      <c r="A41" s="462" t="s">
        <v>245</v>
      </c>
      <c r="B41" s="464"/>
      <c r="C41" s="464"/>
      <c r="D41" s="464"/>
      <c r="E41" s="463"/>
      <c r="F41" s="661"/>
      <c r="G41" s="661"/>
      <c r="H41" s="661"/>
      <c r="I41" s="661"/>
      <c r="J41" s="661"/>
      <c r="K41" s="661"/>
      <c r="L41" s="661"/>
      <c r="M41" s="661"/>
      <c r="N41" s="661"/>
      <c r="O41" s="661"/>
      <c r="P41" s="662"/>
    </row>
    <row r="42" spans="1:16" ht="14.25">
      <c r="A42" s="1145" t="s">
        <v>246</v>
      </c>
      <c r="B42" s="1146"/>
      <c r="C42" s="1146"/>
      <c r="D42" s="1146"/>
      <c r="E42" s="1146"/>
      <c r="F42" s="1146"/>
      <c r="G42" s="1146"/>
      <c r="H42" s="1146"/>
      <c r="I42" s="1146"/>
      <c r="J42" s="1146"/>
      <c r="K42" s="1146"/>
      <c r="L42" s="1146"/>
      <c r="M42" s="1146"/>
      <c r="N42" s="1146"/>
      <c r="O42" s="1146"/>
      <c r="P42" s="1147"/>
    </row>
    <row r="43" spans="1:16" s="652" customFormat="1" ht="14.25">
      <c r="A43" s="462" t="s">
        <v>249</v>
      </c>
      <c r="B43" s="464"/>
      <c r="C43" s="464"/>
      <c r="D43" s="464"/>
      <c r="E43" s="661"/>
      <c r="F43" s="661"/>
      <c r="G43" s="661"/>
      <c r="H43" s="661"/>
      <c r="I43" s="661"/>
      <c r="J43" s="661"/>
      <c r="K43" s="661"/>
      <c r="L43" s="661"/>
      <c r="M43" s="661"/>
      <c r="N43" s="661"/>
      <c r="O43" s="661"/>
      <c r="P43" s="662"/>
    </row>
    <row r="44" spans="1:16" ht="14.25">
      <c r="A44" s="1145" t="s">
        <v>265</v>
      </c>
      <c r="B44" s="1146"/>
      <c r="C44" s="1146"/>
      <c r="D44" s="1146"/>
      <c r="E44" s="1146"/>
      <c r="F44" s="1146"/>
      <c r="G44" s="1146"/>
      <c r="H44" s="1146"/>
      <c r="I44" s="1146"/>
      <c r="J44" s="1146"/>
      <c r="K44" s="1146"/>
      <c r="L44" s="1146"/>
      <c r="M44" s="1146"/>
      <c r="N44" s="1146"/>
      <c r="O44" s="1146"/>
      <c r="P44" s="1147"/>
    </row>
    <row r="45" spans="1:16" ht="14.25">
      <c r="A45" s="1145" t="s">
        <v>263</v>
      </c>
      <c r="B45" s="1146"/>
      <c r="C45" s="1146"/>
      <c r="D45" s="1146"/>
      <c r="E45" s="1146"/>
      <c r="F45" s="1146"/>
      <c r="G45" s="1146"/>
      <c r="H45" s="1146"/>
      <c r="I45" s="1146"/>
      <c r="J45" s="1146"/>
      <c r="K45" s="1146"/>
      <c r="L45" s="1146"/>
      <c r="M45" s="1146"/>
      <c r="N45" s="1146"/>
      <c r="O45" s="1146"/>
      <c r="P45" s="1147"/>
    </row>
    <row r="46" spans="1:16">
      <c r="A46" s="1150" t="s">
        <v>268</v>
      </c>
      <c r="B46" s="1150"/>
      <c r="C46" s="1150"/>
      <c r="D46" s="1150"/>
      <c r="E46" s="1150"/>
      <c r="F46" s="1150"/>
      <c r="G46" s="1150"/>
      <c r="H46" s="1150"/>
      <c r="I46" s="1150"/>
      <c r="J46" s="1150"/>
      <c r="K46" s="1150"/>
      <c r="L46" s="1150"/>
      <c r="M46" s="1150"/>
      <c r="N46" s="1150"/>
      <c r="O46" s="1150"/>
      <c r="P46" s="1151"/>
    </row>
    <row r="47" spans="1:16" ht="15" customHeight="1">
      <c r="A47" s="1150"/>
      <c r="B47" s="1150"/>
      <c r="C47" s="1150"/>
      <c r="D47" s="1150"/>
      <c r="E47" s="1150"/>
      <c r="F47" s="1150"/>
      <c r="G47" s="1150"/>
      <c r="H47" s="1150"/>
      <c r="I47" s="1150"/>
      <c r="J47" s="1150"/>
      <c r="K47" s="1150"/>
      <c r="L47" s="1150"/>
      <c r="M47" s="1150"/>
      <c r="N47" s="1150"/>
      <c r="O47" s="1150"/>
      <c r="P47" s="1151"/>
    </row>
    <row r="48" spans="1:16" ht="14.25" customHeight="1">
      <c r="A48" s="1148" t="s">
        <v>271</v>
      </c>
      <c r="B48" s="1148"/>
      <c r="C48" s="1148"/>
      <c r="D48" s="1148"/>
      <c r="E48" s="1148"/>
      <c r="F48" s="1148"/>
      <c r="G48" s="1148"/>
      <c r="H48" s="1148"/>
      <c r="I48" s="1148"/>
      <c r="J48" s="1148"/>
      <c r="K48" s="1148"/>
      <c r="L48" s="1148"/>
      <c r="M48" s="1148"/>
      <c r="N48" s="1148"/>
      <c r="O48" s="1148"/>
      <c r="P48" s="1141"/>
    </row>
    <row r="49" spans="1:17" ht="14.25">
      <c r="A49" s="1148" t="s">
        <v>280</v>
      </c>
      <c r="B49" s="1148"/>
      <c r="C49" s="1148"/>
      <c r="D49" s="1148"/>
      <c r="E49" s="1148"/>
      <c r="F49" s="1148"/>
      <c r="G49" s="1148"/>
      <c r="H49" s="1148"/>
      <c r="I49" s="1148"/>
      <c r="J49" s="1148"/>
      <c r="K49" s="1148"/>
      <c r="L49" s="1148"/>
      <c r="M49" s="1148"/>
      <c r="N49" s="1148"/>
      <c r="O49" s="1148"/>
      <c r="P49" s="1141"/>
    </row>
    <row r="50" spans="1:17" ht="14.25">
      <c r="A50" s="1148" t="s">
        <v>283</v>
      </c>
      <c r="B50" s="1148"/>
      <c r="C50" s="1148"/>
      <c r="D50" s="1148"/>
      <c r="E50" s="1148"/>
      <c r="F50" s="1148"/>
      <c r="G50" s="1148"/>
      <c r="H50" s="1148"/>
      <c r="I50" s="1148"/>
      <c r="J50" s="1148"/>
      <c r="K50" s="1148"/>
      <c r="L50" s="1148"/>
      <c r="M50" s="1148"/>
      <c r="N50" s="1148"/>
      <c r="O50" s="1148"/>
      <c r="P50" s="1141"/>
    </row>
    <row r="51" spans="1:17" ht="14.25">
      <c r="A51" s="1148" t="s">
        <v>286</v>
      </c>
      <c r="B51" s="1148"/>
      <c r="C51" s="1148"/>
      <c r="D51" s="1148"/>
      <c r="E51" s="1148"/>
      <c r="F51" s="1148"/>
      <c r="G51" s="1148"/>
      <c r="H51" s="1148"/>
      <c r="I51" s="1148"/>
      <c r="J51" s="1148"/>
      <c r="K51" s="1148"/>
      <c r="L51" s="1148"/>
      <c r="M51" s="1148"/>
      <c r="N51" s="1148"/>
      <c r="O51" s="1148"/>
      <c r="P51" s="1141"/>
    </row>
    <row r="52" spans="1:17" ht="14.25">
      <c r="A52" s="1148" t="s">
        <v>289</v>
      </c>
      <c r="B52" s="1148"/>
      <c r="C52" s="1148"/>
      <c r="D52" s="1148"/>
      <c r="E52" s="1148"/>
      <c r="F52" s="1148"/>
      <c r="G52" s="1148"/>
      <c r="H52" s="1148"/>
      <c r="I52" s="1148"/>
      <c r="J52" s="1148"/>
      <c r="K52" s="1148"/>
      <c r="L52" s="1148"/>
      <c r="M52" s="1148"/>
      <c r="N52" s="1148"/>
      <c r="O52" s="1148"/>
      <c r="P52" s="1141"/>
    </row>
    <row r="53" spans="1:17" ht="14.25">
      <c r="A53" s="287" t="s">
        <v>295</v>
      </c>
      <c r="B53" s="287"/>
      <c r="C53" s="287"/>
      <c r="D53" s="287"/>
      <c r="E53" s="287"/>
      <c r="F53" s="287"/>
      <c r="G53" s="287"/>
      <c r="H53" s="287"/>
      <c r="I53" s="287"/>
      <c r="J53" s="287"/>
      <c r="K53" s="287"/>
      <c r="L53" s="287"/>
      <c r="M53" s="287"/>
      <c r="N53" s="287"/>
      <c r="O53" s="287"/>
      <c r="P53" s="288"/>
    </row>
    <row r="54" spans="1:17" ht="14.25" customHeight="1">
      <c r="A54" s="1149" t="s">
        <v>312</v>
      </c>
      <c r="B54" s="1149"/>
      <c r="C54" s="1149"/>
      <c r="D54" s="1149"/>
      <c r="E54" s="1149"/>
      <c r="F54" s="1149"/>
      <c r="G54" s="1149"/>
      <c r="H54" s="1149"/>
      <c r="I54" s="1149"/>
      <c r="J54" s="1149"/>
      <c r="K54" s="1149"/>
      <c r="L54" s="1149"/>
      <c r="M54" s="1149"/>
      <c r="N54" s="1149"/>
      <c r="O54" s="1149"/>
      <c r="P54" s="893"/>
    </row>
    <row r="55" spans="1:17" s="652" customFormat="1" ht="14.25" customHeight="1">
      <c r="A55" s="554" t="s">
        <v>313</v>
      </c>
      <c r="B55" s="554"/>
      <c r="C55" s="554"/>
      <c r="D55" s="554"/>
      <c r="E55" s="288"/>
      <c r="F55" s="667"/>
      <c r="G55" s="667"/>
      <c r="H55" s="667"/>
      <c r="I55" s="667"/>
      <c r="J55" s="667"/>
      <c r="K55" s="667"/>
      <c r="L55" s="667"/>
      <c r="M55" s="667"/>
      <c r="N55" s="667"/>
      <c r="O55" s="667"/>
      <c r="P55" s="651"/>
    </row>
    <row r="56" spans="1:17" ht="14.25">
      <c r="A56" s="287" t="s">
        <v>315</v>
      </c>
      <c r="B56" s="287"/>
      <c r="C56" s="287"/>
      <c r="D56" s="287"/>
      <c r="E56" s="287"/>
      <c r="F56" s="287"/>
      <c r="G56" s="287"/>
      <c r="H56" s="287"/>
      <c r="I56" s="287"/>
      <c r="J56" s="287"/>
      <c r="K56" s="287"/>
      <c r="L56" s="287"/>
      <c r="M56" s="287"/>
      <c r="N56" s="287"/>
      <c r="O56" s="287"/>
      <c r="P56" s="288"/>
    </row>
    <row r="57" spans="1:17" ht="15" customHeight="1">
      <c r="A57" s="1140" t="s">
        <v>316</v>
      </c>
      <c r="B57" s="1140"/>
      <c r="C57" s="1140"/>
      <c r="D57" s="1140"/>
      <c r="E57" s="1140"/>
      <c r="F57" s="1140"/>
      <c r="G57" s="1140"/>
      <c r="H57" s="1140"/>
      <c r="I57" s="1140"/>
      <c r="J57" s="1140"/>
      <c r="K57" s="1140"/>
      <c r="L57" s="1140"/>
      <c r="M57" s="1140"/>
      <c r="N57" s="1140"/>
      <c r="O57" s="1140"/>
      <c r="P57" s="1141"/>
    </row>
    <row r="58" spans="1:17" ht="12.75" customHeight="1">
      <c r="A58" s="1140" t="s">
        <v>324</v>
      </c>
      <c r="B58" s="1140"/>
      <c r="C58" s="1140"/>
      <c r="D58" s="1140"/>
      <c r="E58" s="1140"/>
      <c r="F58" s="1140"/>
      <c r="G58" s="1140"/>
      <c r="H58" s="1140"/>
      <c r="I58" s="1140"/>
      <c r="J58" s="1140"/>
      <c r="K58" s="1140"/>
      <c r="L58" s="1140"/>
      <c r="M58" s="1140"/>
      <c r="N58" s="1140"/>
      <c r="O58" s="1140"/>
      <c r="P58" s="1141"/>
      <c r="Q58" s="1"/>
    </row>
    <row r="59" spans="1:17" s="652" customFormat="1" ht="12.75" customHeight="1">
      <c r="A59" s="181" t="s">
        <v>336</v>
      </c>
      <c r="B59" s="181"/>
      <c r="C59" s="181"/>
      <c r="D59" s="181"/>
      <c r="E59" s="659"/>
      <c r="F59" s="659"/>
      <c r="G59" s="659"/>
      <c r="H59" s="659"/>
      <c r="I59" s="659"/>
      <c r="J59" s="659"/>
      <c r="K59" s="659"/>
      <c r="L59" s="659"/>
      <c r="M59" s="659"/>
      <c r="N59" s="659"/>
      <c r="O59" s="659"/>
      <c r="P59" s="660"/>
      <c r="Q59" s="1"/>
    </row>
    <row r="60" spans="1:17" s="428" customFormat="1" ht="14.25">
      <c r="A60" s="572" t="s">
        <v>377</v>
      </c>
      <c r="B60" s="572"/>
      <c r="C60" s="572"/>
      <c r="D60" s="572"/>
      <c r="E60" s="572"/>
      <c r="F60" s="572"/>
      <c r="G60" s="572"/>
      <c r="H60" s="572"/>
      <c r="I60" s="572"/>
      <c r="J60" s="572"/>
      <c r="K60" s="572"/>
      <c r="L60" s="572"/>
      <c r="M60" s="572"/>
      <c r="N60" s="572"/>
      <c r="O60" s="572"/>
      <c r="P60" s="573"/>
    </row>
    <row r="61" spans="1:17" ht="14.25">
      <c r="A61" s="287" t="s">
        <v>371</v>
      </c>
      <c r="B61" s="287"/>
      <c r="C61" s="287"/>
      <c r="D61" s="287"/>
      <c r="E61" s="287"/>
      <c r="F61" s="287"/>
      <c r="G61" s="287"/>
      <c r="H61" s="287"/>
      <c r="I61" s="287"/>
      <c r="J61" s="287"/>
      <c r="K61" s="287"/>
      <c r="L61" s="287"/>
      <c r="M61" s="287"/>
      <c r="N61" s="287"/>
      <c r="O61" s="287"/>
      <c r="P61" s="288"/>
    </row>
    <row r="62" spans="1:17">
      <c r="A62" s="1149" t="s">
        <v>372</v>
      </c>
      <c r="B62" s="1149"/>
      <c r="C62" s="1149"/>
      <c r="D62" s="1149"/>
      <c r="E62" s="1149"/>
      <c r="F62" s="1149"/>
      <c r="G62" s="1149"/>
      <c r="H62" s="1149"/>
      <c r="I62" s="1149"/>
      <c r="J62" s="1149"/>
      <c r="K62" s="1149"/>
      <c r="L62" s="1149"/>
      <c r="M62" s="1149"/>
      <c r="N62" s="1149"/>
      <c r="O62" s="1149"/>
      <c r="P62" s="893"/>
    </row>
    <row r="63" spans="1:17" ht="15.75" customHeight="1">
      <c r="A63" s="1149"/>
      <c r="B63" s="1149"/>
      <c r="C63" s="1149"/>
      <c r="D63" s="1149"/>
      <c r="E63" s="1149"/>
      <c r="F63" s="1149"/>
      <c r="G63" s="1149"/>
      <c r="H63" s="1149"/>
      <c r="I63" s="1149"/>
      <c r="J63" s="1149"/>
      <c r="K63" s="1149"/>
      <c r="L63" s="1149"/>
      <c r="M63" s="1149"/>
      <c r="N63" s="1149"/>
      <c r="O63" s="1149"/>
      <c r="P63" s="893"/>
    </row>
    <row r="64" spans="1:17" ht="14.25">
      <c r="A64" s="1148" t="s">
        <v>373</v>
      </c>
      <c r="B64" s="1148"/>
      <c r="C64" s="1148"/>
      <c r="D64" s="1148"/>
      <c r="E64" s="1148"/>
      <c r="F64" s="1148"/>
      <c r="G64" s="1148"/>
      <c r="H64" s="1148"/>
      <c r="I64" s="1148"/>
      <c r="J64" s="1148"/>
      <c r="K64" s="1148"/>
      <c r="L64" s="1148"/>
      <c r="M64" s="1148"/>
      <c r="N64" s="1148"/>
      <c r="O64" s="1148"/>
      <c r="P64" s="1141"/>
    </row>
    <row r="65" spans="1:16" s="652" customFormat="1" ht="14.25">
      <c r="A65" s="181" t="s">
        <v>374</v>
      </c>
      <c r="B65" s="181"/>
      <c r="C65" s="181"/>
      <c r="D65" s="665"/>
      <c r="E65" s="665"/>
      <c r="F65" s="665"/>
      <c r="G65" s="665"/>
      <c r="H65" s="665"/>
      <c r="I65" s="665"/>
      <c r="J65" s="665"/>
      <c r="K65" s="665"/>
      <c r="L65" s="665"/>
      <c r="M65" s="665"/>
      <c r="N65" s="665"/>
      <c r="O65" s="665"/>
      <c r="P65" s="660"/>
    </row>
    <row r="66" spans="1:16" ht="12.75" customHeight="1">
      <c r="A66" s="1140" t="s">
        <v>375</v>
      </c>
      <c r="B66" s="1140"/>
      <c r="C66" s="1140"/>
      <c r="D66" s="1140"/>
      <c r="E66" s="1140"/>
      <c r="F66" s="1140"/>
      <c r="G66" s="1140"/>
      <c r="H66" s="1140"/>
      <c r="I66" s="1140"/>
      <c r="J66" s="1140"/>
      <c r="K66" s="1140"/>
      <c r="L66" s="1140"/>
      <c r="M66" s="1140"/>
      <c r="N66" s="1140"/>
      <c r="O66" s="1140"/>
      <c r="P66" s="1141"/>
    </row>
    <row r="67" spans="1:16" ht="32.25" customHeight="1">
      <c r="A67" s="1149" t="s">
        <v>376</v>
      </c>
      <c r="B67" s="1149"/>
      <c r="C67" s="1149"/>
      <c r="D67" s="1149"/>
      <c r="E67" s="1149"/>
      <c r="F67" s="1149"/>
      <c r="G67" s="1149"/>
      <c r="H67" s="1149"/>
      <c r="I67" s="1149"/>
      <c r="J67" s="1149"/>
      <c r="K67" s="1149"/>
      <c r="L67" s="1149"/>
      <c r="M67" s="1149"/>
      <c r="N67" s="1149"/>
      <c r="O67" s="1149"/>
      <c r="P67" s="893"/>
    </row>
    <row r="68" spans="1:16" s="458" customFormat="1" ht="14.25">
      <c r="A68" s="1148" t="s">
        <v>394</v>
      </c>
      <c r="B68" s="1148"/>
      <c r="C68" s="1148"/>
      <c r="D68" s="1148"/>
      <c r="E68" s="1148"/>
      <c r="F68" s="1148"/>
      <c r="G68" s="1148"/>
      <c r="H68" s="1148"/>
      <c r="I68" s="1148"/>
      <c r="J68" s="1148"/>
      <c r="K68" s="1148"/>
      <c r="L68" s="1148"/>
      <c r="M68" s="1148"/>
      <c r="N68" s="1148"/>
      <c r="O68" s="1148"/>
      <c r="P68" s="1141"/>
    </row>
    <row r="69" spans="1:16" ht="14.25">
      <c r="A69" s="1148" t="s">
        <v>393</v>
      </c>
      <c r="B69" s="1148"/>
      <c r="C69" s="1148"/>
      <c r="D69" s="1148"/>
      <c r="E69" s="1148"/>
      <c r="F69" s="1148"/>
      <c r="G69" s="1148"/>
      <c r="H69" s="1148"/>
      <c r="I69" s="1148"/>
      <c r="J69" s="1148"/>
      <c r="K69" s="1148"/>
      <c r="L69" s="1148"/>
      <c r="M69" s="1148"/>
      <c r="N69" s="1148"/>
      <c r="O69" s="1148"/>
      <c r="P69" s="1141"/>
    </row>
    <row r="70" spans="1:16" ht="14.25">
      <c r="A70" s="1140" t="s">
        <v>379</v>
      </c>
      <c r="B70" s="1140"/>
      <c r="C70" s="1140"/>
      <c r="D70" s="1140"/>
      <c r="E70" s="1140"/>
      <c r="F70" s="1140"/>
      <c r="G70" s="1140"/>
      <c r="H70" s="1140"/>
      <c r="I70" s="1140"/>
      <c r="J70" s="1140"/>
      <c r="K70" s="1140"/>
      <c r="L70" s="1140"/>
      <c r="M70" s="1140"/>
      <c r="N70" s="1140"/>
      <c r="O70" s="1140"/>
      <c r="P70" s="1141"/>
    </row>
    <row r="71" spans="1:16" s="430" customFormat="1" ht="14.25">
      <c r="A71" s="1140" t="s">
        <v>382</v>
      </c>
      <c r="B71" s="1140"/>
      <c r="C71" s="1140"/>
      <c r="D71" s="1140"/>
      <c r="E71" s="1140"/>
      <c r="F71" s="1140"/>
      <c r="G71" s="1140"/>
      <c r="H71" s="1140"/>
      <c r="I71" s="1140"/>
      <c r="J71" s="1140"/>
      <c r="K71" s="1140"/>
      <c r="L71" s="1140"/>
      <c r="M71" s="1140"/>
      <c r="N71" s="1140"/>
      <c r="O71" s="1140"/>
      <c r="P71" s="1141"/>
    </row>
    <row r="72" spans="1:16" s="430" customFormat="1" ht="14.25">
      <c r="A72" s="1158" t="s">
        <v>383</v>
      </c>
      <c r="B72" s="1140"/>
      <c r="C72" s="1140"/>
      <c r="D72" s="1140"/>
      <c r="E72" s="1140"/>
      <c r="F72" s="1140"/>
      <c r="G72" s="1140"/>
      <c r="H72" s="1140"/>
      <c r="I72" s="1140"/>
      <c r="J72" s="1140"/>
      <c r="K72" s="1140"/>
      <c r="L72" s="1140"/>
      <c r="M72" s="1140"/>
      <c r="N72" s="1140"/>
      <c r="O72" s="1140"/>
      <c r="P72" s="1141"/>
    </row>
    <row r="73" spans="1:16" s="430" customFormat="1" ht="14.25">
      <c r="A73" s="1158" t="s">
        <v>389</v>
      </c>
      <c r="B73" s="1140"/>
      <c r="C73" s="1140"/>
      <c r="D73" s="1140"/>
      <c r="E73" s="1140"/>
      <c r="F73" s="1140"/>
      <c r="G73" s="1140"/>
      <c r="H73" s="1140"/>
      <c r="I73" s="1140"/>
      <c r="J73" s="1140"/>
      <c r="K73" s="1140"/>
      <c r="L73" s="1140"/>
      <c r="M73" s="1140"/>
      <c r="N73" s="1140"/>
      <c r="O73" s="1140"/>
      <c r="P73" s="1141"/>
    </row>
    <row r="74" spans="1:16" ht="14.25">
      <c r="A74" s="1142" t="s">
        <v>390</v>
      </c>
      <c r="B74" s="1143"/>
      <c r="C74" s="1143"/>
      <c r="D74" s="1143"/>
      <c r="E74" s="1143"/>
      <c r="F74" s="1143"/>
      <c r="G74" s="1143"/>
      <c r="H74" s="1143"/>
      <c r="I74" s="1143"/>
      <c r="J74" s="1143"/>
      <c r="K74" s="1143"/>
      <c r="L74" s="1143"/>
      <c r="M74" s="1143"/>
      <c r="N74" s="1143"/>
      <c r="O74" s="1143"/>
      <c r="P74" s="1144"/>
    </row>
    <row r="75" spans="1:16" ht="14.25">
      <c r="A75" s="1142" t="s">
        <v>395</v>
      </c>
      <c r="B75" s="1143"/>
      <c r="C75" s="1143"/>
      <c r="D75" s="1143"/>
      <c r="E75" s="1143"/>
      <c r="F75" s="1143"/>
      <c r="G75" s="1143"/>
      <c r="H75" s="1143"/>
      <c r="I75" s="1143"/>
      <c r="J75" s="1143"/>
      <c r="K75" s="1143"/>
      <c r="L75" s="1143"/>
      <c r="M75" s="1143"/>
      <c r="N75" s="1143"/>
      <c r="O75" s="1143"/>
      <c r="P75" s="1144"/>
    </row>
    <row r="76" spans="1:16" ht="14.25">
      <c r="A76" s="1142" t="s">
        <v>396</v>
      </c>
      <c r="B76" s="1143"/>
      <c r="C76" s="1143"/>
      <c r="D76" s="1143"/>
      <c r="E76" s="1143"/>
      <c r="F76" s="1143"/>
      <c r="G76" s="1143"/>
      <c r="H76" s="1143"/>
      <c r="I76" s="1143"/>
      <c r="J76" s="1143"/>
      <c r="K76" s="1143"/>
      <c r="L76" s="1143"/>
      <c r="M76" s="1143"/>
      <c r="N76" s="1143"/>
      <c r="O76" s="1143"/>
      <c r="P76" s="1144"/>
    </row>
    <row r="77" spans="1:16" ht="14.25">
      <c r="A77" s="1142" t="s">
        <v>397</v>
      </c>
      <c r="B77" s="1143"/>
      <c r="C77" s="1143"/>
      <c r="D77" s="1143"/>
      <c r="E77" s="1143"/>
      <c r="F77" s="1143"/>
      <c r="G77" s="1143"/>
      <c r="H77" s="1143"/>
      <c r="I77" s="1143"/>
      <c r="J77" s="1143"/>
      <c r="K77" s="1143"/>
      <c r="L77" s="1143"/>
      <c r="M77" s="1143"/>
      <c r="N77" s="1143"/>
      <c r="O77" s="1143"/>
      <c r="P77" s="1144"/>
    </row>
    <row r="78" spans="1:16" ht="14.25">
      <c r="A78" s="1142" t="s">
        <v>400</v>
      </c>
      <c r="B78" s="1143"/>
      <c r="C78" s="1143"/>
      <c r="D78" s="1143"/>
      <c r="E78" s="1143"/>
      <c r="F78" s="1143"/>
      <c r="G78" s="1143"/>
      <c r="H78" s="1143"/>
      <c r="I78" s="1143"/>
      <c r="J78" s="1143"/>
      <c r="K78" s="1143"/>
      <c r="L78" s="1143"/>
      <c r="M78" s="1143"/>
      <c r="N78" s="1143"/>
      <c r="O78" s="1143"/>
      <c r="P78" s="1144"/>
    </row>
    <row r="79" spans="1:16" ht="14.25">
      <c r="A79" s="1142" t="s">
        <v>401</v>
      </c>
      <c r="B79" s="1143"/>
      <c r="C79" s="1143"/>
      <c r="D79" s="1143"/>
      <c r="E79" s="1143"/>
      <c r="F79" s="1143"/>
      <c r="G79" s="1143"/>
      <c r="H79" s="1143"/>
      <c r="I79" s="1143"/>
      <c r="J79" s="1143"/>
      <c r="K79" s="1143"/>
      <c r="L79" s="1143"/>
      <c r="M79" s="1143"/>
      <c r="N79" s="1143"/>
      <c r="O79" s="1143"/>
      <c r="P79" s="1144"/>
    </row>
    <row r="80" spans="1:16" ht="14.25">
      <c r="A80" s="1142" t="s">
        <v>402</v>
      </c>
      <c r="B80" s="1143"/>
      <c r="C80" s="1143"/>
      <c r="D80" s="1143"/>
      <c r="E80" s="1143"/>
      <c r="F80" s="1143"/>
      <c r="G80" s="1143"/>
      <c r="H80" s="1143"/>
      <c r="I80" s="1143"/>
      <c r="J80" s="1143"/>
      <c r="K80" s="1143"/>
      <c r="L80" s="1143"/>
      <c r="M80" s="1143"/>
      <c r="N80" s="1143"/>
      <c r="O80" s="1143"/>
      <c r="P80" s="1144"/>
    </row>
    <row r="81" spans="1:16" ht="14.25">
      <c r="A81" s="1142" t="s">
        <v>409</v>
      </c>
      <c r="B81" s="1143"/>
      <c r="C81" s="1143"/>
      <c r="D81" s="1143"/>
      <c r="E81" s="1143"/>
      <c r="F81" s="1143"/>
      <c r="G81" s="1143"/>
      <c r="H81" s="1143"/>
      <c r="I81" s="1143"/>
      <c r="J81" s="1143"/>
      <c r="K81" s="1143"/>
      <c r="L81" s="1143"/>
      <c r="M81" s="1143"/>
      <c r="N81" s="1143"/>
      <c r="O81" s="1143"/>
      <c r="P81" s="1144"/>
    </row>
    <row r="82" spans="1:16" ht="14.25">
      <c r="A82" s="1142" t="s">
        <v>408</v>
      </c>
      <c r="B82" s="1143"/>
      <c r="C82" s="1143"/>
      <c r="D82" s="1143"/>
      <c r="E82" s="1143"/>
      <c r="F82" s="1143"/>
      <c r="G82" s="1143"/>
      <c r="H82" s="1143"/>
      <c r="I82" s="1143"/>
      <c r="J82" s="1143"/>
      <c r="K82" s="1143"/>
      <c r="L82" s="1143"/>
      <c r="M82" s="1143"/>
      <c r="N82" s="1143"/>
      <c r="O82" s="1143"/>
      <c r="P82" s="1144"/>
    </row>
    <row r="83" spans="1:16" ht="14.25">
      <c r="A83" s="500" t="s">
        <v>411</v>
      </c>
      <c r="B83" s="104"/>
      <c r="C83" s="104"/>
      <c r="D83" s="104"/>
      <c r="E83" s="104"/>
      <c r="F83" s="104"/>
      <c r="G83" s="104"/>
      <c r="H83" s="104"/>
      <c r="I83" s="104"/>
      <c r="J83" s="104"/>
      <c r="K83" s="104"/>
      <c r="L83" s="104"/>
      <c r="M83" s="104"/>
      <c r="N83" s="104"/>
      <c r="O83" s="104"/>
      <c r="P83" s="289"/>
    </row>
    <row r="84" spans="1:16" ht="14.25">
      <c r="A84" s="500" t="s">
        <v>438</v>
      </c>
      <c r="B84" s="104"/>
      <c r="C84" s="104"/>
      <c r="D84" s="104"/>
      <c r="E84" s="104"/>
      <c r="F84" s="104"/>
      <c r="G84" s="104"/>
      <c r="H84" s="104"/>
      <c r="I84" s="104"/>
      <c r="J84" s="104"/>
      <c r="K84" s="104"/>
      <c r="L84" s="104"/>
      <c r="M84" s="104"/>
      <c r="N84" s="104"/>
      <c r="O84" s="104"/>
      <c r="P84" s="289"/>
    </row>
    <row r="85" spans="1:16" ht="14.25">
      <c r="A85" s="1142" t="s">
        <v>439</v>
      </c>
      <c r="B85" s="1143"/>
      <c r="C85" s="1143"/>
      <c r="D85" s="1143"/>
      <c r="E85" s="1143"/>
      <c r="F85" s="1143"/>
      <c r="G85" s="1143"/>
      <c r="H85" s="1143"/>
      <c r="I85" s="1143"/>
      <c r="J85" s="1143"/>
      <c r="K85" s="1143"/>
      <c r="L85" s="1143"/>
      <c r="M85" s="1143"/>
      <c r="N85" s="1143"/>
      <c r="O85" s="1143"/>
      <c r="P85" s="1144"/>
    </row>
    <row r="86" spans="1:16" ht="14.25" customHeight="1">
      <c r="A86" s="1152" t="s">
        <v>489</v>
      </c>
      <c r="B86" s="1153"/>
      <c r="C86" s="1153"/>
      <c r="D86" s="1153"/>
      <c r="E86" s="1153"/>
      <c r="F86" s="1153"/>
      <c r="G86" s="1153"/>
      <c r="H86" s="1153"/>
      <c r="I86" s="1153"/>
      <c r="J86" s="1153"/>
      <c r="K86" s="1153"/>
      <c r="L86" s="1153"/>
      <c r="M86" s="1153"/>
      <c r="N86" s="1153"/>
      <c r="O86" s="1153"/>
      <c r="P86" s="1154"/>
    </row>
    <row r="87" spans="1:16" ht="14.25" customHeight="1">
      <c r="A87" s="1152"/>
      <c r="B87" s="1153"/>
      <c r="C87" s="1153"/>
      <c r="D87" s="1153"/>
      <c r="E87" s="1153"/>
      <c r="F87" s="1153"/>
      <c r="G87" s="1153"/>
      <c r="H87" s="1153"/>
      <c r="I87" s="1153"/>
      <c r="J87" s="1153"/>
      <c r="K87" s="1153"/>
      <c r="L87" s="1153"/>
      <c r="M87" s="1153"/>
      <c r="N87" s="1153"/>
      <c r="O87" s="1153"/>
      <c r="P87" s="1154"/>
    </row>
    <row r="88" spans="1:16" ht="14.25" customHeight="1">
      <c r="A88" s="1152" t="s">
        <v>441</v>
      </c>
      <c r="B88" s="1153"/>
      <c r="C88" s="1153"/>
      <c r="D88" s="1153"/>
      <c r="E88" s="1153"/>
      <c r="F88" s="1153"/>
      <c r="G88" s="1153"/>
      <c r="H88" s="1153"/>
      <c r="I88" s="1153"/>
      <c r="J88" s="1153"/>
      <c r="K88" s="1153"/>
      <c r="L88" s="1153"/>
      <c r="M88" s="1153"/>
      <c r="N88" s="1153"/>
      <c r="O88" s="1153"/>
      <c r="P88" s="1154"/>
    </row>
    <row r="89" spans="1:16" ht="14.25" customHeight="1">
      <c r="A89" s="1152"/>
      <c r="B89" s="1153"/>
      <c r="C89" s="1153"/>
      <c r="D89" s="1153"/>
      <c r="E89" s="1153"/>
      <c r="F89" s="1153"/>
      <c r="G89" s="1153"/>
      <c r="H89" s="1153"/>
      <c r="I89" s="1153"/>
      <c r="J89" s="1153"/>
      <c r="K89" s="1153"/>
      <c r="L89" s="1153"/>
      <c r="M89" s="1153"/>
      <c r="N89" s="1153"/>
      <c r="O89" s="1153"/>
      <c r="P89" s="1154"/>
    </row>
    <row r="90" spans="1:16" ht="14.25">
      <c r="A90" s="500" t="s">
        <v>604</v>
      </c>
      <c r="B90" s="104"/>
      <c r="C90" s="104"/>
      <c r="D90" s="104"/>
      <c r="E90" s="104"/>
      <c r="F90" s="104"/>
      <c r="G90" s="104"/>
      <c r="H90" s="104"/>
      <c r="I90" s="104"/>
      <c r="J90" s="104"/>
      <c r="K90" s="104"/>
      <c r="L90" s="104"/>
      <c r="M90" s="104"/>
      <c r="N90" s="104"/>
      <c r="O90" s="104"/>
      <c r="P90" s="289"/>
    </row>
    <row r="91" spans="1:16" ht="14.25">
      <c r="A91" s="500" t="s">
        <v>444</v>
      </c>
      <c r="B91" s="104"/>
      <c r="C91" s="104"/>
      <c r="D91" s="104"/>
      <c r="E91" s="104"/>
      <c r="F91" s="104"/>
      <c r="G91" s="104"/>
      <c r="H91" s="104"/>
      <c r="I91" s="104"/>
      <c r="J91" s="104"/>
      <c r="K91" s="104"/>
      <c r="L91" s="104"/>
      <c r="M91" s="104"/>
      <c r="N91" s="104"/>
      <c r="O91" s="104"/>
      <c r="P91" s="289"/>
    </row>
    <row r="92" spans="1:16" ht="14.25">
      <c r="A92" s="1142" t="s">
        <v>445</v>
      </c>
      <c r="B92" s="1143"/>
      <c r="C92" s="1143"/>
      <c r="D92" s="1143"/>
      <c r="E92" s="1143"/>
      <c r="F92" s="1143"/>
      <c r="G92" s="1143"/>
      <c r="H92" s="1143"/>
      <c r="I92" s="1143"/>
      <c r="J92" s="1143"/>
      <c r="K92" s="1143"/>
      <c r="L92" s="1143"/>
      <c r="M92" s="1143"/>
      <c r="N92" s="1143"/>
      <c r="O92" s="1143"/>
      <c r="P92" s="1144"/>
    </row>
    <row r="93" spans="1:16" ht="14.25">
      <c r="A93" s="500" t="s">
        <v>446</v>
      </c>
      <c r="B93" s="104"/>
      <c r="C93" s="104"/>
      <c r="D93" s="104"/>
      <c r="E93" s="104"/>
      <c r="F93" s="104"/>
      <c r="G93" s="104"/>
      <c r="H93" s="104"/>
      <c r="I93" s="104"/>
      <c r="J93" s="104"/>
      <c r="K93" s="104"/>
      <c r="L93" s="104"/>
      <c r="M93" s="104"/>
      <c r="N93" s="104"/>
      <c r="O93" s="104"/>
      <c r="P93" s="289"/>
    </row>
    <row r="94" spans="1:16" ht="14.25">
      <c r="A94" s="500" t="s">
        <v>461</v>
      </c>
      <c r="B94" s="104"/>
      <c r="C94" s="104"/>
      <c r="D94" s="104"/>
      <c r="E94" s="104"/>
      <c r="F94" s="104"/>
      <c r="G94" s="104"/>
      <c r="H94" s="104"/>
      <c r="I94" s="104"/>
      <c r="J94" s="104"/>
      <c r="K94" s="104"/>
      <c r="L94" s="104"/>
      <c r="M94" s="104"/>
      <c r="N94" s="104"/>
      <c r="O94" s="104"/>
      <c r="P94" s="289"/>
    </row>
    <row r="95" spans="1:16" ht="14.25">
      <c r="A95" s="500" t="s">
        <v>488</v>
      </c>
      <c r="B95" s="104"/>
      <c r="C95" s="104"/>
      <c r="D95" s="104"/>
      <c r="E95" s="104"/>
      <c r="F95" s="104"/>
      <c r="G95" s="104"/>
      <c r="H95" s="104"/>
      <c r="I95" s="104"/>
      <c r="J95" s="104"/>
      <c r="K95" s="104"/>
      <c r="L95" s="104"/>
      <c r="M95" s="104"/>
      <c r="N95" s="104"/>
      <c r="O95" s="104"/>
      <c r="P95" s="289"/>
    </row>
    <row r="96" spans="1:16" ht="14.25">
      <c r="A96" s="500" t="s">
        <v>490</v>
      </c>
      <c r="B96" s="104"/>
      <c r="C96" s="104"/>
      <c r="D96" s="104"/>
      <c r="E96" s="104"/>
      <c r="F96" s="104"/>
      <c r="G96" s="104"/>
      <c r="H96" s="104"/>
      <c r="I96" s="104"/>
      <c r="J96" s="104"/>
      <c r="K96" s="104"/>
      <c r="L96" s="104"/>
      <c r="M96" s="104"/>
      <c r="N96" s="104"/>
      <c r="O96" s="104"/>
      <c r="P96" s="289"/>
    </row>
    <row r="97" spans="1:16" ht="14.25">
      <c r="A97" s="1142" t="s">
        <v>494</v>
      </c>
      <c r="B97" s="1143"/>
      <c r="C97" s="1143"/>
      <c r="D97" s="1143"/>
      <c r="E97" s="1143"/>
      <c r="F97" s="1143"/>
      <c r="G97" s="1143"/>
      <c r="H97" s="1143"/>
      <c r="I97" s="1143"/>
      <c r="J97" s="1143"/>
      <c r="K97" s="1143"/>
      <c r="L97" s="1143"/>
      <c r="M97" s="1143"/>
      <c r="N97" s="1143"/>
      <c r="O97" s="1143"/>
      <c r="P97" s="1144"/>
    </row>
    <row r="98" spans="1:16" ht="29.25" customHeight="1">
      <c r="A98" s="1152" t="s">
        <v>605</v>
      </c>
      <c r="B98" s="1153"/>
      <c r="C98" s="1153"/>
      <c r="D98" s="1153"/>
      <c r="E98" s="1153"/>
      <c r="F98" s="1153"/>
      <c r="G98" s="1153"/>
      <c r="H98" s="1153"/>
      <c r="I98" s="1153"/>
      <c r="J98" s="1153"/>
      <c r="K98" s="1153"/>
      <c r="L98" s="1153"/>
      <c r="M98" s="1153"/>
      <c r="N98" s="1153"/>
      <c r="O98" s="1153"/>
      <c r="P98" s="1154"/>
    </row>
    <row r="99" spans="1:16" ht="14.25">
      <c r="A99" s="1155" t="s">
        <v>499</v>
      </c>
      <c r="B99" s="1156"/>
      <c r="C99" s="1156"/>
      <c r="D99" s="1156"/>
      <c r="E99" s="1156"/>
      <c r="F99" s="1156"/>
      <c r="G99" s="1156"/>
      <c r="H99" s="1156"/>
      <c r="I99" s="1156"/>
      <c r="J99" s="1156"/>
      <c r="K99" s="1156"/>
      <c r="L99" s="1156"/>
      <c r="M99" s="1156"/>
      <c r="N99" s="1156"/>
      <c r="O99" s="1156"/>
      <c r="P99" s="1157"/>
    </row>
    <row r="100" spans="1:16" ht="14.25">
      <c r="A100" s="1155" t="s">
        <v>517</v>
      </c>
      <c r="B100" s="1156"/>
      <c r="C100" s="1156"/>
      <c r="D100" s="1156"/>
      <c r="E100" s="1156"/>
      <c r="F100" s="1156"/>
      <c r="G100" s="1156"/>
      <c r="H100" s="1156"/>
      <c r="I100" s="1156"/>
      <c r="J100" s="1156"/>
      <c r="K100" s="1156"/>
      <c r="L100" s="1156"/>
      <c r="M100" s="1156"/>
      <c r="N100" s="1156"/>
      <c r="O100" s="1156"/>
      <c r="P100" s="1157"/>
    </row>
    <row r="101" spans="1:16" ht="14.25">
      <c r="A101" s="1155" t="s">
        <v>529</v>
      </c>
      <c r="B101" s="1156"/>
      <c r="C101" s="1156"/>
      <c r="D101" s="1156"/>
      <c r="E101" s="1156"/>
      <c r="F101" s="1156"/>
      <c r="G101" s="1156"/>
      <c r="H101" s="1156"/>
      <c r="I101" s="1156"/>
      <c r="J101" s="1156"/>
      <c r="K101" s="1156"/>
      <c r="L101" s="1156"/>
      <c r="M101" s="1156"/>
      <c r="N101" s="1156"/>
      <c r="O101" s="1156"/>
      <c r="P101" s="1157"/>
    </row>
    <row r="102" spans="1:16" ht="14.25">
      <c r="A102" s="1155" t="s">
        <v>533</v>
      </c>
      <c r="B102" s="1156"/>
      <c r="C102" s="1156"/>
      <c r="D102" s="1156"/>
      <c r="E102" s="1156"/>
      <c r="F102" s="1156"/>
      <c r="G102" s="1156"/>
      <c r="H102" s="1156"/>
      <c r="I102" s="1156"/>
      <c r="J102" s="1156"/>
      <c r="K102" s="1156"/>
      <c r="L102" s="1156"/>
      <c r="M102" s="1156"/>
      <c r="N102" s="1156"/>
      <c r="O102" s="1156"/>
      <c r="P102" s="1157"/>
    </row>
    <row r="103" spans="1:16" ht="14.25">
      <c r="A103" s="447" t="s">
        <v>540</v>
      </c>
      <c r="B103" s="448"/>
      <c r="C103" s="448"/>
      <c r="D103" s="448"/>
      <c r="E103" s="448"/>
      <c r="F103" s="448"/>
      <c r="G103" s="448"/>
      <c r="H103" s="448"/>
      <c r="I103" s="448"/>
      <c r="J103" s="448"/>
      <c r="K103" s="448"/>
      <c r="L103" s="448"/>
      <c r="M103" s="448"/>
      <c r="N103" s="448"/>
      <c r="O103" s="448"/>
      <c r="P103" s="449"/>
    </row>
    <row r="104" spans="1:16" ht="14.25">
      <c r="A104" s="447" t="s">
        <v>541</v>
      </c>
      <c r="B104" s="448"/>
      <c r="C104" s="448"/>
      <c r="D104" s="448"/>
      <c r="E104" s="448"/>
      <c r="F104" s="448"/>
      <c r="G104" s="448"/>
      <c r="H104" s="448"/>
      <c r="I104" s="448"/>
      <c r="J104" s="448"/>
      <c r="K104" s="448"/>
      <c r="L104" s="448"/>
      <c r="M104" s="448"/>
      <c r="N104" s="448"/>
      <c r="O104" s="448"/>
      <c r="P104" s="449"/>
    </row>
    <row r="105" spans="1:16" ht="14.25">
      <c r="A105" s="447" t="s">
        <v>545</v>
      </c>
      <c r="B105" s="448"/>
      <c r="C105" s="448"/>
      <c r="D105" s="448"/>
      <c r="E105" s="448"/>
      <c r="F105" s="448"/>
      <c r="G105" s="448"/>
      <c r="H105" s="448"/>
      <c r="I105" s="448"/>
      <c r="J105" s="448"/>
      <c r="K105" s="448"/>
      <c r="L105" s="448"/>
      <c r="M105" s="448"/>
      <c r="N105" s="448"/>
      <c r="O105" s="448"/>
      <c r="P105" s="449"/>
    </row>
    <row r="106" spans="1:16" ht="14.25">
      <c r="A106" s="447" t="s">
        <v>548</v>
      </c>
      <c r="B106" s="448"/>
      <c r="C106" s="448"/>
      <c r="D106" s="448"/>
      <c r="E106" s="448"/>
      <c r="F106" s="448"/>
      <c r="G106" s="448"/>
      <c r="H106" s="448"/>
      <c r="I106" s="448"/>
      <c r="J106" s="448"/>
      <c r="K106" s="448"/>
      <c r="L106" s="448"/>
      <c r="M106" s="448"/>
      <c r="N106" s="448"/>
      <c r="O106" s="448"/>
      <c r="P106" s="449"/>
    </row>
    <row r="107" spans="1:16" ht="14.25">
      <c r="A107" s="447" t="s">
        <v>550</v>
      </c>
      <c r="B107" s="448"/>
      <c r="C107" s="448"/>
      <c r="D107" s="448"/>
      <c r="E107" s="448"/>
      <c r="F107" s="448"/>
      <c r="G107" s="448"/>
      <c r="H107" s="448"/>
      <c r="I107" s="448"/>
      <c r="J107" s="448"/>
      <c r="K107" s="448"/>
      <c r="L107" s="448"/>
      <c r="M107" s="448"/>
      <c r="N107" s="448"/>
      <c r="O107" s="448"/>
      <c r="P107" s="449"/>
    </row>
    <row r="108" spans="1:16" ht="31.5" customHeight="1">
      <c r="A108" s="1152" t="s">
        <v>606</v>
      </c>
      <c r="B108" s="1153"/>
      <c r="C108" s="1153"/>
      <c r="D108" s="1153"/>
      <c r="E108" s="1153"/>
      <c r="F108" s="1153"/>
      <c r="G108" s="1153"/>
      <c r="H108" s="1153"/>
      <c r="I108" s="1153"/>
      <c r="J108" s="1153"/>
      <c r="K108" s="1153"/>
      <c r="L108" s="1153"/>
      <c r="M108" s="1153"/>
      <c r="N108" s="1153"/>
      <c r="O108" s="1153"/>
      <c r="P108" s="1154"/>
    </row>
    <row r="109" spans="1:16" ht="14.25">
      <c r="A109" s="104" t="s">
        <v>583</v>
      </c>
      <c r="B109" s="104"/>
      <c r="C109" s="104"/>
      <c r="D109" s="104"/>
      <c r="E109" s="104"/>
      <c r="F109" s="448"/>
      <c r="G109" s="448"/>
      <c r="H109" s="448"/>
      <c r="I109" s="448"/>
      <c r="J109" s="448"/>
      <c r="K109" s="448"/>
      <c r="L109" s="448"/>
      <c r="M109" s="448"/>
      <c r="N109" s="448"/>
      <c r="O109" s="448"/>
      <c r="P109" s="449"/>
    </row>
    <row r="110" spans="1:16" ht="14.25">
      <c r="A110" s="181" t="s">
        <v>607</v>
      </c>
      <c r="B110" s="74"/>
      <c r="C110" s="74"/>
      <c r="D110" s="74"/>
      <c r="E110" s="455"/>
      <c r="F110" s="447"/>
      <c r="G110" s="448"/>
      <c r="H110" s="448"/>
      <c r="I110" s="448"/>
      <c r="J110" s="448"/>
      <c r="K110" s="448"/>
      <c r="L110" s="448"/>
      <c r="M110" s="448"/>
      <c r="N110" s="448"/>
      <c r="O110" s="448"/>
      <c r="P110" s="449"/>
    </row>
    <row r="111" spans="1:16" ht="27" customHeight="1">
      <c r="A111" s="1138" t="s">
        <v>620</v>
      </c>
      <c r="B111" s="1138"/>
      <c r="C111" s="1138"/>
      <c r="D111" s="1138"/>
      <c r="E111" s="1138"/>
      <c r="F111" s="1138"/>
      <c r="G111" s="1138"/>
      <c r="H111" s="1138"/>
      <c r="I111" s="1138"/>
      <c r="J111" s="1138"/>
      <c r="K111" s="1138"/>
      <c r="L111" s="1138"/>
      <c r="M111" s="1138"/>
      <c r="N111" s="1138"/>
      <c r="O111" s="1138"/>
      <c r="P111" s="1139"/>
    </row>
    <row r="112" spans="1:16" ht="42.75" customHeight="1">
      <c r="A112" s="1138" t="s">
        <v>637</v>
      </c>
      <c r="B112" s="1138"/>
      <c r="C112" s="1138"/>
      <c r="D112" s="1138"/>
      <c r="E112" s="1138"/>
      <c r="F112" s="1138"/>
      <c r="G112" s="1138"/>
      <c r="H112" s="1138"/>
      <c r="I112" s="1138"/>
      <c r="J112" s="1138"/>
      <c r="K112" s="1138"/>
      <c r="L112" s="1138"/>
      <c r="M112" s="1138"/>
      <c r="N112" s="1138"/>
      <c r="O112" s="1138"/>
      <c r="P112" s="1139"/>
    </row>
    <row r="113" spans="1:16" ht="14.25">
      <c r="A113" s="670" t="s">
        <v>645</v>
      </c>
      <c r="P113" s="653"/>
    </row>
    <row r="114" spans="1:16" ht="14.25">
      <c r="A114" s="670" t="s">
        <v>647</v>
      </c>
      <c r="P114" s="653"/>
    </row>
    <row r="115" spans="1:16" ht="14.25">
      <c r="A115" s="670" t="s">
        <v>648</v>
      </c>
      <c r="P115" s="653"/>
    </row>
    <row r="116" spans="1:16" ht="14.25">
      <c r="A116" s="670" t="s">
        <v>649</v>
      </c>
      <c r="P116" s="653"/>
    </row>
    <row r="117" spans="1:16" ht="14.25">
      <c r="A117" s="670" t="s">
        <v>657</v>
      </c>
      <c r="P117" s="653"/>
    </row>
    <row r="118" spans="1:16" ht="30" customHeight="1">
      <c r="A118" s="1169" t="s">
        <v>662</v>
      </c>
      <c r="B118" s="1169"/>
      <c r="C118" s="1169"/>
      <c r="D118" s="1169"/>
      <c r="E118" s="1169"/>
      <c r="F118" s="1169"/>
      <c r="G118" s="1169"/>
      <c r="H118" s="1169"/>
      <c r="I118" s="1169"/>
      <c r="J118" s="1169"/>
      <c r="K118" s="1169"/>
      <c r="L118" s="1169"/>
      <c r="M118" s="1169"/>
      <c r="N118" s="1169"/>
      <c r="O118" s="1169"/>
      <c r="P118" s="1154"/>
    </row>
    <row r="119" spans="1:16" ht="15.75" customHeight="1">
      <c r="A119" s="1169" t="s">
        <v>675</v>
      </c>
      <c r="B119" s="1169"/>
      <c r="C119" s="1169"/>
      <c r="D119" s="1169"/>
      <c r="E119" s="1169"/>
      <c r="F119" s="1169"/>
      <c r="G119" s="1169"/>
      <c r="H119" s="1169"/>
      <c r="I119" s="1169"/>
      <c r="J119" s="1169"/>
      <c r="K119" s="1169"/>
      <c r="L119" s="1169"/>
      <c r="M119" s="1169"/>
      <c r="N119" s="1169"/>
      <c r="O119" s="1169"/>
      <c r="P119" s="1154"/>
    </row>
    <row r="120" spans="1:16" ht="14.25">
      <c r="A120" s="846" t="s">
        <v>676</v>
      </c>
      <c r="P120" s="653"/>
    </row>
    <row r="121" spans="1:16" ht="14.25" customHeight="1">
      <c r="A121" s="1167" t="s">
        <v>677</v>
      </c>
      <c r="B121" s="1167"/>
      <c r="C121" s="1167"/>
      <c r="D121" s="1167"/>
      <c r="E121" s="1167"/>
      <c r="F121" s="1167"/>
      <c r="G121" s="1167"/>
      <c r="H121" s="1167"/>
      <c r="I121" s="1167"/>
      <c r="J121" s="1167"/>
      <c r="K121" s="1167"/>
      <c r="L121" s="1167"/>
      <c r="M121" s="1167"/>
      <c r="N121" s="1167"/>
      <c r="O121" s="1167"/>
      <c r="P121" s="1168"/>
    </row>
    <row r="122" spans="1:16">
      <c r="A122" s="1167"/>
      <c r="B122" s="1167"/>
      <c r="C122" s="1167"/>
      <c r="D122" s="1167"/>
      <c r="E122" s="1167"/>
      <c r="F122" s="1167"/>
      <c r="G122" s="1167"/>
      <c r="H122" s="1167"/>
      <c r="I122" s="1167"/>
      <c r="J122" s="1167"/>
      <c r="K122" s="1167"/>
      <c r="L122" s="1167"/>
      <c r="M122" s="1167"/>
      <c r="N122" s="1167"/>
      <c r="O122" s="1167"/>
      <c r="P122" s="1168"/>
    </row>
    <row r="123" spans="1:16" ht="14.25">
      <c r="A123" s="670" t="s">
        <v>679</v>
      </c>
      <c r="P123" s="653"/>
    </row>
    <row r="124" spans="1:16" ht="14.25">
      <c r="A124" s="670" t="s">
        <v>680</v>
      </c>
      <c r="P124" s="653"/>
    </row>
    <row r="125" spans="1:16" ht="14.25">
      <c r="A125" s="670" t="s">
        <v>681</v>
      </c>
      <c r="P125" s="653"/>
    </row>
    <row r="126" spans="1:16" ht="14.25">
      <c r="A126" s="670" t="s">
        <v>682</v>
      </c>
      <c r="P126" s="653"/>
    </row>
    <row r="127" spans="1:16" ht="14.25">
      <c r="A127" s="670" t="s">
        <v>683</v>
      </c>
      <c r="P127" s="653"/>
    </row>
    <row r="128" spans="1:16" ht="12.75" customHeight="1">
      <c r="A128" s="1138" t="s">
        <v>698</v>
      </c>
      <c r="B128" s="1138"/>
      <c r="C128" s="1138"/>
      <c r="D128" s="1138"/>
      <c r="E128" s="1138"/>
      <c r="F128" s="1138"/>
      <c r="G128" s="1138"/>
      <c r="H128" s="1138"/>
      <c r="I128" s="1138"/>
      <c r="J128" s="1138"/>
      <c r="K128" s="1138"/>
      <c r="L128" s="1138"/>
      <c r="M128" s="1138"/>
      <c r="N128" s="1138"/>
      <c r="O128" s="1138"/>
      <c r="P128" s="1139"/>
    </row>
    <row r="129" spans="1:16" ht="12.75" customHeight="1">
      <c r="A129" s="1138"/>
      <c r="B129" s="1138"/>
      <c r="C129" s="1138"/>
      <c r="D129" s="1138"/>
      <c r="E129" s="1138"/>
      <c r="F129" s="1138"/>
      <c r="G129" s="1138"/>
      <c r="H129" s="1138"/>
      <c r="I129" s="1138"/>
      <c r="J129" s="1138"/>
      <c r="K129" s="1138"/>
      <c r="L129" s="1138"/>
      <c r="M129" s="1138"/>
      <c r="N129" s="1138"/>
      <c r="O129" s="1138"/>
      <c r="P129" s="1139"/>
    </row>
    <row r="130" spans="1:16" ht="17.25" customHeight="1">
      <c r="A130" s="1138"/>
      <c r="B130" s="1138"/>
      <c r="C130" s="1138"/>
      <c r="D130" s="1138"/>
      <c r="E130" s="1138"/>
      <c r="F130" s="1138"/>
      <c r="G130" s="1138"/>
      <c r="H130" s="1138"/>
      <c r="I130" s="1138"/>
      <c r="J130" s="1138"/>
      <c r="K130" s="1138"/>
      <c r="L130" s="1138"/>
      <c r="M130" s="1138"/>
      <c r="N130" s="1138"/>
      <c r="O130" s="1138"/>
      <c r="P130" s="1139"/>
    </row>
    <row r="131" spans="1:16">
      <c r="P131" s="653"/>
    </row>
    <row r="132" spans="1:16" ht="13.5" thickBot="1">
      <c r="A132" s="655"/>
      <c r="B132" s="655"/>
      <c r="C132" s="655"/>
      <c r="D132" s="655"/>
      <c r="E132" s="655"/>
      <c r="F132" s="655"/>
      <c r="G132" s="655"/>
      <c r="H132" s="655"/>
      <c r="I132" s="655"/>
      <c r="J132" s="655"/>
      <c r="K132" s="655"/>
      <c r="L132" s="655"/>
      <c r="M132" s="655"/>
      <c r="N132" s="655"/>
      <c r="O132" s="655"/>
      <c r="P132" s="656"/>
    </row>
  </sheetData>
  <mergeCells count="75">
    <mergeCell ref="A121:P122"/>
    <mergeCell ref="A118:P118"/>
    <mergeCell ref="A111:P111"/>
    <mergeCell ref="A102:P102"/>
    <mergeCell ref="A100:P100"/>
    <mergeCell ref="A119:P119"/>
    <mergeCell ref="A112:P112"/>
    <mergeCell ref="A108:P108"/>
    <mergeCell ref="A101:P101"/>
    <mergeCell ref="A11:P11"/>
    <mergeCell ref="A12:P12"/>
    <mergeCell ref="A13:P13"/>
    <mergeCell ref="A21:P21"/>
    <mergeCell ref="A20:P20"/>
    <mergeCell ref="A14:P14"/>
    <mergeCell ref="A1:P1"/>
    <mergeCell ref="A3:P3"/>
    <mergeCell ref="A4:P4"/>
    <mergeCell ref="A5:P5"/>
    <mergeCell ref="A10:P10"/>
    <mergeCell ref="A6:P6"/>
    <mergeCell ref="A7:P7"/>
    <mergeCell ref="A8:P8"/>
    <mergeCell ref="A22:P22"/>
    <mergeCell ref="A23:P23"/>
    <mergeCell ref="A26:P26"/>
    <mergeCell ref="A28:P28"/>
    <mergeCell ref="A30:P30"/>
    <mergeCell ref="A31:P31"/>
    <mergeCell ref="A24:P24"/>
    <mergeCell ref="A29:P29"/>
    <mergeCell ref="A27:E27"/>
    <mergeCell ref="A68:P68"/>
    <mergeCell ref="A58:P58"/>
    <mergeCell ref="A52:P52"/>
    <mergeCell ref="A45:P45"/>
    <mergeCell ref="A36:P36"/>
    <mergeCell ref="A37:P37"/>
    <mergeCell ref="A38:P38"/>
    <mergeCell ref="A39:P39"/>
    <mergeCell ref="A64:P64"/>
    <mergeCell ref="A54:P54"/>
    <mergeCell ref="A67:P67"/>
    <mergeCell ref="A66:P66"/>
    <mergeCell ref="A99:P99"/>
    <mergeCell ref="A69:P69"/>
    <mergeCell ref="A79:P79"/>
    <mergeCell ref="A75:P75"/>
    <mergeCell ref="A88:P89"/>
    <mergeCell ref="A77:P77"/>
    <mergeCell ref="A76:P76"/>
    <mergeCell ref="A73:P73"/>
    <mergeCell ref="A72:P72"/>
    <mergeCell ref="A97:P97"/>
    <mergeCell ref="A86:P87"/>
    <mergeCell ref="A74:P74"/>
    <mergeCell ref="A85:P85"/>
    <mergeCell ref="A82:P82"/>
    <mergeCell ref="A81:P81"/>
    <mergeCell ref="A128:P130"/>
    <mergeCell ref="A70:P70"/>
    <mergeCell ref="A71:P71"/>
    <mergeCell ref="A92:P92"/>
    <mergeCell ref="A42:P42"/>
    <mergeCell ref="A44:P44"/>
    <mergeCell ref="A48:P48"/>
    <mergeCell ref="A62:P63"/>
    <mergeCell ref="A57:P57"/>
    <mergeCell ref="A46:P47"/>
    <mergeCell ref="A50:P50"/>
    <mergeCell ref="A49:P49"/>
    <mergeCell ref="A51:P51"/>
    <mergeCell ref="A78:P78"/>
    <mergeCell ref="A80:P80"/>
    <mergeCell ref="A98:P98"/>
  </mergeCells>
  <phoneticPr fontId="36" type="noConversion"/>
  <pageMargins left="0.7" right="0.7" top="0.75" bottom="0.75" header="0.3" footer="0.3"/>
  <pageSetup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2A4445B9030146A31809E51819FC0F" ma:contentTypeVersion="0" ma:contentTypeDescription="Create a new document." ma:contentTypeScope="" ma:versionID="988b2b8a591bd2d3dd67a7ac631f0ca8">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4287E1-BC6F-4C0F-8FA6-B47A88EE3AF2}">
  <ds:schemaRefs>
    <ds:schemaRef ds:uri="http://schemas.microsoft.com/office/2006/metadata/properties"/>
  </ds:schemaRefs>
</ds:datastoreItem>
</file>

<file path=customXml/itemProps2.xml><?xml version="1.0" encoding="utf-8"?>
<ds:datastoreItem xmlns:ds="http://schemas.openxmlformats.org/officeDocument/2006/customXml" ds:itemID="{50D26D3A-A8C2-4E8C-A2D6-6847440304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039E5E0-3237-49EA-8500-25C8440A68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391</vt:i4>
      </vt:variant>
    </vt:vector>
  </HeadingPairs>
  <TitlesOfParts>
    <vt:vector size="400" baseType="lpstr">
      <vt:lpstr>Input</vt:lpstr>
      <vt:lpstr>Storage Requirements</vt:lpstr>
      <vt:lpstr>LUN Requirements</vt:lpstr>
      <vt:lpstr>Backup Requirements</vt:lpstr>
      <vt:lpstr>Log Replication Requirements</vt:lpstr>
      <vt:lpstr>Storage Design</vt:lpstr>
      <vt:lpstr>Variables</vt:lpstr>
      <vt:lpstr>Tables</vt:lpstr>
      <vt:lpstr>Version Changes</vt:lpstr>
      <vt:lpstr>AccNetLinkCCR</vt:lpstr>
      <vt:lpstr>AccNetLinkSCR</vt:lpstr>
      <vt:lpstr>AdditionalIO</vt:lpstr>
      <vt:lpstr>aggRWRatio</vt:lpstr>
      <vt:lpstr>AvailNetCapacity</vt:lpstr>
      <vt:lpstr>BackupFailureTol</vt:lpstr>
      <vt:lpstr>BackupFreq</vt:lpstr>
      <vt:lpstr>BackupMethod</vt:lpstr>
      <vt:lpstr>BackupRate</vt:lpstr>
      <vt:lpstr>calcExecDBReads</vt:lpstr>
      <vt:lpstr>calcMBXPerDB</vt:lpstr>
      <vt:lpstr>CalcNumSGUserTLogs</vt:lpstr>
      <vt:lpstr>CalcNumUserTLogs</vt:lpstr>
      <vt:lpstr>calcRAMConfig</vt:lpstr>
      <vt:lpstr>calcTier1DBCache</vt:lpstr>
      <vt:lpstr>calcTier1DBReads</vt:lpstr>
      <vt:lpstr>calcTier1DBWrites</vt:lpstr>
      <vt:lpstr>calcTier1MBX</vt:lpstr>
      <vt:lpstr>calcTier1RWRatio</vt:lpstr>
      <vt:lpstr>calcTier2DBCache</vt:lpstr>
      <vt:lpstr>calcTier2DBReads</vt:lpstr>
      <vt:lpstr>calcTier2DBWrites</vt:lpstr>
      <vt:lpstr>calcTier2MBX</vt:lpstr>
      <vt:lpstr>calcTier2RWRatio</vt:lpstr>
      <vt:lpstr>calcTier3DBCache</vt:lpstr>
      <vt:lpstr>calcTier3DBWrites</vt:lpstr>
      <vt:lpstr>calcTier3MBX</vt:lpstr>
      <vt:lpstr>calcTier3RWRatio</vt:lpstr>
      <vt:lpstr>calcTotNumMBX</vt:lpstr>
      <vt:lpstr>CCRLogBandwidth</vt:lpstr>
      <vt:lpstr>Config1TotDisks</vt:lpstr>
      <vt:lpstr>Config2TotDisks</vt:lpstr>
      <vt:lpstr>Config3TotDisks</vt:lpstr>
      <vt:lpstr>ContentIndexing</vt:lpstr>
      <vt:lpstr>CustomMaxDBSize</vt:lpstr>
      <vt:lpstr>DataGrowth</vt:lpstr>
      <vt:lpstr>DBDiskIO1</vt:lpstr>
      <vt:lpstr>DBDiskIO2</vt:lpstr>
      <vt:lpstr>DBDiskIO3</vt:lpstr>
      <vt:lpstr>DBDiskIOCap1</vt:lpstr>
      <vt:lpstr>DBDiskIOCap2</vt:lpstr>
      <vt:lpstr>DBDiskIOCap3</vt:lpstr>
      <vt:lpstr>DBDiskRPM1</vt:lpstr>
      <vt:lpstr>DBDiskRPM2</vt:lpstr>
      <vt:lpstr>DBDiskRPM3</vt:lpstr>
      <vt:lpstr>DBDiskSize1</vt:lpstr>
      <vt:lpstr>DBDiskSize2</vt:lpstr>
      <vt:lpstr>DBDiskSize3</vt:lpstr>
      <vt:lpstr>DBDiskSpaceReqReplicaSS</vt:lpstr>
      <vt:lpstr>DBForDiskCap1</vt:lpstr>
      <vt:lpstr>DBForDiskCap2</vt:lpstr>
      <vt:lpstr>DBForDiskCap3</vt:lpstr>
      <vt:lpstr>DBIOPSReplicaSS</vt:lpstr>
      <vt:lpstr>DBLUNDiskSpaceReplicaSS</vt:lpstr>
      <vt:lpstr>DBLUNSize</vt:lpstr>
      <vt:lpstr>DBRawDiskCap1</vt:lpstr>
      <vt:lpstr>DBRawDiskCap2</vt:lpstr>
      <vt:lpstr>DBRawDiskCap3</vt:lpstr>
      <vt:lpstr>DBSize</vt:lpstr>
      <vt:lpstr>DBSizeOverride</vt:lpstr>
      <vt:lpstr>DeletedItemWindow</vt:lpstr>
      <vt:lpstr>DesRAIDConfig</vt:lpstr>
      <vt:lpstr>DesResLUNRAID</vt:lpstr>
      <vt:lpstr>ExVersion</vt:lpstr>
      <vt:lpstr>FullBackupWindow</vt:lpstr>
      <vt:lpstr>FullRestoreWindow</vt:lpstr>
      <vt:lpstr>HAOption</vt:lpstr>
      <vt:lpstr>IncDiffBackupWindow</vt:lpstr>
      <vt:lpstr>IncDiffRestoreWindow</vt:lpstr>
      <vt:lpstr>IOGrowth</vt:lpstr>
      <vt:lpstr>LogDiskIOCap1</vt:lpstr>
      <vt:lpstr>LogDiskIOCap2</vt:lpstr>
      <vt:lpstr>LogDiskIOCap3</vt:lpstr>
      <vt:lpstr>LogDiskRPM1</vt:lpstr>
      <vt:lpstr>LogDiskRPM2</vt:lpstr>
      <vt:lpstr>LogDiskRPM3</vt:lpstr>
      <vt:lpstr>LogDiskSize1</vt:lpstr>
      <vt:lpstr>LogDiskSize2</vt:lpstr>
      <vt:lpstr>LogDiskSize3</vt:lpstr>
      <vt:lpstr>LogDiskSpaceReplicaSS</vt:lpstr>
      <vt:lpstr>LogDiskSpaceReqBackup</vt:lpstr>
      <vt:lpstr>LogDiskSpaceReqMove</vt:lpstr>
      <vt:lpstr>LogForDiskCap1</vt:lpstr>
      <vt:lpstr>LogForDiskCap2</vt:lpstr>
      <vt:lpstr>LogForDiskCap3</vt:lpstr>
      <vt:lpstr>LogH1</vt:lpstr>
      <vt:lpstr>LogH10</vt:lpstr>
      <vt:lpstr>LogH11</vt:lpstr>
      <vt:lpstr>LogH12</vt:lpstr>
      <vt:lpstr>LogH13</vt:lpstr>
      <vt:lpstr>LogH14</vt:lpstr>
      <vt:lpstr>LogH15</vt:lpstr>
      <vt:lpstr>LogH16</vt:lpstr>
      <vt:lpstr>LogH17</vt:lpstr>
      <vt:lpstr>LogH18</vt:lpstr>
      <vt:lpstr>LogH19</vt:lpstr>
      <vt:lpstr>LogH2</vt:lpstr>
      <vt:lpstr>LogH20</vt:lpstr>
      <vt:lpstr>LogH21</vt:lpstr>
      <vt:lpstr>LogH22</vt:lpstr>
      <vt:lpstr>LogH23</vt:lpstr>
      <vt:lpstr>LogH24</vt:lpstr>
      <vt:lpstr>LogH3</vt:lpstr>
      <vt:lpstr>LogH4</vt:lpstr>
      <vt:lpstr>LogH5</vt:lpstr>
      <vt:lpstr>LogH6</vt:lpstr>
      <vt:lpstr>LogH7</vt:lpstr>
      <vt:lpstr>LogH8</vt:lpstr>
      <vt:lpstr>LogH9</vt:lpstr>
      <vt:lpstr>LogIOPSReplicaSS</vt:lpstr>
      <vt:lpstr>LogLUNDiskSpaceReplicaSS</vt:lpstr>
      <vt:lpstr>LogLUNSize</vt:lpstr>
      <vt:lpstr>LogR0IOPS</vt:lpstr>
      <vt:lpstr>LogR10IOPS</vt:lpstr>
      <vt:lpstr>LogRawDiskCap1</vt:lpstr>
      <vt:lpstr>LogRawDiskCap2</vt:lpstr>
      <vt:lpstr>LogRawDiskCap3</vt:lpstr>
      <vt:lpstr>LogReadTransfers</vt:lpstr>
      <vt:lpstr>LogWriteTransfers</vt:lpstr>
      <vt:lpstr>LUNDesign</vt:lpstr>
      <vt:lpstr>LUNGrowth</vt:lpstr>
      <vt:lpstr>MBXMoveRate</vt:lpstr>
      <vt:lpstr>MBXPerDB</vt:lpstr>
      <vt:lpstr>MinRAMConfig</vt:lpstr>
      <vt:lpstr>NetFailureTol</vt:lpstr>
      <vt:lpstr>NetLinkLatency</vt:lpstr>
      <vt:lpstr>NetLinkType</vt:lpstr>
      <vt:lpstr>NumDBDiskCap1</vt:lpstr>
      <vt:lpstr>NumDBDiskCap2</vt:lpstr>
      <vt:lpstr>NumDBDiskCap3</vt:lpstr>
      <vt:lpstr>NumDBDiskCapR101</vt:lpstr>
      <vt:lpstr>NumDBDiskCapR102</vt:lpstr>
      <vt:lpstr>NumDBDiskCapR103</vt:lpstr>
      <vt:lpstr>NumDBDiskCapR51</vt:lpstr>
      <vt:lpstr>NumDBDiskCapR52</vt:lpstr>
      <vt:lpstr>NumDBDiskCapR53</vt:lpstr>
      <vt:lpstr>NumDBDiskCapR61</vt:lpstr>
      <vt:lpstr>NumDBDiskCapR62</vt:lpstr>
      <vt:lpstr>NumDBDiskCapR63</vt:lpstr>
      <vt:lpstr>NumDBDiskIOR01</vt:lpstr>
      <vt:lpstr>NumDBDiskIOR02</vt:lpstr>
      <vt:lpstr>NumDBDiskIOR03</vt:lpstr>
      <vt:lpstr>NumDBDiskIOR101</vt:lpstr>
      <vt:lpstr>NumDBDiskIOR102</vt:lpstr>
      <vt:lpstr>NumDBDiskIOR103</vt:lpstr>
      <vt:lpstr>NumDBDiskIOR51</vt:lpstr>
      <vt:lpstr>NumDBDiskIOR52</vt:lpstr>
      <vt:lpstr>NumDBDiskIOR53</vt:lpstr>
      <vt:lpstr>NumDBDiskIOR61</vt:lpstr>
      <vt:lpstr>NumDBDiskIOR62</vt:lpstr>
      <vt:lpstr>NumDBDiskIOR63</vt:lpstr>
      <vt:lpstr>NumLogDiskCap1</vt:lpstr>
      <vt:lpstr>NumLogDiskCap2</vt:lpstr>
      <vt:lpstr>NumLogDiskCap3</vt:lpstr>
      <vt:lpstr>NumLogDiskIOR01</vt:lpstr>
      <vt:lpstr>NumLogDiskIOR02</vt:lpstr>
      <vt:lpstr>NumLogDiskIOR03</vt:lpstr>
      <vt:lpstr>NumLogDiskR10Cap1</vt:lpstr>
      <vt:lpstr>NumLogDiskR10Cap2</vt:lpstr>
      <vt:lpstr>NumLogDiskR10Cap3</vt:lpstr>
      <vt:lpstr>NumLogDiskR10IO1</vt:lpstr>
      <vt:lpstr>NumLogDiskR10IO2</vt:lpstr>
      <vt:lpstr>NumLogDiskR10IO3</vt:lpstr>
      <vt:lpstr>NumMBXServers</vt:lpstr>
      <vt:lpstr>NumMoveMBXTLogPerWkPerSG</vt:lpstr>
      <vt:lpstr>NumMoveMBXTLogPerWkPerSvr</vt:lpstr>
      <vt:lpstr>NumMoveMBXTLogs</vt:lpstr>
      <vt:lpstr>numSCRServers</vt:lpstr>
      <vt:lpstr>numSCRTarget</vt:lpstr>
      <vt:lpstr>NumSGLUN</vt:lpstr>
      <vt:lpstr>NumSGMoveMbxTLogs</vt:lpstr>
      <vt:lpstr>NumSGPerLUN</vt:lpstr>
      <vt:lpstr>NumTier1MBX</vt:lpstr>
      <vt:lpstr>NumTier1MBXDB</vt:lpstr>
      <vt:lpstr>NumTier2MBX</vt:lpstr>
      <vt:lpstr>NumTier2MBXDB</vt:lpstr>
      <vt:lpstr>NumTier3MBX</vt:lpstr>
      <vt:lpstr>NumTier3MBXDB</vt:lpstr>
      <vt:lpstr>OptDBDisks1</vt:lpstr>
      <vt:lpstr>OptDBDisks2</vt:lpstr>
      <vt:lpstr>OptDBDisks3</vt:lpstr>
      <vt:lpstr>OptDBRAIDConfig1</vt:lpstr>
      <vt:lpstr>OptDBRAIDConfig2</vt:lpstr>
      <vt:lpstr>OptDBRAIDConfig3</vt:lpstr>
      <vt:lpstr>OptLogDisks1</vt:lpstr>
      <vt:lpstr>OptLogDisks2</vt:lpstr>
      <vt:lpstr>OptLogDisks3</vt:lpstr>
      <vt:lpstr>OptLogRAIDConfig1</vt:lpstr>
      <vt:lpstr>OptLogRAIDConfig2</vt:lpstr>
      <vt:lpstr>OptLogRAIDConfig3</vt:lpstr>
      <vt:lpstr>OptRLDisks1</vt:lpstr>
      <vt:lpstr>OptRLDisks2</vt:lpstr>
      <vt:lpstr>OptRLDisks3</vt:lpstr>
      <vt:lpstr>OptRLRAIDConfig1</vt:lpstr>
      <vt:lpstr>OptRLRAIDConfig2</vt:lpstr>
      <vt:lpstr>OptRLRAIDConfig3</vt:lpstr>
      <vt:lpstr>OverrideRAID</vt:lpstr>
      <vt:lpstr>PeakIOPS</vt:lpstr>
      <vt:lpstr>'Backup Requirements'!Print_Area</vt:lpstr>
      <vt:lpstr>Input!Print_Area</vt:lpstr>
      <vt:lpstr>'Log Replication Requirements'!Print_Area</vt:lpstr>
      <vt:lpstr>'LUN Requirements'!Print_Area</vt:lpstr>
      <vt:lpstr>'Storage Design'!Print_Area</vt:lpstr>
      <vt:lpstr>'Storage Requirements'!Print_Area</vt:lpstr>
      <vt:lpstr>'Version Changes'!Print_Area</vt:lpstr>
      <vt:lpstr>RAID10Type</vt:lpstr>
      <vt:lpstr>RAID5Type</vt:lpstr>
      <vt:lpstr>RAID6Type</vt:lpstr>
      <vt:lpstr>RD0TotIOPS</vt:lpstr>
      <vt:lpstr>RD10Rebuild</vt:lpstr>
      <vt:lpstr>RD10TotIOPS</vt:lpstr>
      <vt:lpstr>RD5Rebuild</vt:lpstr>
      <vt:lpstr>RD5TotIOPS</vt:lpstr>
      <vt:lpstr>RD6Rebuild</vt:lpstr>
      <vt:lpstr>RD6TotIOPS</vt:lpstr>
      <vt:lpstr>ReadTransfers</vt:lpstr>
      <vt:lpstr>RecDBDisks</vt:lpstr>
      <vt:lpstr>RecDBRAID</vt:lpstr>
      <vt:lpstr>RecLogDisks</vt:lpstr>
      <vt:lpstr>RecLogRAID</vt:lpstr>
      <vt:lpstr>recRAMConfig</vt:lpstr>
      <vt:lpstr>RecRLDisks</vt:lpstr>
      <vt:lpstr>RecRLRAID</vt:lpstr>
      <vt:lpstr>ReqLogR10IOPS</vt:lpstr>
      <vt:lpstr>ReqRD10TotIOPS</vt:lpstr>
      <vt:lpstr>ReqRD5TotIOPS</vt:lpstr>
      <vt:lpstr>ReqRD6TotIOPS</vt:lpstr>
      <vt:lpstr>ResDiskForCap1</vt:lpstr>
      <vt:lpstr>ResDiskForCap2</vt:lpstr>
      <vt:lpstr>ResDiskForCap3</vt:lpstr>
      <vt:lpstr>ResDiskIO1</vt:lpstr>
      <vt:lpstr>ResDiskIO2</vt:lpstr>
      <vt:lpstr>ResDiskIO3</vt:lpstr>
      <vt:lpstr>ResDiskIOCap1</vt:lpstr>
      <vt:lpstr>ResDiskIOCap2</vt:lpstr>
      <vt:lpstr>ResDiskIOCap3</vt:lpstr>
      <vt:lpstr>ResDiskRPM1</vt:lpstr>
      <vt:lpstr>ResDiskRPM2</vt:lpstr>
      <vt:lpstr>ResDiskRPM3</vt:lpstr>
      <vt:lpstr>ResDiskSize1</vt:lpstr>
      <vt:lpstr>ResDiskSize2</vt:lpstr>
      <vt:lpstr>ResDiskSize3</vt:lpstr>
      <vt:lpstr>ResLUNDiskCap1</vt:lpstr>
      <vt:lpstr>ResLUNDiskCap2</vt:lpstr>
      <vt:lpstr>ResLUNDiskCap3</vt:lpstr>
      <vt:lpstr>ResLUNDiskSpaceNodeSS</vt:lpstr>
      <vt:lpstr>ResLUNDisksR101</vt:lpstr>
      <vt:lpstr>ResLUNDisksR102</vt:lpstr>
      <vt:lpstr>ResLUNDisksR103</vt:lpstr>
      <vt:lpstr>ResLUNDisksR51</vt:lpstr>
      <vt:lpstr>ResLUNDisksR52</vt:lpstr>
      <vt:lpstr>ResLUNDisksR53</vt:lpstr>
      <vt:lpstr>ResLUNDisksR61</vt:lpstr>
      <vt:lpstr>ResLUNDisksR62</vt:lpstr>
      <vt:lpstr>ResLUNDisksR63</vt:lpstr>
      <vt:lpstr>ResRawDiskCap1</vt:lpstr>
      <vt:lpstr>ResRawDiskCap2</vt:lpstr>
      <vt:lpstr>ResRawDiskCap3</vt:lpstr>
      <vt:lpstr>RestoreLUN</vt:lpstr>
      <vt:lpstr>RestoreLUNSize</vt:lpstr>
      <vt:lpstr>RestoreRate</vt:lpstr>
      <vt:lpstr>RPO</vt:lpstr>
      <vt:lpstr>RpoOptions</vt:lpstr>
      <vt:lpstr>RpoTable</vt:lpstr>
      <vt:lpstr>SCRHAOption</vt:lpstr>
      <vt:lpstr>SCRLogBandwidth</vt:lpstr>
      <vt:lpstr>SCRReplayLagSec</vt:lpstr>
      <vt:lpstr>SCRReplayLagTime</vt:lpstr>
      <vt:lpstr>SCRTruncationLagSec</vt:lpstr>
      <vt:lpstr>SCRTruncationLagTime</vt:lpstr>
      <vt:lpstr>SG</vt:lpstr>
      <vt:lpstr>SGSet1</vt:lpstr>
      <vt:lpstr>SGSet2</vt:lpstr>
      <vt:lpstr>SGSet3</vt:lpstr>
      <vt:lpstr>SGSet4</vt:lpstr>
      <vt:lpstr>SGSet5</vt:lpstr>
      <vt:lpstr>SGSet6</vt:lpstr>
      <vt:lpstr>SGSet7</vt:lpstr>
      <vt:lpstr>StorageIOTP</vt:lpstr>
      <vt:lpstr>StoreRAM</vt:lpstr>
      <vt:lpstr>TblBackupFreq</vt:lpstr>
      <vt:lpstr>TblDBSize</vt:lpstr>
      <vt:lpstr>tblDiskCapacity</vt:lpstr>
      <vt:lpstr>TblDiskType</vt:lpstr>
      <vt:lpstr>tblLogReplication</vt:lpstr>
      <vt:lpstr>tblLUNBackupSet</vt:lpstr>
      <vt:lpstr>tblMemoryProfile</vt:lpstr>
      <vt:lpstr>tblNetworkLink</vt:lpstr>
      <vt:lpstr>TblNumRestoreLun</vt:lpstr>
      <vt:lpstr>tblRAID10Types</vt:lpstr>
      <vt:lpstr>TblRAID5Types</vt:lpstr>
      <vt:lpstr>TblRAID6Types</vt:lpstr>
      <vt:lpstr>TblRAMGuidance</vt:lpstr>
      <vt:lpstr>tblRecDBDisks</vt:lpstr>
      <vt:lpstr>tblRecDiskLookup</vt:lpstr>
      <vt:lpstr>tblRecLogDisks</vt:lpstr>
      <vt:lpstr>tblRecNetworkLink</vt:lpstr>
      <vt:lpstr>tblRecRLDisks</vt:lpstr>
      <vt:lpstr>tblRPOBandwidth</vt:lpstr>
      <vt:lpstr>tblSCRBndwdth</vt:lpstr>
      <vt:lpstr>TblSendReceive</vt:lpstr>
      <vt:lpstr>tblTCPWindowSize</vt:lpstr>
      <vt:lpstr>TblUserMemoryProfile</vt:lpstr>
      <vt:lpstr>TCPWindowSize</vt:lpstr>
      <vt:lpstr>Tier1AvgMessageSize</vt:lpstr>
      <vt:lpstr>Tier1DBTransfers</vt:lpstr>
      <vt:lpstr>Tier1IOPS</vt:lpstr>
      <vt:lpstr>Tier1LogGen</vt:lpstr>
      <vt:lpstr>Tier1MBXLimit</vt:lpstr>
      <vt:lpstr>Tier1MBXRatio</vt:lpstr>
      <vt:lpstr>Tier1MBXSize</vt:lpstr>
      <vt:lpstr>Tier1MemoryProfile</vt:lpstr>
      <vt:lpstr>Tier1MessageProfile</vt:lpstr>
      <vt:lpstr>Tier1NumGrowth</vt:lpstr>
      <vt:lpstr>Tier1OLClientMode</vt:lpstr>
      <vt:lpstr>Tier1PredictIOPS</vt:lpstr>
      <vt:lpstr>Tier1ReadTransfers</vt:lpstr>
      <vt:lpstr>Tier1RWRatio</vt:lpstr>
      <vt:lpstr>Tier1SendReceive</vt:lpstr>
      <vt:lpstr>Tier1WriteTransfers</vt:lpstr>
      <vt:lpstr>Tier2AvgMessageSize</vt:lpstr>
      <vt:lpstr>Tier2DBTransfers</vt:lpstr>
      <vt:lpstr>Tier2IOPS</vt:lpstr>
      <vt:lpstr>Tier2LogGen</vt:lpstr>
      <vt:lpstr>Tier2MBXLimit</vt:lpstr>
      <vt:lpstr>Tier2MBXRatio</vt:lpstr>
      <vt:lpstr>Tier2MBXSize</vt:lpstr>
      <vt:lpstr>Tier2MemoryProfile</vt:lpstr>
      <vt:lpstr>Tier2MessageProfile</vt:lpstr>
      <vt:lpstr>Tier2NumGrowth</vt:lpstr>
      <vt:lpstr>Tier2OLClientMode</vt:lpstr>
      <vt:lpstr>Tier2PredictIOPS</vt:lpstr>
      <vt:lpstr>Tier2ReadTransfers</vt:lpstr>
      <vt:lpstr>Tier2RWRatio</vt:lpstr>
      <vt:lpstr>Tier2SendReceive</vt:lpstr>
      <vt:lpstr>Tier2WriteTransfers</vt:lpstr>
      <vt:lpstr>Tier3AvgMessageSize</vt:lpstr>
      <vt:lpstr>Tier3DBTransfers</vt:lpstr>
      <vt:lpstr>Tier3IOPS</vt:lpstr>
      <vt:lpstr>Tier3LogGen</vt:lpstr>
      <vt:lpstr>Tier3MBXLimit</vt:lpstr>
      <vt:lpstr>Tier3MBXRatio</vt:lpstr>
      <vt:lpstr>Tier3MBXSize</vt:lpstr>
      <vt:lpstr>Tier3MemoryProfile</vt:lpstr>
      <vt:lpstr>Tier3MessageProfile</vt:lpstr>
      <vt:lpstr>Tier3NumGrowth</vt:lpstr>
      <vt:lpstr>Tier3OLClientMode</vt:lpstr>
      <vt:lpstr>Tier3PredictIOPS</vt:lpstr>
      <vt:lpstr>Tier3ReadTransfers</vt:lpstr>
      <vt:lpstr>Tier3RWRatio</vt:lpstr>
      <vt:lpstr>Tier3SendReceive</vt:lpstr>
      <vt:lpstr>Tier3WriteTransfers</vt:lpstr>
      <vt:lpstr>TotalMBX</vt:lpstr>
      <vt:lpstr>TotalMBXPerSvr</vt:lpstr>
      <vt:lpstr>TotDBDiskSpace</vt:lpstr>
      <vt:lpstr>TotDBDiskSpaceReq</vt:lpstr>
      <vt:lpstr>TotLogDiskSpace</vt:lpstr>
      <vt:lpstr>TotLOGLUNSpace</vt:lpstr>
      <vt:lpstr>TotSCRLogBandwidth</vt:lpstr>
      <vt:lpstr>TotSGLUNSpace</vt:lpstr>
      <vt:lpstr>TotSGTLogsGenerated</vt:lpstr>
      <vt:lpstr>TotSvrTLogsGenerated</vt:lpstr>
      <vt:lpstr>TotTier1IOPS</vt:lpstr>
      <vt:lpstr>TotTier2IOPS</vt:lpstr>
      <vt:lpstr>TotTier3IOPS</vt:lpstr>
      <vt:lpstr>UserConcurrency</vt:lpstr>
      <vt:lpstr>varBackupFreq</vt:lpstr>
      <vt:lpstr>varBackupMethod</vt:lpstr>
      <vt:lpstr>varContinuousReplication</vt:lpstr>
      <vt:lpstr>varDiskSize</vt:lpstr>
      <vt:lpstr>varDiskType</vt:lpstr>
      <vt:lpstr>varEnabledQuestion</vt:lpstr>
      <vt:lpstr>varExVersion</vt:lpstr>
      <vt:lpstr>varHAOption</vt:lpstr>
      <vt:lpstr>varHours</vt:lpstr>
      <vt:lpstr>varLogReplResponse</vt:lpstr>
      <vt:lpstr>varLUNSizeResponse</vt:lpstr>
      <vt:lpstr>varMaxMemory</vt:lpstr>
      <vt:lpstr>varNetLinkType</vt:lpstr>
      <vt:lpstr>varOutlookMode</vt:lpstr>
      <vt:lpstr>varRAID10Types</vt:lpstr>
      <vt:lpstr>varRAID5Types</vt:lpstr>
      <vt:lpstr>varRAID6Types</vt:lpstr>
      <vt:lpstr>varRAIDOptions</vt:lpstr>
      <vt:lpstr>varSCCNodes</vt:lpstr>
      <vt:lpstr>varSCRActivation</vt:lpstr>
      <vt:lpstr>varSCRHAOption</vt:lpstr>
      <vt:lpstr>varSCRTarget</vt:lpstr>
      <vt:lpstr>varUserProfile</vt:lpstr>
      <vt:lpstr>varYNQuestion</vt:lpstr>
      <vt:lpstr>WriteTransfers</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Exchange 2007 Mailbox Storage Requirements Calculator</dc:title>
  <dc:creator>Ross Smith IV</dc:creator>
  <dc:description>Exchange 2007 Mailbox Storage Requirements Calculator</dc:description>
  <cp:lastModifiedBy>Ross Smith IV</cp:lastModifiedBy>
  <cp:lastPrinted>2006-10-20T01:27:55Z</cp:lastPrinted>
  <dcterms:created xsi:type="dcterms:W3CDTF">2005-02-07T21:55:23Z</dcterms:created>
  <dcterms:modified xsi:type="dcterms:W3CDTF">2008-09-23T15:00:44Z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0x010100752A4445B9030146A31809E51819FC0F</vt:lpwstr>
  </property>
</Properties>
</file>